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XAUS1FSVM00000.clearesult.com\Programs\Indiana Programs\IPL\Applications\Custom Calculators\2022\"/>
    </mc:Choice>
  </mc:AlternateContent>
  <xr:revisionPtr revIDLastSave="0" documentId="13_ncr:1_{03FA3DE5-AC1E-4C56-89E0-B01C5CFEC9FA}" xr6:coauthVersionLast="47" xr6:coauthVersionMax="47" xr10:uidLastSave="{00000000-0000-0000-0000-000000000000}"/>
  <workbookProtection workbookAlgorithmName="SHA-512" workbookHashValue="5AXiCPVDh9TQSm4NcQl93ApqRuJls/V9LdAkUYA7Sh1MFqqEV3F6UnnDwPuKjQi3z0atoun3x93TDjxRoieOfA==" workbookSaltValue="qYWeJoOefChTw8cguIY8UA==" workbookSpinCount="100000" lockStructure="1"/>
  <bookViews>
    <workbookView xWindow="20370" yWindow="-120" windowWidth="20730" windowHeight="11160" activeTab="2" xr2:uid="{00000000-000D-0000-FFFF-FFFF00000000}"/>
  </bookViews>
  <sheets>
    <sheet name="Instructions" sheetId="10" r:id="rId1"/>
    <sheet name="Methodology" sheetId="6" r:id="rId2"/>
    <sheet name="Lighting Calculator" sheetId="1" r:id="rId3"/>
    <sheet name="Project Notes" sheetId="16" r:id="rId4"/>
    <sheet name="SF Estimator" sheetId="15" r:id="rId5"/>
    <sheet name="LPD LookUp Tables" sheetId="12" r:id="rId6"/>
    <sheet name="LookUp Tables" sheetId="11" r:id="rId7"/>
    <sheet name="Fixture Wattage Reference" sheetId="13" r:id="rId8"/>
    <sheet name="Updates" sheetId="14" state="hidden" r:id="rId9"/>
  </sheets>
  <externalReferences>
    <externalReference r:id="rId10"/>
  </externalReferences>
  <definedNames>
    <definedName name="_1._Program_Operating_Hours_for_Your_Building_Type">'[1]Lighting Calculator'!$D$24</definedName>
    <definedName name="_2._Customer_Operating_Hours">'[1]Lighting Calculator'!$D$27</definedName>
    <definedName name="_3._Building_Type">'[1]Lighting Calculator'!$D$17</definedName>
    <definedName name="_xlnm.Print_Titles" localSheetId="2">'Lighting Calculator'!$2:$5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8" i="1" l="1"/>
  <c r="C15" i="15"/>
  <c r="E29" i="1" l="1"/>
  <c r="C38" i="1" l="1"/>
  <c r="D38" i="1"/>
  <c r="H19" i="15" l="1"/>
  <c r="H20" i="15"/>
  <c r="H21" i="15"/>
  <c r="H22" i="15"/>
  <c r="H23" i="15"/>
  <c r="H24" i="15"/>
  <c r="H25" i="15"/>
  <c r="H26" i="15"/>
  <c r="H27" i="15"/>
  <c r="H28" i="15"/>
  <c r="I19" i="15"/>
  <c r="I20" i="15"/>
  <c r="I21" i="15"/>
  <c r="I22" i="15"/>
  <c r="I23" i="15"/>
  <c r="I24" i="15"/>
  <c r="I25" i="15"/>
  <c r="I26" i="15"/>
  <c r="I27" i="15"/>
  <c r="I28" i="15"/>
  <c r="H29" i="15"/>
  <c r="H30" i="15"/>
  <c r="H31" i="15"/>
  <c r="H32" i="15"/>
  <c r="H33" i="15"/>
  <c r="H34" i="15"/>
  <c r="H35" i="15"/>
  <c r="H36" i="15"/>
  <c r="H37" i="15"/>
  <c r="H38" i="15"/>
  <c r="I29" i="15"/>
  <c r="I30" i="15"/>
  <c r="I31" i="15"/>
  <c r="I32" i="15"/>
  <c r="I33" i="15"/>
  <c r="I34" i="15"/>
  <c r="I35" i="15"/>
  <c r="I36" i="15"/>
  <c r="I37" i="15"/>
  <c r="I38" i="15"/>
  <c r="H39" i="15"/>
  <c r="H40" i="15"/>
  <c r="H41" i="15"/>
  <c r="H42" i="15"/>
  <c r="H43" i="15"/>
  <c r="I39" i="15"/>
  <c r="I40" i="15"/>
  <c r="I41" i="15"/>
  <c r="I42" i="15"/>
  <c r="I43" i="15"/>
  <c r="H44" i="15"/>
  <c r="H45" i="15"/>
  <c r="I44" i="15"/>
  <c r="I45" i="15"/>
  <c r="H46" i="15"/>
  <c r="H47" i="15"/>
  <c r="I46" i="15"/>
  <c r="I47" i="15"/>
  <c r="H48" i="15"/>
  <c r="I48" i="15" s="1"/>
  <c r="I18" i="15"/>
  <c r="H18" i="15"/>
  <c r="I9" i="15"/>
  <c r="H9" i="15"/>
  <c r="I10" i="15"/>
  <c r="H10" i="15"/>
  <c r="H11" i="15"/>
  <c r="I11" i="15" s="1"/>
  <c r="K67" i="13"/>
  <c r="J67" i="13"/>
  <c r="I67" i="13"/>
  <c r="K63" i="13"/>
  <c r="J63" i="13"/>
  <c r="I63" i="13"/>
  <c r="J46" i="13"/>
  <c r="I46" i="13"/>
  <c r="H46" i="13"/>
  <c r="G46" i="13"/>
  <c r="F46" i="13"/>
  <c r="E46" i="13"/>
  <c r="D46" i="13"/>
  <c r="C46" i="13"/>
  <c r="B46" i="13"/>
  <c r="J45" i="13"/>
  <c r="I45" i="13"/>
  <c r="H45" i="13"/>
  <c r="G45" i="13"/>
  <c r="F45" i="13"/>
  <c r="E45" i="13"/>
  <c r="D45" i="13"/>
  <c r="C45" i="13"/>
  <c r="B45" i="13"/>
  <c r="J38" i="13"/>
  <c r="I38" i="13"/>
  <c r="H38" i="13"/>
  <c r="G38" i="13"/>
  <c r="F38" i="13"/>
  <c r="E38" i="13"/>
  <c r="D38" i="13"/>
  <c r="C38" i="13"/>
  <c r="B38" i="13"/>
  <c r="I15" i="15" l="1"/>
  <c r="H15" i="15"/>
  <c r="H6" i="15"/>
  <c r="I6" i="15"/>
  <c r="C6" i="15" s="1"/>
  <c r="E38" i="1"/>
  <c r="C41" i="1" l="1"/>
  <c r="C52" i="1" s="1"/>
  <c r="C40" i="1"/>
  <c r="C51" i="1" s="1"/>
  <c r="W35" i="11"/>
  <c r="V33" i="11"/>
  <c r="H19" i="11" s="1"/>
  <c r="D49" i="1" s="1"/>
  <c r="W37" i="11"/>
  <c r="V37" i="11"/>
  <c r="W36" i="11"/>
  <c r="V36" i="11"/>
  <c r="V35" i="11"/>
  <c r="W34" i="11"/>
  <c r="V34" i="11"/>
  <c r="W33" i="11"/>
  <c r="I19" i="11" l="1"/>
  <c r="I20" i="11"/>
  <c r="I21" i="11"/>
  <c r="I22" i="11"/>
  <c r="I23" i="11"/>
  <c r="H23" i="11"/>
  <c r="H22" i="11"/>
  <c r="H21" i="11"/>
  <c r="H20" i="11"/>
  <c r="D50" i="1" l="1"/>
  <c r="C50" i="1"/>
  <c r="C63" i="1" s="1"/>
  <c r="C21" i="1"/>
  <c r="D48" i="1" s="1"/>
  <c r="C20" i="1"/>
  <c r="D47" i="1" s="1"/>
  <c r="F38" i="1"/>
  <c r="G38" i="1"/>
  <c r="G7" i="12"/>
  <c r="G8" i="12" s="1"/>
  <c r="D58" i="1" l="1"/>
  <c r="E47" i="1"/>
  <c r="F47" i="1"/>
  <c r="G47" i="1"/>
  <c r="C47" i="1"/>
  <c r="C48" i="1"/>
  <c r="C58" i="1" s="1"/>
  <c r="E48" i="1"/>
  <c r="G48" i="1"/>
  <c r="F48" i="1"/>
  <c r="D40" i="1"/>
  <c r="D51" i="1" s="1"/>
  <c r="D57" i="1" s="1"/>
  <c r="E40" i="1"/>
  <c r="E51" i="1" s="1"/>
  <c r="F40" i="1"/>
  <c r="F51" i="1" s="1"/>
  <c r="G40" i="1"/>
  <c r="G51" i="1" s="1"/>
  <c r="D41" i="1"/>
  <c r="E41" i="1"/>
  <c r="F41" i="1"/>
  <c r="G41" i="1"/>
  <c r="S7" i="12"/>
  <c r="S8" i="12" s="1"/>
  <c r="C29" i="1" s="1"/>
  <c r="E49" i="1" l="1"/>
  <c r="E57" i="1" s="1"/>
  <c r="F49" i="1"/>
  <c r="F57" i="1" s="1"/>
  <c r="G49" i="1"/>
  <c r="G57" i="1" s="1"/>
  <c r="E50" i="1"/>
  <c r="E58" i="1" s="1"/>
  <c r="F50" i="1"/>
  <c r="F58" i="1" s="1"/>
  <c r="G50" i="1"/>
  <c r="G58" i="1" s="1"/>
  <c r="C49" i="1"/>
  <c r="C57" i="1" s="1"/>
  <c r="C60" i="1" l="1"/>
  <c r="C56" i="1"/>
  <c r="D42" i="1"/>
  <c r="E42" i="1"/>
  <c r="F42" i="1"/>
  <c r="G42" i="1"/>
  <c r="C42" i="1"/>
  <c r="D52" i="1"/>
  <c r="D63" i="1" s="1"/>
  <c r="E52" i="1"/>
  <c r="F52" i="1"/>
  <c r="G52" i="1"/>
  <c r="F63" i="1" l="1"/>
  <c r="E63" i="1"/>
  <c r="G63" i="1"/>
  <c r="T7" i="12"/>
  <c r="T8" i="12" s="1"/>
  <c r="D29" i="1" s="1"/>
  <c r="U7" i="12"/>
  <c r="U8" i="12" s="1"/>
  <c r="V7" i="12"/>
  <c r="V8" i="12" s="1"/>
  <c r="F29" i="1" s="1"/>
  <c r="W7" i="12"/>
  <c r="W8" i="12" s="1"/>
  <c r="G29" i="1" s="1"/>
  <c r="S9" i="12"/>
  <c r="C30" i="1" s="1"/>
  <c r="K7" i="12"/>
  <c r="K8" i="12" s="1"/>
  <c r="J7" i="12"/>
  <c r="J8" i="12" s="1"/>
  <c r="I7" i="12"/>
  <c r="I8" i="12" s="1"/>
  <c r="E30" i="1" s="1"/>
  <c r="E55" i="1" s="1"/>
  <c r="E62" i="1" s="1"/>
  <c r="H7" i="12"/>
  <c r="H8" i="12" s="1"/>
  <c r="F30" i="1" l="1"/>
  <c r="F55" i="1" s="1"/>
  <c r="F62" i="1" s="1"/>
  <c r="F64" i="1" s="1"/>
  <c r="E64" i="1"/>
  <c r="C55" i="1"/>
  <c r="C62" i="1" s="1"/>
  <c r="C53" i="1"/>
  <c r="W9" i="12"/>
  <c r="G30" i="1" s="1"/>
  <c r="G55" i="1" s="1"/>
  <c r="G62" i="1" s="1"/>
  <c r="G64" i="1" s="1"/>
  <c r="U9" i="12"/>
  <c r="T9" i="12"/>
  <c r="D30" i="1" s="1"/>
  <c r="V9" i="12"/>
  <c r="C64" i="1" l="1"/>
  <c r="C59" i="1"/>
  <c r="C61" i="1" s="1"/>
  <c r="D55" i="1"/>
  <c r="D62" i="1" s="1"/>
  <c r="D64" i="1" s="1"/>
  <c r="E53" i="1"/>
  <c r="C76" i="1" l="1"/>
  <c r="D56" i="1"/>
  <c r="D60" i="1"/>
  <c r="F56" i="1"/>
  <c r="F60" i="1"/>
  <c r="F53" i="1"/>
  <c r="G56" i="1"/>
  <c r="G60" i="1"/>
  <c r="G53" i="1"/>
  <c r="E56" i="1"/>
  <c r="E59" i="1" s="1"/>
  <c r="E60" i="1"/>
  <c r="D53" i="1"/>
  <c r="C73" i="1" l="1"/>
  <c r="C74" i="1"/>
  <c r="G59" i="1"/>
  <c r="G61" i="1" s="1"/>
  <c r="E61" i="1"/>
  <c r="D59" i="1"/>
  <c r="D61" i="1" s="1"/>
  <c r="F59" i="1"/>
  <c r="F61" i="1" s="1"/>
  <c r="C75" i="1" l="1"/>
  <c r="C69" i="1" s="1"/>
  <c r="C70" i="1" s="1"/>
  <c r="C78" i="1" s="1"/>
  <c r="C79" i="1" l="1"/>
  <c r="C80" i="1" s="1"/>
  <c r="C77" i="1"/>
  <c r="C8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Reinhart</author>
  </authors>
  <commentList>
    <comment ref="B17" authorId="0" shapeId="0" xr:uid="{00000000-0006-0000-0200-000001000000}">
      <text>
        <r>
          <rPr>
            <b/>
            <sz val="9"/>
            <color indexed="81"/>
            <rFont val="Tahoma"/>
            <family val="2"/>
          </rPr>
          <t>Use $0.08 if unknown</t>
        </r>
      </text>
    </comment>
    <comment ref="B22" authorId="0" shapeId="0" xr:uid="{00000000-0006-0000-0200-000002000000}">
      <text>
        <r>
          <rPr>
            <sz val="9"/>
            <color indexed="81"/>
            <rFont val="Tahoma"/>
            <family val="2"/>
          </rPr>
          <t xml:space="preserve">Default will use the average hours based on the building type. 
Custom allows you to enter in your own hours. You may be asked to provide justification for the entered hours.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Reinhart</author>
  </authors>
  <commentList>
    <comment ref="C14" authorId="0" shapeId="0" xr:uid="{00000000-0006-0000-0300-000001000000}">
      <text>
        <r>
          <rPr>
            <b/>
            <sz val="9"/>
            <color indexed="81"/>
            <rFont val="Tahoma"/>
            <family val="2"/>
          </rPr>
          <t>This is the square footage of the space containing the mix of prescriptive, custom, and non-qualified lights listed in the table below.</t>
        </r>
      </text>
    </comment>
    <comment ref="G17" authorId="0" shapeId="0" xr:uid="{00000000-0006-0000-0300-000002000000}">
      <text>
        <r>
          <rPr>
            <sz val="9"/>
            <color indexed="81"/>
            <rFont val="Tahoma"/>
            <family val="2"/>
          </rPr>
          <t>Some lights including exit signs and emergency only lights do not count against code LPD requirements.</t>
        </r>
        <r>
          <rPr>
            <b/>
            <sz val="9"/>
            <color indexed="81"/>
            <rFont val="Tahoma"/>
            <family val="2"/>
          </rPr>
          <t xml:space="preserve"> </t>
        </r>
      </text>
    </comment>
  </commentList>
</comments>
</file>

<file path=xl/sharedStrings.xml><?xml version="1.0" encoding="utf-8"?>
<sst xmlns="http://schemas.openxmlformats.org/spreadsheetml/2006/main" count="706" uniqueCount="476">
  <si>
    <t>Savings Summary</t>
  </si>
  <si>
    <t>Baseline Conditions</t>
  </si>
  <si>
    <t>Proposed Conditions</t>
  </si>
  <si>
    <t>Site Information</t>
  </si>
  <si>
    <t>Building Type</t>
  </si>
  <si>
    <t>Hospital</t>
  </si>
  <si>
    <t>Hotel</t>
  </si>
  <si>
    <t>Warehouse</t>
  </si>
  <si>
    <t>Hours Used</t>
  </si>
  <si>
    <t>Custom</t>
  </si>
  <si>
    <t>Color Legend Highlighting</t>
  </si>
  <si>
    <t>Input</t>
  </si>
  <si>
    <t>Results</t>
  </si>
  <si>
    <t>Police/Fire Station</t>
  </si>
  <si>
    <t>Convention Center</t>
  </si>
  <si>
    <t>Courthouse</t>
  </si>
  <si>
    <t>Dining: Bar Lounge/Leisure</t>
  </si>
  <si>
    <t>Dining: Cafeteria/Fast Food</t>
  </si>
  <si>
    <t>Dining: Family</t>
  </si>
  <si>
    <t>Dormitory</t>
  </si>
  <si>
    <t>Gymnasium</t>
  </si>
  <si>
    <t>Health care clinic</t>
  </si>
  <si>
    <t>Library</t>
  </si>
  <si>
    <t>Manufacturing facility</t>
  </si>
  <si>
    <t>Motel</t>
  </si>
  <si>
    <t>Motion Picture Theater</t>
  </si>
  <si>
    <t>Multifamily</t>
  </si>
  <si>
    <t>Museum</t>
  </si>
  <si>
    <t>Office</t>
  </si>
  <si>
    <t>Parking Garage</t>
  </si>
  <si>
    <t>Penitentiary</t>
  </si>
  <si>
    <t>Post Office</t>
  </si>
  <si>
    <t>Religious Building</t>
  </si>
  <si>
    <t>Retail</t>
  </si>
  <si>
    <t>School/University</t>
  </si>
  <si>
    <t>Sports Arena</t>
  </si>
  <si>
    <t>Town Hall</t>
  </si>
  <si>
    <t>Transportation</t>
  </si>
  <si>
    <t>Workshop</t>
  </si>
  <si>
    <t>Exterior</t>
  </si>
  <si>
    <t>Stairways</t>
  </si>
  <si>
    <t>Yes</t>
  </si>
  <si>
    <t>No</t>
  </si>
  <si>
    <t>Where:</t>
  </si>
  <si>
    <t>Lighting Calculator Look-Up Tables</t>
  </si>
  <si>
    <t>Hours</t>
  </si>
  <si>
    <t>CF</t>
  </si>
  <si>
    <t>Control Type</t>
  </si>
  <si>
    <t>ESF</t>
  </si>
  <si>
    <t>CF Controlled</t>
  </si>
  <si>
    <t>HVAC System Type</t>
  </si>
  <si>
    <t>WHF_E</t>
  </si>
  <si>
    <t>WHF_D</t>
  </si>
  <si>
    <t>Food Sales</t>
  </si>
  <si>
    <t>Wall- or Ceiling-Mounted Occupancy</t>
  </si>
  <si>
    <t>AC with Gas Heat</t>
  </si>
  <si>
    <t>Food Service</t>
  </si>
  <si>
    <t>Fixture-Mounted Occupancy Sensors</t>
  </si>
  <si>
    <t>Heat Pump</t>
  </si>
  <si>
    <t>Health Care</t>
  </si>
  <si>
    <t>Remote-Mounted Daylight Dimming</t>
  </si>
  <si>
    <t>AC with Electric Heat</t>
  </si>
  <si>
    <t>Fixture-Mounted Daylight Dimming Sensors</t>
  </si>
  <si>
    <t>Electric Heat Only</t>
  </si>
  <si>
    <t>Switching Controls for Multi-Level Lighting</t>
  </si>
  <si>
    <t>Gas Heat Only</t>
  </si>
  <si>
    <t>Central Lighting Controls (Timeclocks)</t>
  </si>
  <si>
    <t>Public Assembly</t>
  </si>
  <si>
    <t>None</t>
  </si>
  <si>
    <t>Public Services (non-food)</t>
  </si>
  <si>
    <t>School</t>
  </si>
  <si>
    <t>College</t>
  </si>
  <si>
    <t>Other</t>
  </si>
  <si>
    <t>LPD</t>
  </si>
  <si>
    <t>W/ft2</t>
  </si>
  <si>
    <t>W/linear foot</t>
  </si>
  <si>
    <t>Building Main Entrance/Exit</t>
  </si>
  <si>
    <t>W/linear foot of door width</t>
  </si>
  <si>
    <t>Outdoor Sales Street Frontage</t>
  </si>
  <si>
    <t>Area Type</t>
  </si>
  <si>
    <t>LPD (W/ft2)</t>
  </si>
  <si>
    <t>Building Facades</t>
  </si>
  <si>
    <t>Area Description:</t>
  </si>
  <si>
    <t>Fixture Type:</t>
  </si>
  <si>
    <t>Installed Watts / Fixture (W)</t>
  </si>
  <si>
    <t>Hide Row</t>
  </si>
  <si>
    <t>Energy and Demand Savings Calculations</t>
  </si>
  <si>
    <t>Performing Arts Theater</t>
  </si>
  <si>
    <t>ASHRAE 90.1 2007, Table 9.5.1, Lighting Power Densities Using the Building Area Method</t>
  </si>
  <si>
    <t>Lighting Calculator LPD</t>
  </si>
  <si>
    <t>Unit</t>
  </si>
  <si>
    <t>LPD (Unit)</t>
  </si>
  <si>
    <t>Uncovered Parking Areas</t>
  </si>
  <si>
    <t>Other Building Doors</t>
  </si>
  <si>
    <t>Canopies (Free Standing, Attached, Overhangs)</t>
  </si>
  <si>
    <t>Outdoor Sales Open Areas</t>
  </si>
  <si>
    <t>Automated Teller Machines</t>
  </si>
  <si>
    <t>W/location</t>
  </si>
  <si>
    <t>Entrances and Gatehouse Inspection Stations</t>
  </si>
  <si>
    <t>Emergency Service Loading Areas</t>
  </si>
  <si>
    <t>Drive-Through Windows</t>
  </si>
  <si>
    <t>W/drive-through</t>
  </si>
  <si>
    <t>Parking Near 24-Hour Retail Entrance</t>
  </si>
  <si>
    <t>W/main-entry</t>
  </si>
  <si>
    <t>WHF_Energy</t>
  </si>
  <si>
    <t>WHF_Demand</t>
  </si>
  <si>
    <t>ESF_Proposed</t>
  </si>
  <si>
    <t>CF_Controls_Proposed</t>
  </si>
  <si>
    <t>Lighting Energy Savings</t>
  </si>
  <si>
    <t>Controls Energy Savings</t>
  </si>
  <si>
    <t>Lighting Demand Savings</t>
  </si>
  <si>
    <t>Controls Demand Savings</t>
  </si>
  <si>
    <t>Incentive Calculations</t>
  </si>
  <si>
    <t>Incentive Amount Approved</t>
  </si>
  <si>
    <t>Default Operating Hours for Building Type:</t>
  </si>
  <si>
    <t xml:space="preserve">Default Summer Coincidence Factor for Building Type: </t>
  </si>
  <si>
    <t>Operating Hours and Summer Coincidence Factor</t>
  </si>
  <si>
    <t>Installed Control Type (Use "Custom" if ESF and CF are known):</t>
  </si>
  <si>
    <t>Proposed Controls Energy Savings Factor and Controlled Summer Coincidence Factor</t>
  </si>
  <si>
    <t>Capped Incentive</t>
  </si>
  <si>
    <t xml:space="preserve">The methodology of this calculator is based on the Indiana Technical Resource Manual, Version 1.0, Lighting Power Density Reduction (New Construction) Section and Lighting Controls Section. </t>
  </si>
  <si>
    <t>Area Type:</t>
  </si>
  <si>
    <t>Building Exteriors Type:</t>
  </si>
  <si>
    <t>Area Size (Units should match row below):</t>
  </si>
  <si>
    <t>LPD Unit (W/Unit):</t>
  </si>
  <si>
    <t>Baseline Lighting Power Density:</t>
  </si>
  <si>
    <t>Occupancy Sensors Required by Code? See ASHRAE 90.1 2007.</t>
  </si>
  <si>
    <t>New Construction Lighting Savings Calculator</t>
  </si>
  <si>
    <t>Fixture Qty:</t>
  </si>
  <si>
    <t>Fixture Types</t>
  </si>
  <si>
    <t>CFL</t>
  </si>
  <si>
    <t>Circular Lamp</t>
  </si>
  <si>
    <t>Halogen</t>
  </si>
  <si>
    <t>High Pressure Sodium</t>
  </si>
  <si>
    <t>Incandescent</t>
  </si>
  <si>
    <t>LED</t>
  </si>
  <si>
    <t>Low Wattage T8</t>
  </si>
  <si>
    <t>Mercury Vapor</t>
  </si>
  <si>
    <t>Metal Halide</t>
  </si>
  <si>
    <t>T12</t>
  </si>
  <si>
    <t>T5</t>
  </si>
  <si>
    <t>T8</t>
  </si>
  <si>
    <t>U-Tube T8</t>
  </si>
  <si>
    <t>U-Tube T12</t>
  </si>
  <si>
    <t>Baseline Energy Consumption (kWh/Yr.)</t>
  </si>
  <si>
    <t>Proposed Energy Consumption (kWh/Yr.)</t>
  </si>
  <si>
    <t>Energy Savings (kWh/Yr.)</t>
  </si>
  <si>
    <t>Demand Reduction (kW)</t>
  </si>
  <si>
    <t>Eligible Custom Incentive</t>
  </si>
  <si>
    <t>Energy Cost Savings ($/Yr.)</t>
  </si>
  <si>
    <t>Simple Payback Period without Incentive (Yrs.)</t>
  </si>
  <si>
    <t>Simple Payback Period with Incentive (Yrs.)</t>
  </si>
  <si>
    <t xml:space="preserve">Baseline Energy </t>
  </si>
  <si>
    <t>Proposed Energy</t>
  </si>
  <si>
    <t>Building Name:</t>
  </si>
  <si>
    <t>Electricity Rate ($/kWh, Example: $0.08/kWh):</t>
  </si>
  <si>
    <t>ASHRAE 90.1 2007, Table 9.4.5, Lighting Power Densities for Building Exteriors</t>
  </si>
  <si>
    <t>Automotive Facility</t>
  </si>
  <si>
    <t>Exercise Center</t>
  </si>
  <si>
    <t>IN TRM Name</t>
  </si>
  <si>
    <t>Food Sales / Grocery</t>
  </si>
  <si>
    <t>Food Service - Fast Food</t>
  </si>
  <si>
    <t>Food Service - Restaurant</t>
  </si>
  <si>
    <t>Hotel/Motel</t>
  </si>
  <si>
    <t>Retail - Big Box</t>
  </si>
  <si>
    <t>Small Retail</t>
  </si>
  <si>
    <t>Industrial - 1 Shift</t>
  </si>
  <si>
    <t>Industrial - 2 Shift</t>
  </si>
  <si>
    <t>Industrial - 3 Shift</t>
  </si>
  <si>
    <t>Occupied 24/7</t>
  </si>
  <si>
    <t>Location:</t>
  </si>
  <si>
    <t>Indianapolis</t>
  </si>
  <si>
    <t>IPL Calculator Name</t>
  </si>
  <si>
    <t>WHFe</t>
  </si>
  <si>
    <t>WHFd</t>
  </si>
  <si>
    <t>WHFg</t>
  </si>
  <si>
    <t>Assembly</t>
  </si>
  <si>
    <t>Big Box</t>
  </si>
  <si>
    <t>Elementary School</t>
  </si>
  <si>
    <t>Fast Food</t>
  </si>
  <si>
    <t>Full Service Restaurant</t>
  </si>
  <si>
    <t>Grocery</t>
  </si>
  <si>
    <t>Light Industrial</t>
  </si>
  <si>
    <t>Small Office</t>
  </si>
  <si>
    <t>Avg. from Old Version</t>
  </si>
  <si>
    <t>Industrial - 2 Shifts</t>
  </si>
  <si>
    <t>Industrial - 3 Shifts</t>
  </si>
  <si>
    <t>Proposed Lighting Power Density:</t>
  </si>
  <si>
    <t>Project Cost:</t>
  </si>
  <si>
    <t>Building Type:</t>
  </si>
  <si>
    <t>HVAC System Type:</t>
  </si>
  <si>
    <t>Below is a list of the most commonly seen fixtures and their associated fixture wattage:</t>
  </si>
  <si>
    <t>T12 Fluorescent Fixtures</t>
  </si>
  <si>
    <t>Lamps per fixture:</t>
  </si>
  <si>
    <t>1-Lamp</t>
  </si>
  <si>
    <t>2-Lamps</t>
  </si>
  <si>
    <t>3-Lamps</t>
  </si>
  <si>
    <t>4-Lamps</t>
  </si>
  <si>
    <t>5-Lamps</t>
  </si>
  <si>
    <t>6-Lamps</t>
  </si>
  <si>
    <t>8-Lamps</t>
  </si>
  <si>
    <t>10-Lamps</t>
  </si>
  <si>
    <t>12-Lamps</t>
  </si>
  <si>
    <t>2' 20W T12 Lamp, Magnetic Ballast</t>
  </si>
  <si>
    <t>3' 30W T12 Lamp, Magnetic Ballast</t>
  </si>
  <si>
    <t>4' 34W T12 Lamp, Magnetic Ballast</t>
  </si>
  <si>
    <t>4' 40W T12 Lamp, Magnetic Ballast</t>
  </si>
  <si>
    <t>5' 50W T12 Lamp, Magnetic Ballast</t>
  </si>
  <si>
    <t>6' 55W T12 Lamp, Magnetic Ballast</t>
  </si>
  <si>
    <t>8' 60W T12 Lamp, Magnetic Ballast</t>
  </si>
  <si>
    <t>8' 75W T12 Lamp, Magnetic Ballast</t>
  </si>
  <si>
    <t>2' 35W T12/HO Lamp, Magnetic Ballast</t>
  </si>
  <si>
    <t>3' 50W T12/HO Lamp, Magnetic Ballast</t>
  </si>
  <si>
    <t>4' 60W T12/HO Lamp, Magnetic Ballast</t>
  </si>
  <si>
    <t>5' 75W T12/HO Lamp, Magnetic Ballast</t>
  </si>
  <si>
    <t>6' 85W T12/HO Lamp, Magnetic Ballast</t>
  </si>
  <si>
    <t>8' 95W T12/HO Lamp, Magnetic Ballast</t>
  </si>
  <si>
    <t>8' 110W T12/VHO Lamp, Magnetic Ballast</t>
  </si>
  <si>
    <t>8' 185W T12/VHO Lamp, Magnetic Ballast</t>
  </si>
  <si>
    <t>34W U-Bend T12 Lamp, Magnetic Ballast</t>
  </si>
  <si>
    <t>40W U-Bend T12 Lamp, Magnetic Ballast</t>
  </si>
  <si>
    <t>T8 Fluorescent Fixtures</t>
  </si>
  <si>
    <t>2' 17W T8 Lamp, Electronic Ballast</t>
  </si>
  <si>
    <t>3' 25W T8 Lamp, Electronic Ballast</t>
  </si>
  <si>
    <t>4' 25W RW T8 Lamp, Electronic Ballast</t>
  </si>
  <si>
    <t>4' 28W RW T8 Lamp, Electronic Ballast</t>
  </si>
  <si>
    <t>4' 30W ES T8 Lamp, Electronic Ballast</t>
  </si>
  <si>
    <t>4' 32W HP T8 Lamp, Electronic Ballast</t>
  </si>
  <si>
    <t>4' 32W Std T8 Lamp, Electronic Ballast</t>
  </si>
  <si>
    <t>5' 40W T8 Lamp, Electronic Ballast</t>
  </si>
  <si>
    <t>6' 46W T8 Lamp, Electronic Ballast</t>
  </si>
  <si>
    <t>8' 59W T8 Lamp, Electronic Ballast</t>
  </si>
  <si>
    <t>4' 32W T8/HO Lamp, Electronic Ballast</t>
  </si>
  <si>
    <t>4' 32W T8/VHO Lamp, Electronic Ballast</t>
  </si>
  <si>
    <t>4' 44W T8/HO Lamp, Electronic Ballast</t>
  </si>
  <si>
    <t>5' 55W T8/HO Lamp, Electronic Ballast</t>
  </si>
  <si>
    <t>6' 66W T8/HO Lamp, Electronic Ballast</t>
  </si>
  <si>
    <t>8' 86W T8/HO Lamp, Electronic Ballast</t>
  </si>
  <si>
    <t>32W U-Bend T8 Lamp, Electronic Ballast</t>
  </si>
  <si>
    <t>T5 Fluorescent Fixtures</t>
  </si>
  <si>
    <t>2' 14W T5 Lamp, Electronic Ballast</t>
  </si>
  <si>
    <t>2' 24W T5/HO Lamp, Electronic Ballast</t>
  </si>
  <si>
    <t>3' 21W T5 Lamp, Electronic Ballast</t>
  </si>
  <si>
    <t>3' 39W T5/HO Lamp, Electronic Ballast</t>
  </si>
  <si>
    <t>4' 28W T5 Lamp, Electronic Ballast</t>
  </si>
  <si>
    <t>4' 39W T5/HO Lamp, Electronic Ballast</t>
  </si>
  <si>
    <t>4' 54W T5/HO Lamp, Electronic Ballast</t>
  </si>
  <si>
    <t>5' 35W T5 Lamp, Electronic Ballast</t>
  </si>
  <si>
    <t>Other Fluorescent Fixtures</t>
  </si>
  <si>
    <t>4' 40W T10</t>
  </si>
  <si>
    <t>32W FC12T9 Circline</t>
  </si>
  <si>
    <t>22W FC8T9 Circline</t>
  </si>
  <si>
    <t>13W Pinned-Based CFL</t>
  </si>
  <si>
    <t>18W Pinned-Based CFL</t>
  </si>
  <si>
    <t>26W Pinned-Based CFL</t>
  </si>
  <si>
    <t>32W Pinned-Based CFL</t>
  </si>
  <si>
    <t>38W Pinned-Based CFL</t>
  </si>
  <si>
    <t>40W Pinned-Based CFL</t>
  </si>
  <si>
    <t>42W Pinned-Based CFL</t>
  </si>
  <si>
    <t>W / Fixture</t>
  </si>
  <si>
    <t>35W High Pressure Sodium</t>
  </si>
  <si>
    <t>50W High Pressure Sodium</t>
  </si>
  <si>
    <t>70W High Pressure Sodium</t>
  </si>
  <si>
    <t>100W High Pressure Sodium</t>
  </si>
  <si>
    <t>150W High Pressure Sodium</t>
  </si>
  <si>
    <t>200W High Pressure Sodium</t>
  </si>
  <si>
    <t>250W High Pressure Sodium</t>
  </si>
  <si>
    <t>310W High Pressure Sodium</t>
  </si>
  <si>
    <t>400W High Pressure Sodium</t>
  </si>
  <si>
    <t>750W High Pressure Sodium</t>
  </si>
  <si>
    <t>1,000W High Pressure Sodium</t>
  </si>
  <si>
    <t>40W Mercury Vapor</t>
  </si>
  <si>
    <t>50W Mercury Vapor</t>
  </si>
  <si>
    <t>75W Mercury Vapor</t>
  </si>
  <si>
    <t>100W Mercury Vapor</t>
  </si>
  <si>
    <t>175W Mercury Vapor</t>
  </si>
  <si>
    <t>250W Mercury Vapor</t>
  </si>
  <si>
    <t>400W Mercury Vapor</t>
  </si>
  <si>
    <t>700W Mercury Vapor</t>
  </si>
  <si>
    <t>1,000W Mercury Vapor</t>
  </si>
  <si>
    <t>Metal Halide Fixtures (Std/Probe-Start)</t>
  </si>
  <si>
    <t>20W Metal Halide</t>
  </si>
  <si>
    <t>32W Metal Halide</t>
  </si>
  <si>
    <t>50W Metal Halide</t>
  </si>
  <si>
    <t>70W Metal Halide</t>
  </si>
  <si>
    <t>100W Metal Halide</t>
  </si>
  <si>
    <t>150W Metal Halide</t>
  </si>
  <si>
    <t>175W Metal Halide</t>
  </si>
  <si>
    <t>200W Metal Halide</t>
  </si>
  <si>
    <t>250W Metal Halide</t>
  </si>
  <si>
    <t>360W Metal Halide</t>
  </si>
  <si>
    <t>400W Metal Halide</t>
  </si>
  <si>
    <t>750W Metal Halide</t>
  </si>
  <si>
    <t>1,000W Metal Halide</t>
  </si>
  <si>
    <t>1,500W Metal Halide</t>
  </si>
  <si>
    <t>Pulse-Start Metal Halide Fixtures</t>
  </si>
  <si>
    <t>100W Pulse-Start Metal Halide</t>
  </si>
  <si>
    <t>150W Pulse-Start Metal Halide</t>
  </si>
  <si>
    <t>175W Pulse-Start Metal Halide</t>
  </si>
  <si>
    <t>200W Pulse-Start Metal Halide</t>
  </si>
  <si>
    <t>250W Pulse-Start Metal Halide</t>
  </si>
  <si>
    <t>320W Pulse-Start Metal Halide</t>
  </si>
  <si>
    <t>350W Pulse-Start Metal Halide</t>
  </si>
  <si>
    <t>500W Pulse-Start Metal Halide</t>
  </si>
  <si>
    <t>750W Pulse-Start Metal Halide</t>
  </si>
  <si>
    <t>1,000W Pulse-Start Metal Halide</t>
  </si>
  <si>
    <t>Ceramic Metal Halide Fixtures</t>
  </si>
  <si>
    <t>20W Ceramic Metal Halide</t>
  </si>
  <si>
    <t>39W Ceramic Metal Halide</t>
  </si>
  <si>
    <t>50W Ceramic Metal Halide</t>
  </si>
  <si>
    <t>70W Ceramic Metal Halide</t>
  </si>
  <si>
    <t>100W Ceramic Metal Halide</t>
  </si>
  <si>
    <t>150W Ceramic Metal Halide</t>
  </si>
  <si>
    <t>Annual Operating Hours Type:</t>
  </si>
  <si>
    <t>If Custom, Customer Operating Hours:</t>
  </si>
  <si>
    <t>Incentive Calculation Method</t>
  </si>
  <si>
    <t>Based on IN TRM v2.2</t>
  </si>
  <si>
    <t>WHF vary by building type</t>
  </si>
  <si>
    <t>(Other building type is below)</t>
  </si>
  <si>
    <t>400W Pulse-Start Metal Halide</t>
  </si>
  <si>
    <t>18" 15W T8 Lamp, Electronic Ballast</t>
  </si>
  <si>
    <t>4' 25W T8/HO Lamp, Electronic Ballast</t>
  </si>
  <si>
    <t>4' 28W T8/HO Lamp, Electronic Ballast</t>
  </si>
  <si>
    <t>28W U-Bend T8 Lamp, Electronic Ballast</t>
  </si>
  <si>
    <t>31W U-Bend T8 Lamp, Electronic Ballast</t>
  </si>
  <si>
    <t>4' 50W T5/HO Lamp, Electronic Ballast</t>
  </si>
  <si>
    <t>Pin-Based CFL Fixtures</t>
  </si>
  <si>
    <t>9W Pinned-Based CFL</t>
  </si>
  <si>
    <t>28W Pinned-Based CFL</t>
  </si>
  <si>
    <t>Version #</t>
  </si>
  <si>
    <t>Date</t>
  </si>
  <si>
    <t>Editing Engineer</t>
  </si>
  <si>
    <t>Reviewing Engineer</t>
  </si>
  <si>
    <t>Updates Made</t>
  </si>
  <si>
    <t>Ben Reinhart</t>
  </si>
  <si>
    <t>Will Nichols</t>
  </si>
  <si>
    <t>Updated for 2017 program rules, inlcuding incentive caps</t>
  </si>
  <si>
    <t>Proposed Controls Energy Savings</t>
  </si>
  <si>
    <t>Baseline Controls Energy Savings</t>
  </si>
  <si>
    <t>Fixed errors in how the control savings were calculating. Updated fixture wattage reference table. Added optional tool for splitting building floor area between prescriptive, custom, and non-qualified lighting.</t>
  </si>
  <si>
    <t>Baseline Demand</t>
  </si>
  <si>
    <t>Proposed Demand</t>
  </si>
  <si>
    <t>Fixture Code</t>
  </si>
  <si>
    <t>Fixture Description</t>
  </si>
  <si>
    <t>Fixture Qty.</t>
  </si>
  <si>
    <t>Fixture Wattage</t>
  </si>
  <si>
    <t>Incentive Category</t>
  </si>
  <si>
    <t>Interior or Exterior</t>
  </si>
  <si>
    <t>Is this fixture part of the interior LPD Calculation?</t>
  </si>
  <si>
    <t>Custom LPD Watts</t>
  </si>
  <si>
    <t>Total LPD Watts</t>
  </si>
  <si>
    <t>4' 54W 3-lamp T5HO</t>
  </si>
  <si>
    <t>Prescriptive</t>
  </si>
  <si>
    <t>Does not Qualify</t>
  </si>
  <si>
    <t>4' 2-lamp 18W LED</t>
  </si>
  <si>
    <t>Interior</t>
  </si>
  <si>
    <t>Sum</t>
  </si>
  <si>
    <t xml:space="preserve">This page is optional and is meant as a tool to help estimate the associated square footage for custom lights when they are mixed in spaces that have either lights that qualify for the prescriptive incentive program or don't qualify for any incentive. Essentially, the percentage of total custom watts versus total watts is used to approximate what portion of that space should be allocated to the custom fixtures. 3 example rows are included for your reference. </t>
  </si>
  <si>
    <t>Example</t>
  </si>
  <si>
    <t>A</t>
  </si>
  <si>
    <t>B</t>
  </si>
  <si>
    <t>C</t>
  </si>
  <si>
    <t>Total Area of Affected Space (in square feet)</t>
  </si>
  <si>
    <t>Custom Building Area (sf)</t>
  </si>
  <si>
    <t xml:space="preserve">Complete this table. The total area and the columns in Green are the required inputs. Add more rows to the table if needed. </t>
  </si>
  <si>
    <t>Total Lighting &amp; Controls Demand Savings</t>
  </si>
  <si>
    <t>Total Lighting &amp; Controls Energy Savings</t>
  </si>
  <si>
    <t xml:space="preserve">Updated for 2018 program rules, specifically changing the incentive rate to $0.06 per annual kWh saved. </t>
  </si>
  <si>
    <t>The formulas in cells F36 &amp; F37 got accidently deleted making this column unusable to customers. This was corrected.</t>
  </si>
  <si>
    <t xml:space="preserve">Updated for 2018 program rules, specifically changing the incentive rate to $0.07 per annual kWh saved. </t>
  </si>
  <si>
    <t>Incentive at $0.07 per kWh savings</t>
  </si>
  <si>
    <t xml:space="preserve">This is an optional sheet that is not password protected where you can put any notes about the project (if needed). </t>
  </si>
  <si>
    <r>
      <rPr>
        <b/>
        <sz val="12"/>
        <color theme="1"/>
        <rFont val="Arial"/>
        <family val="2"/>
      </rPr>
      <t>ESF</t>
    </r>
    <r>
      <rPr>
        <sz val="12"/>
        <color theme="1"/>
        <rFont val="Arial"/>
        <family val="2"/>
      </rPr>
      <t xml:space="preserve"> is the energy savings factor. This factor represents the percent operating hours or wattage reduced due to the installation of the occupancy lighting controls, timeclocks, dimming lighting controls, or multilevel switching. Site-specific factor should be determined from data logging if possible. If not, assume default values dependent on control type below.</t>
    </r>
  </si>
  <si>
    <t>AES Indiana Business Rebates &amp; Incentives Program</t>
  </si>
  <si>
    <t>Lighting New Construction Savings Methodology</t>
  </si>
  <si>
    <r>
      <rPr>
        <b/>
        <sz val="12"/>
        <rFont val="Arial"/>
        <family val="2"/>
      </rPr>
      <t>LPDBase</t>
    </r>
    <r>
      <rPr>
        <sz val="12"/>
        <rFont val="Arial"/>
        <family val="2"/>
      </rPr>
      <t xml:space="preserve"> is the allowed lighting power density (watts per square foot) based on energy code requirements for building or space type. See ASHRAE 90.1 2007 code tables below. </t>
    </r>
  </si>
  <si>
    <r>
      <rPr>
        <b/>
        <sz val="12"/>
        <rFont val="Arial"/>
        <family val="2"/>
      </rPr>
      <t xml:space="preserve">Area </t>
    </r>
    <r>
      <rPr>
        <sz val="12"/>
        <rFont val="Arial"/>
        <family val="2"/>
      </rPr>
      <t xml:space="preserve">is the area of the lighted space. </t>
    </r>
  </si>
  <si>
    <r>
      <rPr>
        <b/>
        <sz val="12"/>
        <color theme="1"/>
        <rFont val="Arial"/>
        <family val="2"/>
      </rPr>
      <t xml:space="preserve">WattsEE </t>
    </r>
    <r>
      <rPr>
        <sz val="12"/>
        <color theme="1"/>
        <rFont val="Arial"/>
        <family val="2"/>
      </rPr>
      <t>is the actual wattage of the efficient equipment.</t>
    </r>
  </si>
  <si>
    <r>
      <rPr>
        <b/>
        <sz val="12"/>
        <color theme="1"/>
        <rFont val="Arial"/>
        <family val="2"/>
      </rPr>
      <t>WattsControlled</t>
    </r>
    <r>
      <rPr>
        <sz val="12"/>
        <color theme="1"/>
        <rFont val="Arial"/>
        <family val="2"/>
      </rPr>
      <t xml:space="preserve"> is the total actual lighting load connected to the controls.</t>
    </r>
  </si>
  <si>
    <r>
      <rPr>
        <b/>
        <sz val="12"/>
        <color theme="1"/>
        <rFont val="Arial"/>
        <family val="2"/>
      </rPr>
      <t xml:space="preserve">Hours </t>
    </r>
    <r>
      <rPr>
        <sz val="12"/>
        <color theme="1"/>
        <rFont val="Arial"/>
        <family val="2"/>
      </rPr>
      <t>is the annual operating hours of lighting. Site-specific operating hours (estimate from customer or determined from data logging) should be used if available. If not, assume default values dependent on building type below.</t>
    </r>
  </si>
  <si>
    <r>
      <rPr>
        <b/>
        <sz val="12"/>
        <color theme="1"/>
        <rFont val="Arial"/>
        <family val="2"/>
      </rPr>
      <t xml:space="preserve">WHF_E </t>
    </r>
    <r>
      <rPr>
        <sz val="12"/>
        <color theme="1"/>
        <rFont val="Arial"/>
        <family val="2"/>
      </rPr>
      <t>is the lighting-HVAC interaction factor for energy. This factor represents the reduced electric space cooling requirements due to the reduction of waste heat rejected by the efficient lighting. Consider default values dependent on HVAC system type below.</t>
    </r>
  </si>
  <si>
    <r>
      <rPr>
        <b/>
        <sz val="12"/>
        <color theme="1"/>
        <rFont val="Arial"/>
        <family val="2"/>
      </rPr>
      <t xml:space="preserve">1/1000 </t>
    </r>
    <r>
      <rPr>
        <sz val="12"/>
        <color theme="1"/>
        <rFont val="Arial"/>
        <family val="2"/>
      </rPr>
      <t>is the conversion factor from watts to kilowatts.</t>
    </r>
  </si>
  <si>
    <r>
      <rPr>
        <b/>
        <sz val="12"/>
        <color theme="1"/>
        <rFont val="Arial"/>
        <family val="2"/>
      </rPr>
      <t>CF</t>
    </r>
    <r>
      <rPr>
        <sz val="12"/>
        <color theme="1"/>
        <rFont val="Arial"/>
        <family val="2"/>
      </rPr>
      <t xml:space="preserve"> is the summer peak coincidence factor. Site-specific CF (estimate from customer or determined from data logging) should be used if available. If not, assume default values dependent on building type below.</t>
    </r>
  </si>
  <si>
    <r>
      <rPr>
        <b/>
        <sz val="12"/>
        <color theme="1"/>
        <rFont val="Arial"/>
        <family val="2"/>
      </rPr>
      <t>WHF_D</t>
    </r>
    <r>
      <rPr>
        <sz val="12"/>
        <color theme="1"/>
        <rFont val="Arial"/>
        <family val="2"/>
      </rPr>
      <t xml:space="preserve"> is the lighting-HVAC interaction factor for demand. This factor represents the reduced electric space cooling requirements due to the reduction of waste heat rejected by the efficient lighting. Consider default values dependent on HVAC system type below.</t>
    </r>
  </si>
  <si>
    <r>
      <rPr>
        <b/>
        <sz val="12"/>
        <color theme="1"/>
        <rFont val="Arial"/>
        <family val="2"/>
      </rPr>
      <t>CFControlled</t>
    </r>
    <r>
      <rPr>
        <sz val="12"/>
        <color theme="1"/>
        <rFont val="Arial"/>
        <family val="2"/>
      </rPr>
      <t xml:space="preserve"> is the summer peak coincidence factor. Site-specific factor should be determined from data logging if possible. If not, assume default values dependent on control type below.</t>
    </r>
  </si>
  <si>
    <t>Table 9.5.1 Lighting Power Densities Using the Buldign Area Method</t>
  </si>
  <si>
    <t>Building Area Type*</t>
  </si>
  <si>
    <r>
      <t>LPD (W/ft</t>
    </r>
    <r>
      <rPr>
        <vertAlign val="superscript"/>
        <sz val="12"/>
        <color theme="1"/>
        <rFont val="Arial"/>
        <family val="2"/>
      </rPr>
      <t>2</t>
    </r>
    <r>
      <rPr>
        <sz val="12"/>
        <color theme="1"/>
        <rFont val="Arial"/>
        <family val="2"/>
      </rPr>
      <t>)</t>
    </r>
  </si>
  <si>
    <t>Automotive facility</t>
  </si>
  <si>
    <t>Convention center</t>
  </si>
  <si>
    <t>Dining: bar lounge/leisure</t>
  </si>
  <si>
    <t>Dining: cafeteria/fast food</t>
  </si>
  <si>
    <t>Dining: family</t>
  </si>
  <si>
    <t>Dormatory</t>
  </si>
  <si>
    <t>Exercise center</t>
  </si>
  <si>
    <t>Health-care clinic</t>
  </si>
  <si>
    <t>Motion picture theater</t>
  </si>
  <si>
    <t>Parking garage</t>
  </si>
  <si>
    <t>Performing arts theater</t>
  </si>
  <si>
    <t>Police/fire station</t>
  </si>
  <si>
    <t>Post office</t>
  </si>
  <si>
    <t>Religious building</t>
  </si>
  <si>
    <t>School/university</t>
  </si>
  <si>
    <t>Sports arena</t>
  </si>
  <si>
    <t>Town hall</t>
  </si>
  <si>
    <t>*In cases where both a general building area type and a specific building area type are listed, the specific building area type shall apply.</t>
  </si>
  <si>
    <t>Table 9.4.5 Lighting Power Densities for Building Exteriors</t>
  </si>
  <si>
    <t>Parking lots and drives</t>
  </si>
  <si>
    <r>
      <t>0.15 W/ft</t>
    </r>
    <r>
      <rPr>
        <vertAlign val="superscript"/>
        <sz val="12"/>
        <color theme="1"/>
        <rFont val="Arial"/>
        <family val="2"/>
      </rPr>
      <t>2</t>
    </r>
  </si>
  <si>
    <t>Building Grounds</t>
  </si>
  <si>
    <t>Walkways less than 10 ft wide</t>
  </si>
  <si>
    <t>1.0 W/linear foot</t>
  </si>
  <si>
    <t>Walkways 10 ft wide or greater</t>
  </si>
  <si>
    <r>
      <t>0.2 W/ft</t>
    </r>
    <r>
      <rPr>
        <vertAlign val="superscript"/>
        <sz val="12"/>
        <color theme="1"/>
        <rFont val="Arial"/>
        <family val="2"/>
      </rPr>
      <t>2</t>
    </r>
  </si>
  <si>
    <t>Plaza areas</t>
  </si>
  <si>
    <t>Special feature areas</t>
  </si>
  <si>
    <r>
      <t>1.0 W/ft</t>
    </r>
    <r>
      <rPr>
        <vertAlign val="superscript"/>
        <sz val="12"/>
        <color theme="1"/>
        <rFont val="Arial"/>
        <family val="2"/>
      </rPr>
      <t>2</t>
    </r>
  </si>
  <si>
    <t>Building Entrances and Exits</t>
  </si>
  <si>
    <t>Main entries</t>
  </si>
  <si>
    <t>30 W/linear foot of door width</t>
  </si>
  <si>
    <t>Other doors</t>
  </si>
  <si>
    <t>20 W/linear foot of door width</t>
  </si>
  <si>
    <t>Canopies and Overhangs</t>
  </si>
  <si>
    <t>Canopies (free standing and attached and overhangs)</t>
  </si>
  <si>
    <r>
      <t>1.25 W/ft</t>
    </r>
    <r>
      <rPr>
        <vertAlign val="superscript"/>
        <sz val="12"/>
        <color theme="1"/>
        <rFont val="Arial"/>
        <family val="2"/>
      </rPr>
      <t>2</t>
    </r>
  </si>
  <si>
    <t>Outdoor Sales</t>
  </si>
  <si>
    <t>Open areas (including vehicle sales lots)</t>
  </si>
  <si>
    <t>Street frontage for vehicle sales lots in addition to "open area" allowance</t>
  </si>
  <si>
    <r>
      <t>0.5 W/ft</t>
    </r>
    <r>
      <rPr>
        <vertAlign val="superscript"/>
        <sz val="12"/>
        <color theme="1"/>
        <rFont val="Arial"/>
        <family val="2"/>
      </rPr>
      <t>2</t>
    </r>
  </si>
  <si>
    <t>20 W/linear foot</t>
  </si>
  <si>
    <r>
      <rPr>
        <b/>
        <sz val="12"/>
        <color theme="1"/>
        <rFont val="Arial"/>
        <family val="2"/>
      </rPr>
      <t>Tradeable Surfaces</t>
    </r>
    <r>
      <rPr>
        <sz val="12"/>
        <color theme="1"/>
        <rFont val="Arial"/>
        <family val="2"/>
      </rPr>
      <t xml:space="preserve"> (LPDs for uncovered parking areas, building grounds, building entrances and exists, canopies and overhangs, and outdoor sales areas may be traded.)</t>
    </r>
  </si>
  <si>
    <r>
      <rPr>
        <b/>
        <sz val="12"/>
        <color theme="1"/>
        <rFont val="Arial"/>
        <family val="2"/>
      </rPr>
      <t xml:space="preserve">Nontradeable Surfaces </t>
    </r>
    <r>
      <rPr>
        <sz val="12"/>
        <color theme="1"/>
        <rFont val="Arial"/>
        <family val="2"/>
      </rPr>
      <t>(LPD calculations for the following applications can only be used for the specific application and cannot be traded between surfaces or with other exterior lighting. The following allowances are in addition to any allowance otherwise permitted in the "Tradeable Surfaces" section of this table.)</t>
    </r>
  </si>
  <si>
    <t>Building facades</t>
  </si>
  <si>
    <r>
      <t>0.2 W/ft</t>
    </r>
    <r>
      <rPr>
        <vertAlign val="superscript"/>
        <sz val="12"/>
        <color theme="1"/>
        <rFont val="Arial"/>
        <family val="2"/>
      </rPr>
      <t>2</t>
    </r>
    <r>
      <rPr>
        <sz val="12"/>
        <color theme="1"/>
        <rFont val="Arial"/>
        <family val="2"/>
      </rPr>
      <t xml:space="preserve"> for each illuminated wall or surface or 5.0 W/linear foot for each illuminated wall or surface length</t>
    </r>
  </si>
  <si>
    <t>Automated teller machines and night depositories</t>
  </si>
  <si>
    <t>270 W per location plus 90 W per additional ATM per location</t>
  </si>
  <si>
    <t>Loading areas for law enforcement, fire, ambulance, and other emergency service vehicles</t>
  </si>
  <si>
    <r>
      <t>1.25 W/ft</t>
    </r>
    <r>
      <rPr>
        <vertAlign val="superscript"/>
        <sz val="12"/>
        <color theme="1"/>
        <rFont val="Arial"/>
        <family val="2"/>
      </rPr>
      <t xml:space="preserve">2 </t>
    </r>
    <r>
      <rPr>
        <sz val="12"/>
        <color theme="1"/>
        <rFont val="Arial"/>
        <family val="2"/>
      </rPr>
      <t>of uncovered area (covered areas are included in the "Canopies and Overhangs" section of "Tradeable Surfaces")</t>
    </r>
  </si>
  <si>
    <t>Drive-through windows at fast food restaurants</t>
  </si>
  <si>
    <t>400 W per drive-through</t>
  </si>
  <si>
    <t>800 W per main entry</t>
  </si>
  <si>
    <t>Parking near 24-hour retail entrances</t>
  </si>
  <si>
    <t>Food sales/grocery</t>
  </si>
  <si>
    <t>Food service - fast food</t>
  </si>
  <si>
    <t>Food sesrvice - restaurant</t>
  </si>
  <si>
    <t>Health care</t>
  </si>
  <si>
    <t>Hotel/motel</t>
  </si>
  <si>
    <t>Public assembly</t>
  </si>
  <si>
    <t>Public services (non-food)</t>
  </si>
  <si>
    <t>Retail - big box</t>
  </si>
  <si>
    <t>Small retail</t>
  </si>
  <si>
    <t>Industrial - 1 shift</t>
  </si>
  <si>
    <t>Industrial - 2 shifts</t>
  </si>
  <si>
    <t>Industrial - 3 shifts</t>
  </si>
  <si>
    <t>-</t>
  </si>
  <si>
    <t>Wall- or ceiling-mounted occupancy</t>
  </si>
  <si>
    <t>Fixture-mounted occupancy sensors</t>
  </si>
  <si>
    <t>Remote-mounted daylight dimming</t>
  </si>
  <si>
    <t>Fixture-mounted daylight dimming sensors</t>
  </si>
  <si>
    <t>Switch controls for multi-level lighting</t>
  </si>
  <si>
    <t>Central lighting controls (timeclocks)</t>
  </si>
  <si>
    <t>HVAC Sytem Type</t>
  </si>
  <si>
    <t>A/C with gas heat</t>
  </si>
  <si>
    <t>Heat pump</t>
  </si>
  <si>
    <t>A/C with electric heat</t>
  </si>
  <si>
    <t>Electric heat only</t>
  </si>
  <si>
    <t>Gas heat only</t>
  </si>
  <si>
    <r>
      <t xml:space="preserve">Note: If project includes some exterior areas, select "Exterior" for </t>
    </r>
    <r>
      <rPr>
        <i/>
        <sz val="12"/>
        <rFont val="Arial"/>
        <family val="2"/>
      </rPr>
      <t>Area Type</t>
    </r>
    <r>
      <rPr>
        <sz val="12"/>
        <rFont val="Arial"/>
        <family val="2"/>
      </rPr>
      <t xml:space="preserve"> for the fixture types in that area.</t>
    </r>
  </si>
  <si>
    <t>Walkways (&lt; 10 ft wide)</t>
  </si>
  <si>
    <t>Walkways (≥ 10ft wide), Plaza Areas, Special Feature Areas</t>
  </si>
  <si>
    <t>Default Controls ESF</t>
  </si>
  <si>
    <t>Default Controls CF</t>
  </si>
  <si>
    <t xml:space="preserve">Controls Factors to Use: </t>
  </si>
  <si>
    <t>If Custom Controls, Controls ESF (%)</t>
  </si>
  <si>
    <t>If Custom Baseline Controls, Controls CF</t>
  </si>
  <si>
    <t xml:space="preserve">Updated for 2022 Project Cost cap of $,1000,000 per project and per building per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</si>
</sst>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_);[Red]\(&quot;$&quot;#,##0\)"/>
    <numFmt numFmtId="7" formatCode="&quot;$&quot;#,##0.00_);\(&quot;$&quot;#,##0.00\)"/>
    <numFmt numFmtId="44" formatCode="_(&quot;$&quot;* #,##0.00_);_(&quot;$&quot;* \(#,##0.00\);_(&quot;$&quot;* &quot;-&quot;??_);_(@_)"/>
    <numFmt numFmtId="43" formatCode="_(* #,##0.00_);_(* \(#,##0.00\);_(* &quot;-&quot;??_);_(@_)"/>
    <numFmt numFmtId="164" formatCode="0.0000000000"/>
    <numFmt numFmtId="165" formatCode="_-* #,##0.0_-;\-* #,##0.0_-;_-* &quot;-&quot;??_-;_-@_-"/>
    <numFmt numFmtId="166" formatCode="#,##0.00&quot; $&quot;;\-#,##0.00&quot; $&quot;"/>
    <numFmt numFmtId="167" formatCode="0.00_)"/>
    <numFmt numFmtId="168" formatCode="mmm"/>
    <numFmt numFmtId="169" formatCode="_(* #,##0_);_(* \(#,##0\);_(* &quot;-&quot;??_);_(@_)"/>
    <numFmt numFmtId="170" formatCode="0.0"/>
    <numFmt numFmtId="171" formatCode="&quot;$&quot;#,##0"/>
    <numFmt numFmtId="172" formatCode="_(&quot;$&quot;* #,##0.0000_);_(&quot;$&quot;* \(#,##0.0000\);_(&quot;$&quot;* &quot;-&quot;??_);_(@_)"/>
    <numFmt numFmtId="173" formatCode="m\-d\-yy"/>
    <numFmt numFmtId="174" formatCode="_(* #,##0.0_);_(* \(#,##0.00\);_(* &quot;-&quot;??_);_(@_)"/>
    <numFmt numFmtId="175" formatCode="General_)"/>
    <numFmt numFmtId="176" formatCode="0.000"/>
    <numFmt numFmtId="177" formatCode="&quot;fl&quot;#,##0_);\(&quot;fl&quot;#,##0\)"/>
    <numFmt numFmtId="178" formatCode="&quot;fl&quot;#,##0_);[Red]\(&quot;fl&quot;#,##0\)"/>
    <numFmt numFmtId="179" formatCode="_(* #,##0.00_);_(* \(#,##0.00\);_(* \-??_);_(@_)"/>
    <numFmt numFmtId="180" formatCode="_(\$* #,##0.00_);_(\$* \(#,##0.00\);_(\$* \-??_);_(@_)"/>
    <numFmt numFmtId="181" formatCode="_-* #,##0_-;\-* #,##0_-;_-* &quot;-&quot;_-;_-@_-"/>
    <numFmt numFmtId="182" formatCode="dd"/>
    <numFmt numFmtId="183" formatCode="_(&quot;$&quot;* #,##0.00000_);_(&quot;$&quot;* \(#,##0.00000\);_(&quot;$&quot;* &quot;-&quot;??_);_(@_)"/>
    <numFmt numFmtId="184" formatCode="#,##0.0"/>
    <numFmt numFmtId="185" formatCode="0.0000"/>
    <numFmt numFmtId="186" formatCode="_(* #,##0.000_);_(* \(#,##0.000\);_(* &quot;-&quot;??_);_(@_)"/>
    <numFmt numFmtId="187" formatCode="0.000_);\(0.000\)"/>
  </numFmts>
  <fonts count="5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Geneva"/>
    </font>
    <font>
      <sz val="11"/>
      <color indexed="8"/>
      <name val="Calibri"/>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0"/>
      <name val="Times New Roman"/>
      <family val="1"/>
    </font>
    <font>
      <sz val="12"/>
      <name val="Arial"/>
      <family val="2"/>
    </font>
    <font>
      <b/>
      <sz val="10"/>
      <name val="Arial"/>
      <family val="2"/>
    </font>
    <font>
      <sz val="9"/>
      <name val="Times New Roman"/>
      <family val="1"/>
    </font>
    <font>
      <sz val="10"/>
      <name val="Courier"/>
      <family val="3"/>
    </font>
    <font>
      <b/>
      <sz val="24"/>
      <color indexed="8"/>
      <name val="Arial"/>
      <family val="2"/>
    </font>
    <font>
      <sz val="10"/>
      <color indexed="8"/>
      <name val="Arial"/>
      <family val="2"/>
    </font>
    <font>
      <b/>
      <sz val="12"/>
      <name val="Arial"/>
      <family val="2"/>
    </font>
    <font>
      <u/>
      <sz val="10"/>
      <color indexed="12"/>
      <name val="Arial"/>
      <family val="2"/>
    </font>
    <font>
      <u/>
      <sz val="9"/>
      <color theme="10"/>
      <name val="Arial"/>
      <family val="2"/>
    </font>
    <font>
      <u/>
      <sz val="11"/>
      <color theme="10"/>
      <name val="Calibri"/>
      <family val="2"/>
      <scheme val="minor"/>
    </font>
    <font>
      <sz val="10"/>
      <color indexed="8"/>
      <name val="MS Sans Serif"/>
      <family val="2"/>
    </font>
    <font>
      <sz val="9"/>
      <color indexed="81"/>
      <name val="Tahoma"/>
      <family val="2"/>
    </font>
    <font>
      <b/>
      <sz val="9"/>
      <color indexed="81"/>
      <name val="Tahoma"/>
      <family val="2"/>
    </font>
    <font>
      <sz val="11"/>
      <name val="Arial"/>
      <family val="2"/>
    </font>
    <font>
      <i/>
      <sz val="11"/>
      <name val="Arial"/>
      <family val="2"/>
    </font>
    <font>
      <sz val="12"/>
      <color theme="1"/>
      <name val="Arial"/>
      <family val="2"/>
    </font>
    <font>
      <i/>
      <sz val="12"/>
      <name val="Arial"/>
      <family val="2"/>
    </font>
    <font>
      <b/>
      <i/>
      <sz val="12"/>
      <name val="Arial"/>
      <family val="2"/>
    </font>
    <font>
      <b/>
      <sz val="12"/>
      <color theme="1"/>
      <name val="Arial"/>
      <family val="2"/>
    </font>
    <font>
      <sz val="24"/>
      <name val="Arial"/>
      <family val="2"/>
    </font>
    <font>
      <vertAlign val="superscript"/>
      <sz val="12"/>
      <color theme="1"/>
      <name val="Arial"/>
      <family val="2"/>
    </font>
    <font>
      <i/>
      <sz val="10"/>
      <color theme="1"/>
      <name val="Arial"/>
      <family val="2"/>
    </font>
    <font>
      <sz val="14"/>
      <name val="Arial"/>
      <family val="2"/>
    </font>
    <font>
      <sz val="12"/>
      <color theme="0"/>
      <name val="Arial"/>
      <family val="2"/>
    </font>
    <font>
      <b/>
      <sz val="11"/>
      <name val="Arial"/>
      <family val="2"/>
    </font>
    <font>
      <sz val="14"/>
      <color theme="1"/>
      <name val="Arial"/>
      <family val="2"/>
    </font>
    <font>
      <sz val="27"/>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DE7DE"/>
        <bgColor indexed="64"/>
      </patternFill>
    </fill>
    <fill>
      <patternFill patternType="solid">
        <fgColor rgb="FF003045"/>
        <bgColor indexed="64"/>
      </patternFill>
    </fill>
    <fill>
      <patternFill patternType="solid">
        <fgColor rgb="FFE5E5E5"/>
        <bgColor indexed="64"/>
      </patternFill>
    </fill>
    <fill>
      <patternFill patternType="solid">
        <fgColor rgb="FFF5F5F5"/>
        <bgColor indexed="64"/>
      </patternFill>
    </fill>
    <fill>
      <patternFill patternType="solid">
        <fgColor rgb="FF16A837"/>
        <bgColor indexed="64"/>
      </patternFill>
    </fill>
    <fill>
      <patternFill patternType="solid">
        <fgColor rgb="FF0099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dashed">
        <color indexed="64"/>
      </left>
      <right style="dashed">
        <color indexed="64"/>
      </right>
      <top style="dashed">
        <color indexed="64"/>
      </top>
      <bottom style="dashed">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bottom style="thin">
        <color indexed="64"/>
      </bottom>
      <diagonal/>
    </border>
    <border>
      <left style="thin">
        <color rgb="FF003045"/>
      </left>
      <right style="thin">
        <color rgb="FF003045"/>
      </right>
      <top style="thin">
        <color rgb="FF003045"/>
      </top>
      <bottom style="thin">
        <color rgb="FF003045"/>
      </bottom>
      <diagonal/>
    </border>
    <border>
      <left style="thin">
        <color rgb="FF003045"/>
      </left>
      <right/>
      <top style="thin">
        <color rgb="FF003045"/>
      </top>
      <bottom style="thin">
        <color rgb="FF003045"/>
      </bottom>
      <diagonal/>
    </border>
    <border>
      <left/>
      <right/>
      <top style="thin">
        <color rgb="FF003045"/>
      </top>
      <bottom style="thin">
        <color rgb="FF003045"/>
      </bottom>
      <diagonal/>
    </border>
    <border>
      <left/>
      <right style="thin">
        <color rgb="FF003045"/>
      </right>
      <top style="thin">
        <color rgb="FF003045"/>
      </top>
      <bottom style="thin">
        <color rgb="FF003045"/>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3045"/>
      </left>
      <right style="thin">
        <color rgb="FF003045"/>
      </right>
      <top/>
      <bottom style="thin">
        <color rgb="FF003045"/>
      </bottom>
      <diagonal/>
    </border>
  </borders>
  <cellStyleXfs count="45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applyNumberFormat="0" applyFill="0" applyBorder="0" applyAlignment="0" applyProtection="0"/>
    <xf numFmtId="164" fontId="19" fillId="34" borderId="11">
      <alignment horizontal="center" vertical="center"/>
    </xf>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6" fontId="21" fillId="0" borderId="0">
      <protection locked="0"/>
    </xf>
    <xf numFmtId="165" fontId="18" fillId="0" borderId="0">
      <protection locked="0"/>
    </xf>
    <xf numFmtId="38" fontId="22" fillId="35" borderId="0" applyNumberFormat="0" applyBorder="0" applyAlignment="0" applyProtection="0"/>
    <xf numFmtId="0" fontId="23" fillId="0" borderId="0" applyNumberFormat="0" applyFill="0" applyBorder="0" applyAlignment="0" applyProtection="0"/>
    <xf numFmtId="166" fontId="18" fillId="0" borderId="0">
      <protection locked="0"/>
    </xf>
    <xf numFmtId="166" fontId="18" fillId="0" borderId="0">
      <protection locked="0"/>
    </xf>
    <xf numFmtId="0" fontId="24" fillId="0" borderId="12" applyNumberFormat="0" applyFill="0" applyAlignment="0" applyProtection="0"/>
    <xf numFmtId="10" fontId="22" fillId="36" borderId="10" applyNumberFormat="0" applyBorder="0" applyAlignment="0" applyProtection="0"/>
    <xf numFmtId="37" fontId="25" fillId="0" borderId="0"/>
    <xf numFmtId="167" fontId="26"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7" fontId="22" fillId="37" borderId="0" applyNumberFormat="0" applyBorder="0" applyAlignment="0" applyProtection="0"/>
    <xf numFmtId="37" fontId="22" fillId="0" borderId="0"/>
    <xf numFmtId="3" fontId="27" fillId="0" borderId="12" applyProtection="0"/>
    <xf numFmtId="2" fontId="28" fillId="35" borderId="13" applyNumberFormat="0">
      <alignment horizontal="center" vertical="center"/>
    </xf>
    <xf numFmtId="168" fontId="28" fillId="35" borderId="13" applyNumberFormat="0" applyFont="0">
      <alignment horizontal="center" vertical="center"/>
    </xf>
    <xf numFmtId="3" fontId="28" fillId="38" borderId="0" applyNumberFormat="0">
      <alignment horizontal="center" vertical="center"/>
      <protection locked="0"/>
    </xf>
    <xf numFmtId="0" fontId="28" fillId="35" borderId="13" applyNumberFormat="0" applyAlignment="0"/>
    <xf numFmtId="0" fontId="18" fillId="0" borderId="0"/>
    <xf numFmtId="44" fontId="1" fillId="0" borderId="0" applyFon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8" fillId="0" borderId="0" applyNumberFormat="0" applyFill="0" applyBorder="0" applyAlignment="0" applyProtection="0"/>
    <xf numFmtId="173" fontId="30" fillId="34" borderId="11">
      <alignment horizontal="center" vertical="center"/>
    </xf>
    <xf numFmtId="174" fontId="31" fillId="0" borderId="0" applyFill="0" applyBorder="0" applyAlignment="0"/>
    <xf numFmtId="175" fontId="31" fillId="0" borderId="0" applyFill="0" applyBorder="0" applyAlignment="0"/>
    <xf numFmtId="176" fontId="31" fillId="0" borderId="0" applyFill="0" applyBorder="0" applyAlignment="0"/>
    <xf numFmtId="177" fontId="31" fillId="0" borderId="0" applyFill="0" applyBorder="0" applyAlignment="0"/>
    <xf numFmtId="178" fontId="31" fillId="0" borderId="0" applyFill="0" applyBorder="0" applyAlignment="0"/>
    <xf numFmtId="174" fontId="31" fillId="0" borderId="0" applyFill="0" applyBorder="0" applyAlignment="0"/>
    <xf numFmtId="178" fontId="32" fillId="0" borderId="0" applyFill="0" applyBorder="0" applyAlignment="0"/>
    <xf numFmtId="175" fontId="31" fillId="0" borderId="0" applyFill="0" applyBorder="0" applyAlignment="0"/>
    <xf numFmtId="174" fontId="3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9"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9" fontId="18" fillId="0" borderId="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3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3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80"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80" fontId="18" fillId="0" borderId="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4" fontId="34" fillId="0" borderId="0" applyFill="0" applyBorder="0" applyAlignment="0"/>
    <xf numFmtId="181" fontId="18" fillId="0" borderId="16">
      <alignment vertical="center"/>
    </xf>
    <xf numFmtId="174" fontId="31" fillId="0" borderId="0" applyFill="0" applyBorder="0" applyAlignment="0"/>
    <xf numFmtId="175" fontId="31" fillId="0" borderId="0" applyFill="0" applyBorder="0" applyAlignment="0"/>
    <xf numFmtId="174" fontId="31" fillId="0" borderId="0" applyFill="0" applyBorder="0" applyAlignment="0"/>
    <xf numFmtId="178" fontId="32" fillId="0" borderId="0" applyFill="0" applyBorder="0" applyAlignment="0"/>
    <xf numFmtId="175" fontId="31" fillId="0" borderId="0" applyFill="0" applyBorder="0" applyAlignment="0"/>
    <xf numFmtId="38" fontId="22" fillId="35" borderId="0" applyNumberFormat="0" applyBorder="0" applyAlignment="0" applyProtection="0"/>
    <xf numFmtId="0" fontId="35" fillId="0" borderId="14" applyNumberFormat="0" applyAlignment="0" applyProtection="0">
      <alignment horizontal="left" vertical="center"/>
    </xf>
    <xf numFmtId="0" fontId="35" fillId="0" borderId="15">
      <alignment horizontal="left" vertical="center"/>
    </xf>
    <xf numFmtId="0" fontId="35" fillId="0" borderId="15">
      <alignment horizontal="left" vertical="center"/>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10" fontId="22" fillId="36" borderId="10" applyNumberFormat="0" applyBorder="0" applyAlignment="0" applyProtection="0"/>
    <xf numFmtId="174" fontId="31" fillId="0" borderId="0" applyFill="0" applyBorder="0" applyAlignment="0"/>
    <xf numFmtId="175" fontId="31" fillId="0" borderId="0" applyFill="0" applyBorder="0" applyAlignment="0"/>
    <xf numFmtId="174" fontId="31" fillId="0" borderId="0" applyFill="0" applyBorder="0" applyAlignment="0"/>
    <xf numFmtId="178" fontId="32" fillId="0" borderId="0" applyFill="0" applyBorder="0" applyAlignment="0"/>
    <xf numFmtId="175" fontId="31" fillId="0" borderId="0" applyFill="0" applyBorder="0" applyAlignment="0"/>
    <xf numFmtId="0" fontId="18" fillId="0" borderId="0"/>
    <xf numFmtId="0" fontId="1" fillId="0" borderId="0"/>
    <xf numFmtId="0" fontId="1" fillId="0" borderId="0"/>
    <xf numFmtId="0" fontId="18" fillId="0" borderId="0"/>
    <xf numFmtId="0" fontId="18" fillId="0" borderId="0"/>
    <xf numFmtId="0" fontId="18"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9" fillId="0" borderId="0"/>
    <xf numFmtId="0" fontId="39" fillId="0" borderId="0"/>
    <xf numFmtId="0" fontId="39" fillId="0" borderId="0"/>
    <xf numFmtId="0" fontId="18" fillId="0" borderId="0"/>
    <xf numFmtId="0" fontId="1" fillId="0" borderId="0"/>
    <xf numFmtId="0" fontId="18" fillId="0" borderId="0"/>
    <xf numFmtId="0" fontId="18" fillId="0" borderId="0"/>
    <xf numFmtId="0" fontId="18" fillId="0" borderId="0"/>
    <xf numFmtId="0" fontId="18" fillId="0" borderId="0"/>
    <xf numFmtId="0" fontId="39" fillId="0" borderId="0"/>
    <xf numFmtId="0" fontId="1" fillId="0" borderId="0"/>
    <xf numFmtId="0" fontId="1"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20"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178" fontId="31" fillId="0" borderId="0" applyFont="0" applyFill="0" applyBorder="0" applyAlignment="0" applyProtection="0"/>
    <xf numFmtId="182"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4" fontId="31" fillId="0" borderId="0" applyFill="0" applyBorder="0" applyAlignment="0"/>
    <xf numFmtId="175" fontId="31" fillId="0" borderId="0" applyFill="0" applyBorder="0" applyAlignment="0"/>
    <xf numFmtId="174" fontId="31" fillId="0" borderId="0" applyFill="0" applyBorder="0" applyAlignment="0"/>
    <xf numFmtId="178" fontId="32" fillId="0" borderId="0" applyFill="0" applyBorder="0" applyAlignment="0"/>
    <xf numFmtId="175" fontId="31" fillId="0" borderId="0" applyFill="0" applyBorder="0" applyAlignment="0"/>
    <xf numFmtId="49" fontId="34" fillId="0" borderId="0" applyFill="0" applyBorder="0" applyAlignment="0"/>
    <xf numFmtId="183" fontId="18" fillId="0" borderId="0" applyFill="0" applyBorder="0" applyAlignment="0"/>
    <xf numFmtId="172" fontId="18" fillId="0" borderId="0" applyFill="0" applyBorder="0" applyAlignment="0"/>
    <xf numFmtId="166" fontId="18" fillId="0" borderId="17">
      <protection locked="0"/>
    </xf>
    <xf numFmtId="37" fontId="22" fillId="37" borderId="0" applyNumberFormat="0" applyBorder="0" applyAlignment="0" applyProtection="0"/>
  </cellStyleXfs>
  <cellXfs count="284">
    <xf numFmtId="0" fontId="0" fillId="0" borderId="0" xfId="0"/>
    <xf numFmtId="0" fontId="0" fillId="33" borderId="0" xfId="0" applyFill="1"/>
    <xf numFmtId="0" fontId="0" fillId="33" borderId="0" xfId="0" applyFill="1"/>
    <xf numFmtId="0" fontId="16" fillId="0" borderId="10" xfId="0" applyFont="1" applyBorder="1" applyAlignment="1">
      <alignment horizontal="center" vertical="center" wrapText="1"/>
    </xf>
    <xf numFmtId="0" fontId="0" fillId="0" borderId="10" xfId="0"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0" xfId="0" applyAlignment="1">
      <alignment horizontal="center" vertical="center"/>
    </xf>
    <xf numFmtId="0" fontId="29" fillId="33" borderId="0" xfId="0" applyFont="1" applyFill="1" applyBorder="1"/>
    <xf numFmtId="0" fontId="44" fillId="0" borderId="0" xfId="0" applyFont="1"/>
    <xf numFmtId="0" fontId="44" fillId="0" borderId="0" xfId="0" applyFont="1" applyAlignment="1">
      <alignment horizontal="center" vertical="center" wrapText="1"/>
    </xf>
    <xf numFmtId="0" fontId="48" fillId="33" borderId="0" xfId="0" applyFont="1" applyFill="1" applyBorder="1" applyAlignment="1"/>
    <xf numFmtId="0" fontId="44" fillId="0" borderId="0" xfId="0" applyFont="1" applyAlignment="1">
      <alignment horizontal="left" vertical="top"/>
    </xf>
    <xf numFmtId="0" fontId="44" fillId="0" borderId="32" xfId="0" applyFont="1" applyBorder="1" applyAlignment="1">
      <alignment horizontal="left" wrapText="1"/>
    </xf>
    <xf numFmtId="0" fontId="44" fillId="0" borderId="0" xfId="0" applyFont="1" applyBorder="1" applyAlignment="1">
      <alignment horizontal="left" wrapText="1"/>
    </xf>
    <xf numFmtId="0" fontId="44" fillId="44" borderId="10" xfId="0" applyFont="1" applyFill="1" applyBorder="1" applyAlignment="1">
      <alignment horizontal="left" vertical="top"/>
    </xf>
    <xf numFmtId="170" fontId="44" fillId="0" borderId="10" xfId="0" applyNumberFormat="1" applyFont="1" applyBorder="1" applyAlignment="1">
      <alignment horizontal="left" vertical="top"/>
    </xf>
    <xf numFmtId="0" fontId="44" fillId="0" borderId="10" xfId="0" applyFont="1" applyBorder="1" applyAlignment="1">
      <alignment horizontal="left" vertical="top"/>
    </xf>
    <xf numFmtId="0" fontId="44" fillId="0" borderId="10" xfId="0" applyFont="1" applyBorder="1"/>
    <xf numFmtId="0" fontId="47" fillId="0" borderId="10" xfId="0" applyFont="1" applyBorder="1"/>
    <xf numFmtId="37" fontId="44" fillId="0" borderId="10" xfId="1" applyNumberFormat="1" applyFont="1" applyBorder="1" applyAlignment="1">
      <alignment horizontal="left" vertical="top"/>
    </xf>
    <xf numFmtId="2" fontId="44" fillId="0" borderId="10" xfId="0" applyNumberFormat="1" applyFont="1" applyBorder="1" applyAlignment="1">
      <alignment horizontal="left" vertical="top"/>
    </xf>
    <xf numFmtId="0" fontId="47" fillId="0" borderId="10" xfId="0" applyFont="1" applyBorder="1" applyAlignment="1">
      <alignment horizontal="left" vertical="top"/>
    </xf>
    <xf numFmtId="9" fontId="44" fillId="0" borderId="10" xfId="0" applyNumberFormat="1" applyFont="1" applyBorder="1" applyAlignment="1">
      <alignment horizontal="left" vertical="top"/>
    </xf>
    <xf numFmtId="187" fontId="44" fillId="0" borderId="10" xfId="0" applyNumberFormat="1" applyFont="1" applyBorder="1" applyAlignment="1">
      <alignment horizontal="left" vertical="top"/>
    </xf>
    <xf numFmtId="0" fontId="29" fillId="33" borderId="0" xfId="0" applyFont="1" applyFill="1" applyBorder="1" applyAlignment="1" applyProtection="1">
      <alignment horizontal="center" vertical="center"/>
    </xf>
    <xf numFmtId="0" fontId="29" fillId="33" borderId="0" xfId="0" applyFont="1" applyFill="1" applyBorder="1" applyAlignment="1" applyProtection="1">
      <alignment horizontal="left" vertical="center"/>
    </xf>
    <xf numFmtId="3" fontId="29" fillId="33" borderId="0" xfId="0" applyNumberFormat="1" applyFont="1" applyFill="1" applyBorder="1" applyAlignment="1" applyProtection="1">
      <alignment horizontal="center" vertical="center"/>
    </xf>
    <xf numFmtId="9" fontId="29" fillId="33" borderId="0" xfId="2" applyFont="1" applyFill="1" applyBorder="1" applyAlignment="1" applyProtection="1">
      <alignment horizontal="center" vertical="center"/>
    </xf>
    <xf numFmtId="3" fontId="29" fillId="33" borderId="0" xfId="0" applyNumberFormat="1" applyFont="1" applyFill="1" applyBorder="1" applyAlignment="1" applyProtection="1">
      <alignment horizontal="left" vertical="center"/>
    </xf>
    <xf numFmtId="0" fontId="29" fillId="40" borderId="0" xfId="0" applyFont="1" applyFill="1" applyBorder="1" applyAlignment="1" applyProtection="1">
      <alignment horizontal="center" vertical="center"/>
    </xf>
    <xf numFmtId="0" fontId="35" fillId="40" borderId="0" xfId="0" applyFont="1" applyFill="1" applyBorder="1" applyAlignment="1" applyProtection="1">
      <alignment horizontal="left" vertical="center"/>
    </xf>
    <xf numFmtId="3" fontId="29" fillId="40" borderId="0" xfId="0" applyNumberFormat="1" applyFont="1" applyFill="1" applyBorder="1" applyAlignment="1" applyProtection="1">
      <alignment horizontal="center" vertical="center"/>
    </xf>
    <xf numFmtId="9" fontId="29" fillId="33" borderId="0" xfId="2" applyNumberFormat="1" applyFont="1" applyFill="1" applyBorder="1" applyAlignment="1" applyProtection="1">
      <alignment horizontal="center" vertical="center"/>
    </xf>
    <xf numFmtId="9" fontId="29" fillId="33" borderId="0" xfId="0" applyNumberFormat="1" applyFont="1" applyFill="1" applyBorder="1" applyAlignment="1" applyProtection="1">
      <alignment horizontal="center" vertical="center"/>
    </xf>
    <xf numFmtId="3" fontId="29" fillId="33" borderId="0" xfId="2" applyNumberFormat="1" applyFont="1" applyFill="1" applyBorder="1" applyAlignment="1" applyProtection="1">
      <alignment horizontal="center" vertical="center"/>
    </xf>
    <xf numFmtId="169" fontId="29" fillId="33" borderId="0" xfId="2" applyNumberFormat="1" applyFont="1" applyFill="1" applyBorder="1" applyAlignment="1" applyProtection="1">
      <alignment horizontal="center" vertical="center"/>
    </xf>
    <xf numFmtId="10" fontId="29" fillId="33" borderId="0" xfId="2" applyNumberFormat="1" applyFont="1" applyFill="1" applyBorder="1" applyAlignment="1" applyProtection="1">
      <alignment horizontal="center" vertical="center"/>
    </xf>
    <xf numFmtId="10" fontId="29" fillId="33" borderId="0" xfId="0" applyNumberFormat="1" applyFont="1" applyFill="1" applyBorder="1" applyAlignment="1" applyProtection="1">
      <alignment horizontal="center" vertical="center"/>
    </xf>
    <xf numFmtId="0" fontId="48"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top"/>
    </xf>
    <xf numFmtId="0" fontId="35" fillId="41" borderId="0" xfId="0" applyFont="1" applyFill="1" applyBorder="1" applyAlignment="1" applyProtection="1">
      <alignment horizontal="left" vertical="top"/>
    </xf>
    <xf numFmtId="44" fontId="35" fillId="41" borderId="0" xfId="99" applyFont="1" applyFill="1" applyBorder="1" applyAlignment="1" applyProtection="1">
      <alignment horizontal="left" vertical="top"/>
    </xf>
    <xf numFmtId="169" fontId="29" fillId="41" borderId="0" xfId="2" applyNumberFormat="1" applyFont="1" applyFill="1" applyBorder="1" applyAlignment="1" applyProtection="1">
      <alignment horizontal="left" vertical="top"/>
    </xf>
    <xf numFmtId="44" fontId="35" fillId="41" borderId="0" xfId="99" applyNumberFormat="1" applyFont="1" applyFill="1" applyBorder="1" applyAlignment="1" applyProtection="1">
      <alignment horizontal="left" vertical="top"/>
    </xf>
    <xf numFmtId="43" fontId="29" fillId="41" borderId="0" xfId="1" applyFont="1" applyFill="1" applyBorder="1" applyAlignment="1" applyProtection="1">
      <alignment horizontal="left" vertical="top"/>
    </xf>
    <xf numFmtId="0" fontId="35" fillId="42" borderId="0" xfId="0" applyFont="1" applyFill="1" applyBorder="1" applyAlignment="1" applyProtection="1">
      <alignment horizontal="left" vertical="top"/>
    </xf>
    <xf numFmtId="0" fontId="29" fillId="33" borderId="0" xfId="0" applyFont="1" applyFill="1" applyBorder="1" applyProtection="1"/>
    <xf numFmtId="0" fontId="29" fillId="0" borderId="0" xfId="0" applyFont="1" applyBorder="1" applyProtection="1"/>
    <xf numFmtId="0" fontId="3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xf>
    <xf numFmtId="0" fontId="29" fillId="0" borderId="19" xfId="0" applyFont="1" applyFill="1" applyBorder="1" applyAlignment="1" applyProtection="1">
      <alignment horizontal="left" vertical="top"/>
    </xf>
    <xf numFmtId="0" fontId="29" fillId="0" borderId="35" xfId="0" applyFont="1" applyFill="1" applyBorder="1" applyAlignment="1" applyProtection="1">
      <alignment horizontal="left" vertical="top" indent="2"/>
    </xf>
    <xf numFmtId="0" fontId="29" fillId="0" borderId="19" xfId="0" applyFont="1" applyFill="1" applyBorder="1" applyAlignment="1" applyProtection="1">
      <alignment horizontal="left" vertical="top" indent="2"/>
    </xf>
    <xf numFmtId="0" fontId="52" fillId="0" borderId="19" xfId="0" applyFont="1" applyFill="1" applyBorder="1" applyAlignment="1" applyProtection="1">
      <alignment horizontal="left" vertical="top" indent="2"/>
    </xf>
    <xf numFmtId="0" fontId="46" fillId="0" borderId="19" xfId="0" applyFont="1" applyFill="1" applyBorder="1" applyAlignment="1" applyProtection="1">
      <alignment horizontal="left" vertical="top"/>
    </xf>
    <xf numFmtId="0" fontId="45" fillId="0" borderId="19" xfId="0" applyFont="1" applyFill="1" applyBorder="1" applyAlignment="1" applyProtection="1">
      <alignment horizontal="left" vertical="top" indent="6"/>
    </xf>
    <xf numFmtId="0" fontId="45" fillId="0" borderId="19" xfId="0" applyFont="1" applyFill="1" applyBorder="1" applyAlignment="1" applyProtection="1">
      <alignment horizontal="left" vertical="top" indent="2"/>
    </xf>
    <xf numFmtId="0" fontId="45" fillId="41" borderId="19" xfId="0" applyFont="1" applyFill="1" applyBorder="1" applyAlignment="1" applyProtection="1">
      <alignment horizontal="left" vertical="top" indent="2"/>
    </xf>
    <xf numFmtId="2" fontId="29" fillId="41" borderId="19" xfId="2" applyNumberFormat="1" applyFont="1" applyFill="1" applyBorder="1" applyAlignment="1" applyProtection="1">
      <alignment horizontal="left" vertical="top"/>
      <protection hidden="1"/>
    </xf>
    <xf numFmtId="3" fontId="29" fillId="33" borderId="0" xfId="0" applyNumberFormat="1" applyFont="1" applyFill="1" applyBorder="1" applyProtection="1"/>
    <xf numFmtId="0" fontId="45" fillId="41" borderId="0" xfId="0" applyFont="1" applyFill="1" applyBorder="1" applyAlignment="1" applyProtection="1">
      <alignment horizontal="left" vertical="top" wrapText="1"/>
    </xf>
    <xf numFmtId="169" fontId="29" fillId="41" borderId="0" xfId="2" applyNumberFormat="1" applyFont="1" applyFill="1" applyBorder="1" applyAlignment="1" applyProtection="1">
      <alignment horizontal="left" vertical="top" wrapText="1"/>
    </xf>
    <xf numFmtId="43" fontId="29" fillId="41" borderId="0" xfId="1" applyFont="1" applyFill="1" applyBorder="1" applyAlignment="1" applyProtection="1">
      <alignment horizontal="left" vertical="top" wrapText="1"/>
    </xf>
    <xf numFmtId="9" fontId="29" fillId="41" borderId="0" xfId="2" applyNumberFormat="1" applyFont="1" applyFill="1" applyBorder="1" applyAlignment="1" applyProtection="1">
      <alignment horizontal="left" vertical="top" wrapText="1"/>
    </xf>
    <xf numFmtId="169" fontId="29" fillId="41" borderId="0" xfId="1" applyNumberFormat="1" applyFont="1" applyFill="1" applyBorder="1" applyAlignment="1" applyProtection="1">
      <alignment horizontal="left" vertical="top" wrapText="1"/>
    </xf>
    <xf numFmtId="43" fontId="29" fillId="41" borderId="0" xfId="1" applyNumberFormat="1" applyFont="1" applyFill="1" applyBorder="1" applyAlignment="1" applyProtection="1">
      <alignment horizontal="left" vertical="top" wrapText="1"/>
    </xf>
    <xf numFmtId="0" fontId="46" fillId="41" borderId="0" xfId="0" applyFont="1" applyFill="1" applyBorder="1" applyAlignment="1" applyProtection="1">
      <alignment horizontal="left" vertical="top" wrapText="1"/>
    </xf>
    <xf numFmtId="169" fontId="35" fillId="41" borderId="0" xfId="1" applyNumberFormat="1" applyFont="1" applyFill="1" applyBorder="1" applyAlignment="1" applyProtection="1">
      <alignment horizontal="left" vertical="top" wrapText="1"/>
    </xf>
    <xf numFmtId="43" fontId="35" fillId="41" borderId="0" xfId="1" applyFont="1" applyFill="1" applyBorder="1" applyAlignment="1" applyProtection="1">
      <alignment horizontal="left" vertical="top" wrapText="1"/>
    </xf>
    <xf numFmtId="0" fontId="45" fillId="41" borderId="0" xfId="0" applyFont="1" applyFill="1" applyBorder="1" applyAlignment="1" applyProtection="1">
      <alignment horizontal="left" vertical="top" indent="2"/>
    </xf>
    <xf numFmtId="0" fontId="35" fillId="0" borderId="19" xfId="0" applyFont="1" applyFill="1" applyBorder="1" applyAlignment="1" applyProtection="1">
      <alignment horizontal="left" vertical="top"/>
    </xf>
    <xf numFmtId="3" fontId="42" fillId="0" borderId="0" xfId="0" applyNumberFormat="1" applyFont="1" applyBorder="1" applyAlignment="1">
      <alignment horizontal="left" vertical="top" wrapText="1"/>
    </xf>
    <xf numFmtId="3" fontId="42" fillId="0" borderId="10" xfId="0" applyNumberFormat="1" applyFont="1" applyBorder="1" applyAlignment="1">
      <alignment horizontal="left" vertical="top" wrapText="1"/>
    </xf>
    <xf numFmtId="3" fontId="42" fillId="0" borderId="10" xfId="0" applyNumberFormat="1" applyFont="1" applyBorder="1" applyAlignment="1">
      <alignment horizontal="left" vertical="top"/>
    </xf>
    <xf numFmtId="3" fontId="43" fillId="44" borderId="10" xfId="0" applyNumberFormat="1" applyFont="1" applyFill="1" applyBorder="1" applyAlignment="1">
      <alignment horizontal="left" vertical="top"/>
    </xf>
    <xf numFmtId="3" fontId="43" fillId="0" borderId="10" xfId="0" applyNumberFormat="1" applyFont="1" applyBorder="1" applyAlignment="1">
      <alignment horizontal="left" vertical="top"/>
    </xf>
    <xf numFmtId="3" fontId="43" fillId="44" borderId="27" xfId="0" applyNumberFormat="1" applyFont="1" applyFill="1" applyBorder="1" applyAlignment="1">
      <alignment horizontal="left" vertical="top"/>
    </xf>
    <xf numFmtId="3" fontId="42" fillId="44" borderId="10" xfId="0" applyNumberFormat="1" applyFont="1" applyFill="1" applyBorder="1" applyAlignment="1">
      <alignment horizontal="left" vertical="top"/>
    </xf>
    <xf numFmtId="3" fontId="42" fillId="44" borderId="27" xfId="0" applyNumberFormat="1" applyFont="1" applyFill="1" applyBorder="1" applyAlignment="1">
      <alignment horizontal="left" vertical="top"/>
    </xf>
    <xf numFmtId="3" fontId="42" fillId="44" borderId="10" xfId="0" applyNumberFormat="1" applyFont="1" applyFill="1" applyBorder="1" applyAlignment="1" applyProtection="1">
      <alignment horizontal="left" vertical="top"/>
    </xf>
    <xf numFmtId="3" fontId="42" fillId="0" borderId="0" xfId="0" applyNumberFormat="1" applyFont="1" applyAlignment="1">
      <alignment horizontal="left" vertical="top"/>
    </xf>
    <xf numFmtId="3" fontId="42" fillId="43" borderId="10" xfId="0" applyNumberFormat="1" applyFont="1" applyFill="1" applyBorder="1" applyAlignment="1" applyProtection="1">
      <alignment horizontal="left" vertical="top"/>
    </xf>
    <xf numFmtId="4" fontId="42" fillId="0" borderId="0" xfId="0" applyNumberFormat="1" applyFont="1" applyAlignment="1">
      <alignment horizontal="left" vertical="top"/>
    </xf>
    <xf numFmtId="3" fontId="42" fillId="44" borderId="19" xfId="0" applyNumberFormat="1" applyFont="1" applyFill="1" applyBorder="1" applyAlignment="1" applyProtection="1">
      <alignment horizontal="left" vertical="top"/>
    </xf>
    <xf numFmtId="3" fontId="42" fillId="43" borderId="28" xfId="0" applyNumberFormat="1" applyFont="1" applyFill="1" applyBorder="1" applyAlignment="1" applyProtection="1">
      <alignment horizontal="left" vertical="top" wrapText="1"/>
    </xf>
    <xf numFmtId="3" fontId="42" fillId="43" borderId="25" xfId="0" applyNumberFormat="1" applyFont="1" applyFill="1" applyBorder="1" applyAlignment="1" applyProtection="1">
      <alignment horizontal="left" vertical="top" wrapText="1"/>
    </xf>
    <xf numFmtId="3" fontId="42" fillId="44" borderId="25" xfId="0" applyNumberFormat="1" applyFont="1" applyFill="1" applyBorder="1" applyAlignment="1" applyProtection="1">
      <alignment horizontal="left" vertical="top" wrapText="1"/>
    </xf>
    <xf numFmtId="3" fontId="42" fillId="44" borderId="29" xfId="0" applyNumberFormat="1" applyFont="1" applyFill="1" applyBorder="1" applyAlignment="1" applyProtection="1">
      <alignment horizontal="left" vertical="top" wrapText="1"/>
    </xf>
    <xf numFmtId="3" fontId="42" fillId="0" borderId="0" xfId="0" applyNumberFormat="1" applyFont="1" applyAlignment="1">
      <alignment horizontal="left" vertical="top" wrapText="1"/>
    </xf>
    <xf numFmtId="3" fontId="43" fillId="44" borderId="23" xfId="0" applyNumberFormat="1" applyFont="1" applyFill="1" applyBorder="1" applyAlignment="1">
      <alignment horizontal="left" vertical="top"/>
    </xf>
    <xf numFmtId="3" fontId="43" fillId="44" borderId="24" xfId="0" applyNumberFormat="1" applyFont="1" applyFill="1" applyBorder="1" applyAlignment="1">
      <alignment horizontal="left" vertical="top"/>
    </xf>
    <xf numFmtId="3" fontId="43" fillId="0" borderId="23" xfId="0" applyNumberFormat="1" applyFont="1" applyBorder="1" applyAlignment="1">
      <alignment horizontal="left" vertical="top"/>
    </xf>
    <xf numFmtId="3" fontId="43" fillId="0" borderId="24" xfId="0" applyNumberFormat="1" applyFont="1" applyBorder="1" applyAlignment="1">
      <alignment horizontal="left" vertical="top"/>
    </xf>
    <xf numFmtId="3" fontId="43" fillId="44" borderId="30" xfId="0" applyNumberFormat="1" applyFont="1" applyFill="1" applyBorder="1" applyAlignment="1">
      <alignment horizontal="left" vertical="top"/>
    </xf>
    <xf numFmtId="3" fontId="43" fillId="44" borderId="31" xfId="0" applyNumberFormat="1" applyFont="1" applyFill="1" applyBorder="1" applyAlignment="1">
      <alignment horizontal="left" vertical="top"/>
    </xf>
    <xf numFmtId="3" fontId="42" fillId="45" borderId="25" xfId="0" applyNumberFormat="1" applyFont="1" applyFill="1" applyBorder="1" applyAlignment="1" applyProtection="1">
      <alignment horizontal="left" vertical="top"/>
    </xf>
    <xf numFmtId="3" fontId="42" fillId="0" borderId="25" xfId="0" applyNumberFormat="1" applyFont="1" applyBorder="1" applyAlignment="1">
      <alignment horizontal="left" vertical="top"/>
    </xf>
    <xf numFmtId="3" fontId="42" fillId="45" borderId="28" xfId="0" applyNumberFormat="1" applyFont="1" applyFill="1" applyBorder="1" applyAlignment="1" applyProtection="1">
      <alignment horizontal="left" vertical="top" wrapText="1"/>
    </xf>
    <xf numFmtId="3" fontId="42" fillId="45" borderId="25" xfId="0" applyNumberFormat="1" applyFont="1" applyFill="1" applyBorder="1" applyAlignment="1" applyProtection="1">
      <alignment horizontal="left" vertical="top" wrapText="1"/>
    </xf>
    <xf numFmtId="3" fontId="42" fillId="44" borderId="23" xfId="0" applyNumberFormat="1" applyFont="1" applyFill="1" applyBorder="1" applyAlignment="1">
      <alignment horizontal="left" vertical="top"/>
    </xf>
    <xf numFmtId="3" fontId="42" fillId="44" borderId="24" xfId="0" applyNumberFormat="1" applyFont="1" applyFill="1" applyBorder="1" applyAlignment="1">
      <alignment horizontal="left" vertical="top"/>
    </xf>
    <xf numFmtId="3" fontId="42" fillId="0" borderId="23" xfId="0" applyNumberFormat="1" applyFont="1" applyBorder="1" applyAlignment="1">
      <alignment horizontal="left" vertical="top"/>
    </xf>
    <xf numFmtId="3" fontId="42" fillId="0" borderId="24" xfId="0" applyNumberFormat="1" applyFont="1" applyBorder="1" applyAlignment="1">
      <alignment horizontal="left" vertical="top"/>
    </xf>
    <xf numFmtId="3" fontId="42" fillId="44" borderId="30" xfId="0" applyNumberFormat="1" applyFont="1" applyFill="1" applyBorder="1" applyAlignment="1">
      <alignment horizontal="left" vertical="top"/>
    </xf>
    <xf numFmtId="3" fontId="42" fillId="44" borderId="31" xfId="0" applyNumberFormat="1" applyFont="1" applyFill="1" applyBorder="1" applyAlignment="1">
      <alignment horizontal="left" vertical="top"/>
    </xf>
    <xf numFmtId="0" fontId="44" fillId="33" borderId="0" xfId="0" applyFont="1" applyFill="1" applyAlignment="1">
      <alignment horizontal="left" vertical="top"/>
    </xf>
    <xf numFmtId="0" fontId="47" fillId="33" borderId="0" xfId="0" applyFont="1" applyFill="1" applyAlignment="1">
      <alignment horizontal="left" vertical="top"/>
    </xf>
    <xf numFmtId="0" fontId="47" fillId="44" borderId="10" xfId="0" applyFont="1" applyFill="1" applyBorder="1" applyAlignment="1">
      <alignment horizontal="left" vertical="top"/>
    </xf>
    <xf numFmtId="0" fontId="54" fillId="33" borderId="0" xfId="0" applyFont="1" applyFill="1" applyAlignment="1">
      <alignment horizontal="left" vertical="top"/>
    </xf>
    <xf numFmtId="0" fontId="48" fillId="33" borderId="0" xfId="0" applyFont="1" applyFill="1" applyBorder="1" applyAlignment="1">
      <alignment horizontal="left" vertical="top"/>
    </xf>
    <xf numFmtId="0" fontId="44" fillId="39" borderId="10" xfId="0" applyFont="1" applyFill="1" applyBorder="1" applyAlignment="1">
      <alignment horizontal="left" vertical="top"/>
    </xf>
    <xf numFmtId="0" fontId="44" fillId="0" borderId="10" xfId="0" applyFont="1" applyFill="1" applyBorder="1" applyAlignment="1">
      <alignment horizontal="left" vertical="top"/>
    </xf>
    <xf numFmtId="1" fontId="44" fillId="0" borderId="10" xfId="0" applyNumberFormat="1" applyFont="1" applyBorder="1" applyAlignment="1">
      <alignment horizontal="left" vertical="top"/>
    </xf>
    <xf numFmtId="0" fontId="42" fillId="33" borderId="0" xfId="0" applyFont="1" applyFill="1" applyAlignment="1">
      <alignment horizontal="left" vertical="top"/>
    </xf>
    <xf numFmtId="0" fontId="51" fillId="33" borderId="0" xfId="0" applyFont="1" applyFill="1" applyAlignment="1">
      <alignment horizontal="left" vertical="top"/>
    </xf>
    <xf numFmtId="0" fontId="35" fillId="44" borderId="10" xfId="0" applyFont="1" applyFill="1" applyBorder="1" applyAlignment="1">
      <alignment horizontal="left" vertical="top"/>
    </xf>
    <xf numFmtId="0" fontId="29" fillId="33" borderId="0" xfId="0" applyFont="1" applyFill="1" applyAlignment="1">
      <alignment horizontal="left" vertical="top"/>
    </xf>
    <xf numFmtId="0" fontId="53" fillId="39" borderId="10" xfId="0" applyFont="1" applyFill="1" applyBorder="1" applyAlignment="1">
      <alignment horizontal="left" vertical="top"/>
    </xf>
    <xf numFmtId="0" fontId="29" fillId="0" borderId="10" xfId="0" applyFont="1" applyFill="1" applyBorder="1" applyAlignment="1">
      <alignment horizontal="left" vertical="top"/>
    </xf>
    <xf numFmtId="0" fontId="29" fillId="39" borderId="10" xfId="0" applyFont="1" applyFill="1" applyBorder="1" applyAlignment="1">
      <alignment horizontal="left" vertical="top"/>
    </xf>
    <xf numFmtId="3" fontId="29" fillId="33" borderId="10" xfId="1" applyNumberFormat="1" applyFont="1" applyFill="1" applyBorder="1" applyAlignment="1">
      <alignment horizontal="left" vertical="top"/>
    </xf>
    <xf numFmtId="2" fontId="29" fillId="33" borderId="10" xfId="1" applyNumberFormat="1" applyFont="1" applyFill="1" applyBorder="1" applyAlignment="1">
      <alignment horizontal="left" vertical="top"/>
    </xf>
    <xf numFmtId="9" fontId="29" fillId="33" borderId="10" xfId="0" applyNumberFormat="1" applyFont="1" applyFill="1" applyBorder="1" applyAlignment="1">
      <alignment horizontal="left" vertical="top"/>
    </xf>
    <xf numFmtId="0" fontId="42" fillId="39" borderId="10" xfId="0" applyFont="1" applyFill="1" applyBorder="1" applyAlignment="1">
      <alignment horizontal="left" vertical="top"/>
    </xf>
    <xf numFmtId="176" fontId="29" fillId="33" borderId="10" xfId="1" applyNumberFormat="1" applyFont="1" applyFill="1" applyBorder="1" applyAlignment="1">
      <alignment horizontal="left" vertical="top"/>
    </xf>
    <xf numFmtId="0" fontId="29" fillId="33" borderId="10" xfId="0" applyFont="1" applyFill="1" applyBorder="1" applyAlignment="1">
      <alignment horizontal="left" vertical="top"/>
    </xf>
    <xf numFmtId="3" fontId="29" fillId="33" borderId="10" xfId="0" applyNumberFormat="1" applyFont="1" applyFill="1" applyBorder="1" applyAlignment="1">
      <alignment horizontal="left" vertical="top"/>
    </xf>
    <xf numFmtId="2" fontId="29" fillId="33" borderId="10" xfId="0" applyNumberFormat="1" applyFont="1" applyFill="1" applyBorder="1" applyAlignment="1">
      <alignment horizontal="left" vertical="top"/>
    </xf>
    <xf numFmtId="0" fontId="42" fillId="33" borderId="10" xfId="0" applyFont="1" applyFill="1" applyBorder="1" applyAlignment="1">
      <alignment horizontal="left" vertical="top"/>
    </xf>
    <xf numFmtId="0" fontId="53" fillId="33" borderId="10" xfId="0" applyFont="1" applyFill="1" applyBorder="1" applyAlignment="1">
      <alignment horizontal="left" vertical="top"/>
    </xf>
    <xf numFmtId="0" fontId="53" fillId="33" borderId="23" xfId="0" applyFont="1" applyFill="1" applyBorder="1" applyAlignment="1">
      <alignment horizontal="left" vertical="top"/>
    </xf>
    <xf numFmtId="0" fontId="42" fillId="33" borderId="23" xfId="0" applyFont="1" applyFill="1" applyBorder="1" applyAlignment="1">
      <alignment horizontal="left" vertical="top"/>
    </xf>
    <xf numFmtId="176" fontId="42" fillId="33" borderId="10" xfId="0" applyNumberFormat="1" applyFont="1" applyFill="1" applyBorder="1" applyAlignment="1">
      <alignment horizontal="left" vertical="top"/>
    </xf>
    <xf numFmtId="1" fontId="42" fillId="33" borderId="10" xfId="0" applyNumberFormat="1" applyFont="1" applyFill="1" applyBorder="1" applyAlignment="1">
      <alignment horizontal="left" vertical="top"/>
    </xf>
    <xf numFmtId="185" fontId="42" fillId="33" borderId="10" xfId="0" applyNumberFormat="1" applyFont="1" applyFill="1" applyBorder="1" applyAlignment="1">
      <alignment horizontal="left" vertical="top"/>
    </xf>
    <xf numFmtId="186" fontId="42" fillId="33" borderId="10" xfId="1" applyNumberFormat="1" applyFont="1" applyFill="1" applyBorder="1" applyAlignment="1">
      <alignment horizontal="left" vertical="top"/>
    </xf>
    <xf numFmtId="169" fontId="42" fillId="33" borderId="10" xfId="1" applyNumberFormat="1" applyFont="1" applyFill="1" applyBorder="1" applyAlignment="1">
      <alignment horizontal="left" vertical="top"/>
    </xf>
    <xf numFmtId="0" fontId="42" fillId="0" borderId="10" xfId="0" applyFont="1" applyFill="1" applyBorder="1" applyAlignment="1">
      <alignment horizontal="left" vertical="top"/>
    </xf>
    <xf numFmtId="0" fontId="42" fillId="0" borderId="23" xfId="0" applyFont="1" applyFill="1" applyBorder="1" applyAlignment="1">
      <alignment horizontal="left" vertical="top"/>
    </xf>
    <xf numFmtId="176" fontId="42" fillId="0" borderId="10" xfId="0" applyNumberFormat="1" applyFont="1" applyFill="1" applyBorder="1" applyAlignment="1">
      <alignment horizontal="left" vertical="top"/>
    </xf>
    <xf numFmtId="1" fontId="42" fillId="0" borderId="10" xfId="0" applyNumberFormat="1" applyFont="1" applyFill="1" applyBorder="1" applyAlignment="1">
      <alignment horizontal="left" vertical="top"/>
    </xf>
    <xf numFmtId="185" fontId="42" fillId="0" borderId="10" xfId="0" applyNumberFormat="1" applyFont="1" applyFill="1" applyBorder="1" applyAlignment="1">
      <alignment horizontal="left" vertical="top"/>
    </xf>
    <xf numFmtId="0" fontId="44" fillId="0" borderId="10" xfId="0" applyFont="1" applyFill="1" applyBorder="1" applyAlignment="1">
      <alignment horizontal="left" vertical="top" wrapText="1"/>
    </xf>
    <xf numFmtId="3" fontId="44" fillId="0" borderId="10" xfId="0" applyNumberFormat="1" applyFont="1" applyFill="1" applyBorder="1" applyAlignment="1">
      <alignment horizontal="left" vertical="top"/>
    </xf>
    <xf numFmtId="0" fontId="44" fillId="0" borderId="26" xfId="0" applyFont="1" applyFill="1" applyBorder="1" applyAlignment="1">
      <alignment horizontal="left" vertical="top"/>
    </xf>
    <xf numFmtId="0" fontId="44" fillId="0" borderId="0" xfId="0" applyFont="1" applyFill="1" applyBorder="1" applyAlignment="1">
      <alignment horizontal="left" vertical="top" wrapText="1"/>
    </xf>
    <xf numFmtId="3" fontId="44" fillId="0" borderId="0" xfId="0" applyNumberFormat="1" applyFont="1" applyFill="1" applyBorder="1" applyAlignment="1">
      <alignment horizontal="left" vertical="top"/>
    </xf>
    <xf numFmtId="0" fontId="47" fillId="44" borderId="10" xfId="0" applyFont="1" applyFill="1" applyBorder="1" applyAlignment="1">
      <alignment horizontal="left" vertical="top" wrapText="1"/>
    </xf>
    <xf numFmtId="3" fontId="46" fillId="0" borderId="19" xfId="1" applyNumberFormat="1" applyFont="1" applyFill="1" applyBorder="1" applyAlignment="1" applyProtection="1">
      <alignment horizontal="center" vertical="center"/>
    </xf>
    <xf numFmtId="3" fontId="29" fillId="0" borderId="19" xfId="1" applyNumberFormat="1" applyFont="1" applyFill="1" applyBorder="1" applyAlignment="1" applyProtection="1">
      <alignment horizontal="center" vertical="center" wrapText="1"/>
      <protection locked="0"/>
    </xf>
    <xf numFmtId="1" fontId="29" fillId="0" borderId="19" xfId="1" applyNumberFormat="1" applyFont="1" applyFill="1" applyBorder="1" applyAlignment="1" applyProtection="1">
      <alignment horizontal="center" vertical="center"/>
      <protection hidden="1"/>
    </xf>
    <xf numFmtId="2" fontId="29" fillId="0" borderId="19" xfId="2" applyNumberFormat="1" applyFont="1" applyFill="1" applyBorder="1" applyAlignment="1" applyProtection="1">
      <alignment horizontal="center" vertical="center"/>
      <protection hidden="1"/>
    </xf>
    <xf numFmtId="0" fontId="29" fillId="46" borderId="19" xfId="0" applyFont="1" applyFill="1" applyBorder="1" applyAlignment="1" applyProtection="1">
      <alignment horizontal="left" vertical="top"/>
    </xf>
    <xf numFmtId="3" fontId="29" fillId="46" borderId="19" xfId="1" applyNumberFormat="1" applyFont="1" applyFill="1" applyBorder="1" applyAlignment="1" applyProtection="1">
      <alignment horizontal="center" vertical="center"/>
      <protection locked="0"/>
    </xf>
    <xf numFmtId="3" fontId="29" fillId="46" borderId="19" xfId="1" applyNumberFormat="1" applyFont="1" applyFill="1" applyBorder="1" applyAlignment="1" applyProtection="1">
      <alignment horizontal="center" vertical="center"/>
      <protection hidden="1"/>
    </xf>
    <xf numFmtId="3" fontId="29" fillId="46" borderId="19" xfId="1" applyNumberFormat="1" applyFont="1" applyFill="1" applyBorder="1" applyAlignment="1" applyProtection="1">
      <alignment horizontal="center" vertical="center" wrapText="1"/>
      <protection locked="0"/>
    </xf>
    <xf numFmtId="0" fontId="29" fillId="0" borderId="19" xfId="0" applyFont="1" applyFill="1" applyBorder="1" applyAlignment="1" applyProtection="1">
      <alignment horizontal="left" vertical="top" wrapText="1" indent="2"/>
    </xf>
    <xf numFmtId="9" fontId="29" fillId="0" borderId="19" xfId="2" applyFont="1" applyFill="1" applyBorder="1" applyAlignment="1" applyProtection="1">
      <alignment horizontal="center" vertical="center"/>
      <protection hidden="1"/>
    </xf>
    <xf numFmtId="39" fontId="29" fillId="0" borderId="19" xfId="1" applyNumberFormat="1" applyFont="1" applyFill="1" applyBorder="1" applyAlignment="1" applyProtection="1">
      <alignment horizontal="center" vertical="center"/>
      <protection hidden="1"/>
    </xf>
    <xf numFmtId="9" fontId="29" fillId="0" borderId="19" xfId="2" applyNumberFormat="1" applyFont="1" applyFill="1" applyBorder="1" applyAlignment="1" applyProtection="1">
      <alignment horizontal="center" vertical="center"/>
      <protection locked="0"/>
    </xf>
    <xf numFmtId="2" fontId="29" fillId="0" borderId="19" xfId="2" applyNumberFormat="1" applyFont="1" applyFill="1" applyBorder="1" applyAlignment="1" applyProtection="1">
      <alignment horizontal="center" vertical="center"/>
      <protection locked="0"/>
    </xf>
    <xf numFmtId="0" fontId="44" fillId="0" borderId="10" xfId="0" applyFont="1" applyFill="1" applyBorder="1" applyAlignment="1">
      <alignment horizontal="center" wrapText="1"/>
    </xf>
    <xf numFmtId="3" fontId="44" fillId="0" borderId="10" xfId="0" applyNumberFormat="1" applyFont="1" applyFill="1" applyBorder="1" applyAlignment="1">
      <alignment horizontal="center"/>
    </xf>
    <xf numFmtId="3" fontId="44" fillId="0" borderId="25" xfId="0" applyNumberFormat="1" applyFont="1" applyFill="1" applyBorder="1" applyAlignment="1">
      <alignment horizontal="center"/>
    </xf>
    <xf numFmtId="3" fontId="44" fillId="0" borderId="10" xfId="0" applyNumberFormat="1" applyFont="1" applyFill="1" applyBorder="1" applyAlignment="1">
      <alignment horizontal="center" wrapText="1"/>
    </xf>
    <xf numFmtId="184" fontId="44" fillId="0" borderId="10" xfId="0" applyNumberFormat="1" applyFont="1" applyFill="1" applyBorder="1" applyAlignment="1">
      <alignment horizontal="center"/>
    </xf>
    <xf numFmtId="0" fontId="44" fillId="0" borderId="0" xfId="0" applyFont="1" applyAlignment="1">
      <alignment horizontal="center"/>
    </xf>
    <xf numFmtId="0" fontId="44" fillId="0" borderId="0" xfId="0" applyFont="1" applyFill="1" applyAlignment="1">
      <alignment horizontal="center" wrapText="1"/>
    </xf>
    <xf numFmtId="3" fontId="44" fillId="0" borderId="0" xfId="0" applyNumberFormat="1" applyFont="1" applyFill="1" applyBorder="1" applyAlignment="1">
      <alignment horizontal="center"/>
    </xf>
    <xf numFmtId="0" fontId="44" fillId="0" borderId="0" xfId="0" applyFont="1" applyFill="1" applyBorder="1" applyAlignment="1">
      <alignment horizontal="center" wrapText="1"/>
    </xf>
    <xf numFmtId="3" fontId="44" fillId="0" borderId="24" xfId="0" applyNumberFormat="1" applyFont="1" applyFill="1" applyBorder="1" applyAlignment="1">
      <alignment horizontal="center"/>
    </xf>
    <xf numFmtId="3" fontId="44" fillId="0" borderId="23" xfId="0" applyNumberFormat="1" applyFont="1" applyFill="1" applyBorder="1" applyAlignment="1">
      <alignment horizontal="center"/>
    </xf>
    <xf numFmtId="0" fontId="44" fillId="0" borderId="24" xfId="0" applyFont="1" applyBorder="1" applyAlignment="1">
      <alignment horizontal="left" vertical="top"/>
    </xf>
    <xf numFmtId="0" fontId="44" fillId="0" borderId="15" xfId="0" applyFont="1" applyBorder="1" applyAlignment="1">
      <alignment horizontal="left" vertical="top"/>
    </xf>
    <xf numFmtId="0" fontId="44" fillId="0" borderId="23" xfId="0" applyFont="1" applyBorder="1" applyAlignment="1">
      <alignment horizontal="left" vertical="top"/>
    </xf>
    <xf numFmtId="2" fontId="44" fillId="0" borderId="24" xfId="0" applyNumberFormat="1" applyFont="1" applyBorder="1" applyAlignment="1">
      <alignment horizontal="left" vertical="top"/>
    </xf>
    <xf numFmtId="2" fontId="44" fillId="0" borderId="23" xfId="0" applyNumberFormat="1" applyFont="1" applyBorder="1" applyAlignment="1">
      <alignment horizontal="left" vertical="top"/>
    </xf>
    <xf numFmtId="0" fontId="44" fillId="0" borderId="10" xfId="0" applyFont="1" applyBorder="1" applyAlignment="1">
      <alignment horizontal="left" vertical="top" wrapText="1"/>
    </xf>
    <xf numFmtId="0" fontId="47" fillId="0" borderId="24" xfId="0" applyFont="1" applyBorder="1" applyAlignment="1">
      <alignment horizontal="left" vertical="top"/>
    </xf>
    <xf numFmtId="0" fontId="47" fillId="0" borderId="15" xfId="0" applyFont="1" applyBorder="1" applyAlignment="1">
      <alignment horizontal="left" vertical="top"/>
    </xf>
    <xf numFmtId="0" fontId="47" fillId="0" borderId="23" xfId="0" applyFont="1" applyBorder="1" applyAlignment="1">
      <alignment horizontal="left" vertical="top"/>
    </xf>
    <xf numFmtId="0" fontId="47" fillId="0" borderId="10" xfId="0" applyFont="1" applyBorder="1" applyAlignment="1">
      <alignment vertical="top"/>
    </xf>
    <xf numFmtId="0" fontId="44" fillId="0" borderId="10" xfId="0" applyFont="1" applyBorder="1" applyAlignment="1">
      <alignment horizontal="left" vertical="top"/>
    </xf>
    <xf numFmtId="0" fontId="50" fillId="0" borderId="32" xfId="0" applyFont="1" applyBorder="1" applyAlignment="1">
      <alignment horizontal="left" vertical="top" wrapText="1"/>
    </xf>
    <xf numFmtId="0" fontId="50" fillId="0" borderId="0" xfId="0" applyFont="1" applyBorder="1" applyAlignment="1">
      <alignment horizontal="left" vertical="top" wrapText="1"/>
    </xf>
    <xf numFmtId="0" fontId="47" fillId="0" borderId="24" xfId="0" applyFont="1" applyBorder="1"/>
    <xf numFmtId="0" fontId="47" fillId="0" borderId="15" xfId="0" applyFont="1" applyBorder="1"/>
    <xf numFmtId="0" fontId="47" fillId="0" borderId="23" xfId="0" applyFont="1" applyBorder="1"/>
    <xf numFmtId="0" fontId="47" fillId="0" borderId="10" xfId="0" applyFont="1" applyBorder="1" applyAlignment="1">
      <alignment horizontal="left" vertical="top" wrapText="1"/>
    </xf>
    <xf numFmtId="0" fontId="44" fillId="0" borderId="31" xfId="0" applyFont="1" applyBorder="1" applyAlignment="1">
      <alignment horizontal="left" vertical="top"/>
    </xf>
    <xf numFmtId="0" fontId="44" fillId="0" borderId="32" xfId="0" applyFont="1" applyBorder="1" applyAlignment="1">
      <alignment horizontal="left" vertical="top"/>
    </xf>
    <xf numFmtId="0" fontId="44" fillId="0" borderId="30" xfId="0" applyFont="1" applyBorder="1" applyAlignment="1">
      <alignment horizontal="left" vertical="top"/>
    </xf>
    <xf numFmtId="0" fontId="44" fillId="0" borderId="33" xfId="0" applyFont="1" applyBorder="1" applyAlignment="1">
      <alignment horizontal="left" vertical="top"/>
    </xf>
    <xf numFmtId="0" fontId="44" fillId="0" borderId="0" xfId="0" applyFont="1" applyBorder="1" applyAlignment="1">
      <alignment horizontal="left" vertical="top"/>
    </xf>
    <xf numFmtId="0" fontId="44" fillId="0" borderId="34" xfId="0" applyFont="1" applyBorder="1" applyAlignment="1">
      <alignment horizontal="left" vertical="top"/>
    </xf>
    <xf numFmtId="0" fontId="44" fillId="0" borderId="29" xfId="0" applyFont="1" applyBorder="1" applyAlignment="1">
      <alignment horizontal="left" vertical="top"/>
    </xf>
    <xf numFmtId="0" fontId="44" fillId="0" borderId="18" xfId="0" applyFont="1" applyBorder="1" applyAlignment="1">
      <alignment horizontal="left" vertical="top"/>
    </xf>
    <xf numFmtId="0" fontId="44" fillId="0" borderId="28" xfId="0" applyFont="1" applyBorder="1" applyAlignment="1">
      <alignment horizontal="left" vertical="top"/>
    </xf>
    <xf numFmtId="0" fontId="44" fillId="0" borderId="24" xfId="0" applyFont="1" applyBorder="1"/>
    <xf numFmtId="0" fontId="44" fillId="0" borderId="15" xfId="0" applyFont="1" applyBorder="1"/>
    <xf numFmtId="0" fontId="44" fillId="0" borderId="23" xfId="0" applyFont="1" applyBorder="1"/>
    <xf numFmtId="0" fontId="47" fillId="0" borderId="31" xfId="0" applyFont="1" applyBorder="1" applyAlignment="1">
      <alignment vertical="top"/>
    </xf>
    <xf numFmtId="0" fontId="47" fillId="0" borderId="32" xfId="0" applyFont="1" applyBorder="1" applyAlignment="1">
      <alignment vertical="top"/>
    </xf>
    <xf numFmtId="0" fontId="47" fillId="0" borderId="30" xfId="0" applyFont="1" applyBorder="1" applyAlignment="1">
      <alignment vertical="top"/>
    </xf>
    <xf numFmtId="0" fontId="47" fillId="0" borderId="33" xfId="0" applyFont="1" applyBorder="1" applyAlignment="1">
      <alignment vertical="top"/>
    </xf>
    <xf numFmtId="0" fontId="47" fillId="0" borderId="0" xfId="0" applyFont="1" applyBorder="1" applyAlignment="1">
      <alignment vertical="top"/>
    </xf>
    <xf numFmtId="0" fontId="47" fillId="0" borderId="34" xfId="0" applyFont="1" applyBorder="1" applyAlignment="1">
      <alignment vertical="top"/>
    </xf>
    <xf numFmtId="0" fontId="47" fillId="0" borderId="29" xfId="0" applyFont="1" applyBorder="1" applyAlignment="1">
      <alignment vertical="top"/>
    </xf>
    <xf numFmtId="0" fontId="47" fillId="0" borderId="18" xfId="0" applyFont="1" applyBorder="1" applyAlignment="1">
      <alignment vertical="top"/>
    </xf>
    <xf numFmtId="0" fontId="47" fillId="0" borderId="28" xfId="0" applyFont="1" applyBorder="1" applyAlignment="1">
      <alignment vertical="top"/>
    </xf>
    <xf numFmtId="0" fontId="47" fillId="0" borderId="31" xfId="0" applyFont="1" applyBorder="1" applyAlignment="1">
      <alignment vertical="top" wrapText="1"/>
    </xf>
    <xf numFmtId="0" fontId="47" fillId="0" borderId="32" xfId="0" applyFont="1" applyBorder="1" applyAlignment="1">
      <alignment vertical="top" wrapText="1"/>
    </xf>
    <xf numFmtId="0" fontId="47" fillId="0" borderId="30" xfId="0" applyFont="1" applyBorder="1" applyAlignment="1">
      <alignment vertical="top" wrapText="1"/>
    </xf>
    <xf numFmtId="0" fontId="47" fillId="0" borderId="33" xfId="0" applyFont="1" applyBorder="1" applyAlignment="1">
      <alignment vertical="top" wrapText="1"/>
    </xf>
    <xf numFmtId="0" fontId="47" fillId="0" borderId="0" xfId="0" applyFont="1" applyBorder="1" applyAlignment="1">
      <alignment vertical="top" wrapText="1"/>
    </xf>
    <xf numFmtId="0" fontId="47" fillId="0" borderId="34" xfId="0" applyFont="1" applyBorder="1" applyAlignment="1">
      <alignment vertical="top" wrapText="1"/>
    </xf>
    <xf numFmtId="0" fontId="47" fillId="0" borderId="29" xfId="0" applyFont="1" applyBorder="1" applyAlignment="1">
      <alignment vertical="top" wrapText="1"/>
    </xf>
    <xf numFmtId="0" fontId="47" fillId="0" borderId="18" xfId="0" applyFont="1" applyBorder="1" applyAlignment="1">
      <alignment vertical="top" wrapText="1"/>
    </xf>
    <xf numFmtId="0" fontId="47" fillId="0" borderId="28" xfId="0" applyFont="1" applyBorder="1" applyAlignment="1">
      <alignment vertical="top" wrapText="1"/>
    </xf>
    <xf numFmtId="0" fontId="44" fillId="44" borderId="10" xfId="0" applyFont="1" applyFill="1" applyBorder="1" applyAlignment="1">
      <alignment horizontal="left" vertical="top" wrapText="1"/>
    </xf>
    <xf numFmtId="0" fontId="44" fillId="0" borderId="10" xfId="0" applyFont="1" applyBorder="1" applyAlignment="1">
      <alignment horizontal="left"/>
    </xf>
    <xf numFmtId="0" fontId="47" fillId="43" borderId="10" xfId="0" applyFont="1" applyFill="1" applyBorder="1"/>
    <xf numFmtId="0" fontId="44" fillId="44" borderId="10" xfId="0" applyFont="1" applyFill="1" applyBorder="1" applyAlignment="1">
      <alignment horizontal="left" vertical="center" wrapText="1"/>
    </xf>
    <xf numFmtId="170" fontId="44" fillId="0" borderId="24" xfId="0" applyNumberFormat="1" applyFont="1" applyBorder="1" applyAlignment="1">
      <alignment horizontal="left" vertical="top"/>
    </xf>
    <xf numFmtId="170" fontId="44" fillId="0" borderId="23" xfId="0" applyNumberFormat="1" applyFont="1" applyBorder="1" applyAlignment="1">
      <alignment horizontal="left" vertical="top"/>
    </xf>
    <xf numFmtId="0" fontId="44" fillId="0" borderId="10" xfId="0" applyFont="1" applyBorder="1" applyAlignment="1">
      <alignment horizontal="left" vertical="center" wrapText="1"/>
    </xf>
    <xf numFmtId="0" fontId="44" fillId="44" borderId="24" xfId="0" applyFont="1" applyFill="1" applyBorder="1" applyAlignment="1">
      <alignment horizontal="left" vertical="top" wrapText="1"/>
    </xf>
    <xf numFmtId="0" fontId="44" fillId="44" borderId="23" xfId="0" applyFont="1" applyFill="1" applyBorder="1" applyAlignment="1">
      <alignment horizontal="left" vertical="top" wrapText="1"/>
    </xf>
    <xf numFmtId="0" fontId="47" fillId="43" borderId="10" xfId="0" applyFont="1" applyFill="1" applyBorder="1" applyAlignment="1">
      <alignment horizontal="left" vertical="top" wrapText="1"/>
    </xf>
    <xf numFmtId="0" fontId="44" fillId="0" borderId="0" xfId="0" applyFont="1" applyAlignment="1">
      <alignment wrapText="1"/>
    </xf>
    <xf numFmtId="0" fontId="44" fillId="0" borderId="10" xfId="0" applyFont="1" applyBorder="1" applyAlignment="1">
      <alignment horizontal="left" wrapText="1"/>
    </xf>
    <xf numFmtId="0" fontId="29" fillId="0" borderId="10" xfId="0" applyFont="1" applyBorder="1" applyAlignment="1">
      <alignment horizontal="left" wrapText="1"/>
    </xf>
    <xf numFmtId="3" fontId="29" fillId="0" borderId="20" xfId="0" applyNumberFormat="1" applyFont="1" applyFill="1" applyBorder="1" applyAlignment="1" applyProtection="1">
      <alignment horizontal="center" vertical="center"/>
      <protection hidden="1"/>
    </xf>
    <xf numFmtId="3" fontId="29" fillId="0" borderId="21" xfId="0" applyNumberFormat="1" applyFont="1" applyFill="1" applyBorder="1" applyAlignment="1" applyProtection="1">
      <alignment horizontal="center" vertical="center"/>
      <protection hidden="1"/>
    </xf>
    <xf numFmtId="3" fontId="29" fillId="0" borderId="22" xfId="0" applyNumberFormat="1" applyFont="1" applyFill="1" applyBorder="1" applyAlignment="1" applyProtection="1">
      <alignment horizontal="center" vertical="center"/>
      <protection hidden="1"/>
    </xf>
    <xf numFmtId="39" fontId="35" fillId="0" borderId="20" xfId="1" applyNumberFormat="1" applyFont="1" applyFill="1" applyBorder="1" applyAlignment="1" applyProtection="1">
      <alignment horizontal="center" vertical="center"/>
    </xf>
    <xf numFmtId="39" fontId="35" fillId="0" borderId="21" xfId="1" applyNumberFormat="1" applyFont="1" applyFill="1" applyBorder="1" applyAlignment="1" applyProtection="1">
      <alignment horizontal="center" vertical="center"/>
    </xf>
    <xf numFmtId="39" fontId="35" fillId="0" borderId="22" xfId="1" applyNumberFormat="1" applyFont="1" applyFill="1" applyBorder="1" applyAlignment="1" applyProtection="1">
      <alignment horizontal="center" vertical="center"/>
    </xf>
    <xf numFmtId="171" fontId="35" fillId="0" borderId="20" xfId="99" applyNumberFormat="1" applyFont="1" applyFill="1" applyBorder="1" applyAlignment="1" applyProtection="1">
      <alignment horizontal="center" vertical="center"/>
    </xf>
    <xf numFmtId="171" fontId="35" fillId="0" borderId="21" xfId="99" applyNumberFormat="1" applyFont="1" applyFill="1" applyBorder="1" applyAlignment="1" applyProtection="1">
      <alignment horizontal="center" vertical="center"/>
    </xf>
    <xf numFmtId="171" fontId="35" fillId="0" borderId="22" xfId="99" applyNumberFormat="1" applyFont="1" applyFill="1" applyBorder="1" applyAlignment="1" applyProtection="1">
      <alignment horizontal="center" vertical="center"/>
    </xf>
    <xf numFmtId="170" fontId="35" fillId="0" borderId="20" xfId="0" applyNumberFormat="1" applyFont="1" applyFill="1" applyBorder="1" applyAlignment="1" applyProtection="1">
      <alignment horizontal="center" vertical="center"/>
    </xf>
    <xf numFmtId="170" fontId="35" fillId="0" borderId="21" xfId="0" applyNumberFormat="1" applyFont="1" applyFill="1" applyBorder="1" applyAlignment="1" applyProtection="1">
      <alignment horizontal="center" vertical="center"/>
    </xf>
    <xf numFmtId="170" fontId="35" fillId="0" borderId="22" xfId="0" applyNumberFormat="1" applyFont="1" applyFill="1" applyBorder="1" applyAlignment="1" applyProtection="1">
      <alignment horizontal="center" vertical="center"/>
    </xf>
    <xf numFmtId="170" fontId="35" fillId="0" borderId="20" xfId="99" applyNumberFormat="1" applyFont="1" applyFill="1" applyBorder="1" applyAlignment="1" applyProtection="1">
      <alignment horizontal="center" vertical="center"/>
    </xf>
    <xf numFmtId="170" fontId="35" fillId="0" borderId="21" xfId="99" applyNumberFormat="1" applyFont="1" applyFill="1" applyBorder="1" applyAlignment="1" applyProtection="1">
      <alignment horizontal="center" vertical="center"/>
    </xf>
    <xf numFmtId="170" fontId="35" fillId="0" borderId="22" xfId="99" applyNumberFormat="1" applyFont="1" applyFill="1" applyBorder="1" applyAlignment="1" applyProtection="1">
      <alignment horizontal="center" vertical="center"/>
    </xf>
    <xf numFmtId="3" fontId="35" fillId="0" borderId="20" xfId="0" applyNumberFormat="1" applyFont="1" applyFill="1" applyBorder="1" applyAlignment="1" applyProtection="1">
      <alignment horizontal="center" vertical="center"/>
      <protection hidden="1"/>
    </xf>
    <xf numFmtId="3" fontId="35" fillId="0" borderId="21" xfId="0" applyNumberFormat="1" applyFont="1" applyFill="1" applyBorder="1" applyAlignment="1" applyProtection="1">
      <alignment horizontal="center" vertical="center"/>
      <protection hidden="1"/>
    </xf>
    <xf numFmtId="3" fontId="35" fillId="0" borderId="22" xfId="0" applyNumberFormat="1" applyFont="1" applyFill="1" applyBorder="1" applyAlignment="1" applyProtection="1">
      <alignment horizontal="center" vertical="center"/>
      <protection hidden="1"/>
    </xf>
    <xf numFmtId="0" fontId="46" fillId="41" borderId="0" xfId="0" applyFont="1" applyFill="1" applyBorder="1" applyAlignment="1" applyProtection="1">
      <alignment horizontal="left" vertical="top"/>
    </xf>
    <xf numFmtId="0" fontId="35" fillId="44" borderId="0" xfId="0" applyFont="1" applyFill="1" applyBorder="1" applyAlignment="1" applyProtection="1">
      <alignment horizontal="center" vertical="center"/>
    </xf>
    <xf numFmtId="0" fontId="35" fillId="44" borderId="0" xfId="0" applyFont="1" applyFill="1" applyBorder="1" applyAlignment="1" applyProtection="1">
      <alignment horizontal="center" vertical="top"/>
    </xf>
    <xf numFmtId="43" fontId="29" fillId="46" borderId="35" xfId="1" applyFont="1" applyFill="1" applyBorder="1" applyAlignment="1" applyProtection="1">
      <alignment horizontal="center" vertical="center"/>
      <protection locked="0"/>
    </xf>
    <xf numFmtId="43" fontId="29" fillId="46" borderId="19" xfId="1" applyFont="1" applyFill="1" applyBorder="1" applyAlignment="1" applyProtection="1">
      <alignment horizontal="center" vertical="center"/>
      <protection locked="0"/>
    </xf>
    <xf numFmtId="0" fontId="35" fillId="44" borderId="10" xfId="0" applyFont="1" applyFill="1" applyBorder="1" applyAlignment="1" applyProtection="1">
      <alignment horizontal="left" vertical="top"/>
    </xf>
    <xf numFmtId="0" fontId="51"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center"/>
    </xf>
    <xf numFmtId="2" fontId="29" fillId="0" borderId="19" xfId="1" applyNumberFormat="1" applyFont="1" applyFill="1" applyBorder="1" applyAlignment="1" applyProtection="1">
      <alignment horizontal="center" vertical="center"/>
      <protection hidden="1"/>
    </xf>
    <xf numFmtId="3" fontId="52" fillId="0" borderId="19" xfId="1" applyNumberFormat="1" applyFont="1" applyFill="1" applyBorder="1" applyAlignment="1" applyProtection="1">
      <alignment horizontal="left" vertical="top"/>
      <protection locked="0"/>
    </xf>
    <xf numFmtId="0" fontId="35" fillId="44" borderId="0" xfId="0" applyFont="1" applyFill="1" applyBorder="1" applyAlignment="1" applyProtection="1">
      <alignment horizontal="left" vertical="top"/>
    </xf>
    <xf numFmtId="3" fontId="29" fillId="0" borderId="19" xfId="1" applyNumberFormat="1" applyFont="1" applyFill="1" applyBorder="1" applyAlignment="1" applyProtection="1">
      <alignment horizontal="center" vertical="center"/>
      <protection hidden="1"/>
    </xf>
    <xf numFmtId="0" fontId="29" fillId="46" borderId="19" xfId="1" applyNumberFormat="1" applyFont="1" applyFill="1" applyBorder="1" applyAlignment="1" applyProtection="1">
      <alignment horizontal="center" vertical="center"/>
      <protection locked="0"/>
    </xf>
    <xf numFmtId="7" fontId="29" fillId="0" borderId="19" xfId="1" applyNumberFormat="1" applyFont="1" applyFill="1" applyBorder="1" applyAlignment="1" applyProtection="1">
      <alignment horizontal="center" vertical="center"/>
      <protection locked="0"/>
    </xf>
    <xf numFmtId="7" fontId="29" fillId="46" borderId="19" xfId="1" applyNumberFormat="1" applyFont="1" applyFill="1" applyBorder="1" applyAlignment="1" applyProtection="1">
      <alignment horizontal="center" vertical="center"/>
      <protection locked="0"/>
    </xf>
    <xf numFmtId="0" fontId="44" fillId="0" borderId="0" xfId="0" applyFont="1" applyAlignment="1">
      <alignment horizontal="left" vertical="center" wrapText="1"/>
    </xf>
    <xf numFmtId="3" fontId="42" fillId="0" borderId="10" xfId="0" applyNumberFormat="1" applyFont="1" applyBorder="1" applyAlignment="1">
      <alignment horizontal="left" vertical="top" wrapText="1"/>
    </xf>
    <xf numFmtId="3" fontId="53" fillId="0" borderId="10" xfId="0" applyNumberFormat="1" applyFont="1" applyBorder="1" applyAlignment="1">
      <alignment horizontal="left" vertical="top"/>
    </xf>
    <xf numFmtId="3" fontId="35" fillId="0" borderId="10" xfId="0" applyNumberFormat="1" applyFont="1" applyBorder="1" applyAlignment="1">
      <alignment horizontal="left" vertical="top"/>
    </xf>
    <xf numFmtId="0" fontId="47" fillId="44" borderId="10" xfId="0" applyFont="1" applyFill="1" applyBorder="1" applyAlignment="1">
      <alignment horizontal="left" vertical="top"/>
    </xf>
    <xf numFmtId="0" fontId="47" fillId="33" borderId="18" xfId="0" applyFont="1" applyFill="1" applyBorder="1" applyAlignment="1">
      <alignment horizontal="left" vertical="top" wrapText="1"/>
    </xf>
    <xf numFmtId="0" fontId="42" fillId="33" borderId="10" xfId="0" applyFont="1" applyFill="1" applyBorder="1" applyAlignment="1">
      <alignment horizontal="left" vertical="top"/>
    </xf>
    <xf numFmtId="0" fontId="42" fillId="33" borderId="18" xfId="0" applyFont="1" applyFill="1" applyBorder="1" applyAlignment="1">
      <alignment horizontal="left" vertical="top"/>
    </xf>
    <xf numFmtId="0" fontId="55" fillId="33" borderId="0" xfId="0" applyFont="1" applyFill="1" applyBorder="1" applyAlignment="1">
      <alignment horizontal="left" vertical="top"/>
    </xf>
    <xf numFmtId="0" fontId="42" fillId="33" borderId="23" xfId="0" applyFont="1" applyFill="1" applyBorder="1" applyAlignment="1">
      <alignment horizontal="left" vertical="top"/>
    </xf>
    <xf numFmtId="0" fontId="44" fillId="0" borderId="10" xfId="0" applyFont="1" applyFill="1" applyBorder="1" applyAlignment="1">
      <alignment horizontal="center" wrapText="1"/>
    </xf>
    <xf numFmtId="0" fontId="47" fillId="44" borderId="24" xfId="0" applyFont="1" applyFill="1" applyBorder="1" applyAlignment="1">
      <alignment horizontal="left" vertical="top"/>
    </xf>
    <xf numFmtId="0" fontId="47" fillId="44" borderId="15" xfId="0" applyFont="1" applyFill="1" applyBorder="1" applyAlignment="1">
      <alignment horizontal="left" vertical="top"/>
    </xf>
    <xf numFmtId="0" fontId="47" fillId="44" borderId="23" xfId="0" applyFont="1" applyFill="1" applyBorder="1" applyAlignment="1">
      <alignment horizontal="left" vertical="top"/>
    </xf>
    <xf numFmtId="0" fontId="47" fillId="44" borderId="10" xfId="0" applyFont="1" applyFill="1" applyBorder="1" applyAlignment="1">
      <alignment horizontal="center" wrapText="1"/>
    </xf>
    <xf numFmtId="0" fontId="44" fillId="0" borderId="10" xfId="0" applyFont="1" applyFill="1" applyBorder="1" applyAlignment="1">
      <alignment horizontal="center"/>
    </xf>
    <xf numFmtId="0" fontId="47" fillId="44" borderId="27" xfId="0" applyFont="1" applyFill="1" applyBorder="1" applyAlignment="1">
      <alignment horizontal="center" wrapText="1"/>
    </xf>
    <xf numFmtId="0" fontId="44" fillId="0" borderId="24" xfId="0" applyFont="1" applyFill="1" applyBorder="1" applyAlignment="1">
      <alignment horizontal="center"/>
    </xf>
  </cellXfs>
  <cellStyles count="451">
    <cellStyle name="_x0010_“+ˆÉ•?pý¤" xfId="47" xr:uid="{00000000-0005-0000-0000-000000000000}"/>
    <cellStyle name="_x0010_“+ˆÉ•?pý¤ 2" xfId="104" xr:uid="{00000000-0005-0000-0000-00000100000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ctual Date" xfId="48" xr:uid="{00000000-0005-0000-0000-00001A000000}"/>
    <cellStyle name="Actual Date 2" xfId="105" xr:uid="{00000000-0005-0000-0000-00001B000000}"/>
    <cellStyle name="Bad" xfId="9" builtinId="27" customBuiltin="1"/>
    <cellStyle name="Calc Currency (0)" xfId="106" xr:uid="{00000000-0005-0000-0000-00001D000000}"/>
    <cellStyle name="Calc Currency (2)" xfId="107" xr:uid="{00000000-0005-0000-0000-00001E000000}"/>
    <cellStyle name="Calc Percent (0)" xfId="108" xr:uid="{00000000-0005-0000-0000-00001F000000}"/>
    <cellStyle name="Calc Percent (1)" xfId="109" xr:uid="{00000000-0005-0000-0000-000020000000}"/>
    <cellStyle name="Calc Percent (2)" xfId="110" xr:uid="{00000000-0005-0000-0000-000021000000}"/>
    <cellStyle name="Calc Units (0)" xfId="111" xr:uid="{00000000-0005-0000-0000-000022000000}"/>
    <cellStyle name="Calc Units (1)" xfId="112" xr:uid="{00000000-0005-0000-0000-000023000000}"/>
    <cellStyle name="Calc Units (2)" xfId="113" xr:uid="{00000000-0005-0000-0000-000024000000}"/>
    <cellStyle name="Calculation" xfId="13" builtinId="22" customBuiltin="1"/>
    <cellStyle name="Check Cell" xfId="15" builtinId="23" customBuiltin="1"/>
    <cellStyle name="Comma" xfId="1" builtinId="3"/>
    <cellStyle name="Comma [00]" xfId="114" xr:uid="{00000000-0005-0000-0000-000028000000}"/>
    <cellStyle name="Comma 10" xfId="115" xr:uid="{00000000-0005-0000-0000-000029000000}"/>
    <cellStyle name="Comma 10 2" xfId="116" xr:uid="{00000000-0005-0000-0000-00002A000000}"/>
    <cellStyle name="Comma 11" xfId="117" xr:uid="{00000000-0005-0000-0000-00002B000000}"/>
    <cellStyle name="Comma 11 2" xfId="118" xr:uid="{00000000-0005-0000-0000-00002C000000}"/>
    <cellStyle name="Comma 12" xfId="119" xr:uid="{00000000-0005-0000-0000-00002D000000}"/>
    <cellStyle name="Comma 12 2" xfId="120" xr:uid="{00000000-0005-0000-0000-00002E000000}"/>
    <cellStyle name="Comma 13 2" xfId="121" xr:uid="{00000000-0005-0000-0000-00002F000000}"/>
    <cellStyle name="Comma 13 2 2" xfId="122" xr:uid="{00000000-0005-0000-0000-000030000000}"/>
    <cellStyle name="Comma 13 3" xfId="123" xr:uid="{00000000-0005-0000-0000-000031000000}"/>
    <cellStyle name="Comma 14" xfId="124" xr:uid="{00000000-0005-0000-0000-000032000000}"/>
    <cellStyle name="Comma 14 2" xfId="125" xr:uid="{00000000-0005-0000-0000-000033000000}"/>
    <cellStyle name="Comma 15 2" xfId="126" xr:uid="{00000000-0005-0000-0000-000034000000}"/>
    <cellStyle name="Comma 16" xfId="127" xr:uid="{00000000-0005-0000-0000-000035000000}"/>
    <cellStyle name="Comma 16 2" xfId="128" xr:uid="{00000000-0005-0000-0000-000036000000}"/>
    <cellStyle name="Comma 17 2" xfId="129" xr:uid="{00000000-0005-0000-0000-000037000000}"/>
    <cellStyle name="Comma 18" xfId="130" xr:uid="{00000000-0005-0000-0000-000038000000}"/>
    <cellStyle name="Comma 19" xfId="131" xr:uid="{00000000-0005-0000-0000-000039000000}"/>
    <cellStyle name="Comma 2" xfId="49" xr:uid="{00000000-0005-0000-0000-00003A000000}"/>
    <cellStyle name="Comma 2 106" xfId="50" xr:uid="{00000000-0005-0000-0000-00003B000000}"/>
    <cellStyle name="Comma 2 2" xfId="51" xr:uid="{00000000-0005-0000-0000-00003C000000}"/>
    <cellStyle name="Comma 2 2 2" xfId="132" xr:uid="{00000000-0005-0000-0000-00003D000000}"/>
    <cellStyle name="Comma 2 2 2 2" xfId="133" xr:uid="{00000000-0005-0000-0000-00003E000000}"/>
    <cellStyle name="Comma 2 2 3" xfId="134" xr:uid="{00000000-0005-0000-0000-00003F000000}"/>
    <cellStyle name="Comma 2 2 4" xfId="135" xr:uid="{00000000-0005-0000-0000-000040000000}"/>
    <cellStyle name="Comma 2 3" xfId="46" xr:uid="{00000000-0005-0000-0000-000041000000}"/>
    <cellStyle name="Comma 2 3 2" xfId="136" xr:uid="{00000000-0005-0000-0000-000042000000}"/>
    <cellStyle name="Comma 2 3 3" xfId="137" xr:uid="{00000000-0005-0000-0000-000043000000}"/>
    <cellStyle name="Comma 2 4" xfId="138" xr:uid="{00000000-0005-0000-0000-000044000000}"/>
    <cellStyle name="Comma 2 4 2" xfId="139" xr:uid="{00000000-0005-0000-0000-000045000000}"/>
    <cellStyle name="Comma 2 4 3" xfId="140" xr:uid="{00000000-0005-0000-0000-000046000000}"/>
    <cellStyle name="Comma 2 4 3 2" xfId="141" xr:uid="{00000000-0005-0000-0000-000047000000}"/>
    <cellStyle name="Comma 2 4 4" xfId="142" xr:uid="{00000000-0005-0000-0000-000048000000}"/>
    <cellStyle name="Comma 2 4 5" xfId="143" xr:uid="{00000000-0005-0000-0000-000049000000}"/>
    <cellStyle name="Comma 2 5" xfId="144" xr:uid="{00000000-0005-0000-0000-00004A000000}"/>
    <cellStyle name="Comma 2 5 2" xfId="145" xr:uid="{00000000-0005-0000-0000-00004B000000}"/>
    <cellStyle name="Comma 2 6" xfId="146" xr:uid="{00000000-0005-0000-0000-00004C000000}"/>
    <cellStyle name="Comma 20" xfId="147" xr:uid="{00000000-0005-0000-0000-00004D000000}"/>
    <cellStyle name="Comma 21" xfId="148" xr:uid="{00000000-0005-0000-0000-00004E000000}"/>
    <cellStyle name="Comma 22" xfId="149" xr:uid="{00000000-0005-0000-0000-00004F000000}"/>
    <cellStyle name="Comma 3" xfId="52" xr:uid="{00000000-0005-0000-0000-000050000000}"/>
    <cellStyle name="Comma 3 2" xfId="150" xr:uid="{00000000-0005-0000-0000-000051000000}"/>
    <cellStyle name="Comma 3 2 10" xfId="151" xr:uid="{00000000-0005-0000-0000-000052000000}"/>
    <cellStyle name="Comma 3 2 11" xfId="152" xr:uid="{00000000-0005-0000-0000-000053000000}"/>
    <cellStyle name="Comma 3 2 2" xfId="153" xr:uid="{00000000-0005-0000-0000-000054000000}"/>
    <cellStyle name="Comma 3 2 2 2" xfId="154" xr:uid="{00000000-0005-0000-0000-000055000000}"/>
    <cellStyle name="Comma 3 2 3" xfId="155" xr:uid="{00000000-0005-0000-0000-000056000000}"/>
    <cellStyle name="Comma 3 2 4" xfId="156" xr:uid="{00000000-0005-0000-0000-000057000000}"/>
    <cellStyle name="Comma 3 2 5" xfId="157" xr:uid="{00000000-0005-0000-0000-000058000000}"/>
    <cellStyle name="Comma 3 2 6" xfId="158" xr:uid="{00000000-0005-0000-0000-000059000000}"/>
    <cellStyle name="Comma 3 2 6 2" xfId="159" xr:uid="{00000000-0005-0000-0000-00005A000000}"/>
    <cellStyle name="Comma 3 2 7" xfId="160" xr:uid="{00000000-0005-0000-0000-00005B000000}"/>
    <cellStyle name="Comma 3 2 7 2" xfId="161" xr:uid="{00000000-0005-0000-0000-00005C000000}"/>
    <cellStyle name="Comma 3 2 8" xfId="162" xr:uid="{00000000-0005-0000-0000-00005D000000}"/>
    <cellStyle name="Comma 3 2 8 2" xfId="163" xr:uid="{00000000-0005-0000-0000-00005E000000}"/>
    <cellStyle name="Comma 3 2 9" xfId="164" xr:uid="{00000000-0005-0000-0000-00005F000000}"/>
    <cellStyle name="Comma 3 2 9 2" xfId="165" xr:uid="{00000000-0005-0000-0000-000060000000}"/>
    <cellStyle name="Comma 3 3" xfId="166" xr:uid="{00000000-0005-0000-0000-000061000000}"/>
    <cellStyle name="Comma 3 3 2" xfId="167" xr:uid="{00000000-0005-0000-0000-000062000000}"/>
    <cellStyle name="Comma 3 3 3" xfId="168" xr:uid="{00000000-0005-0000-0000-000063000000}"/>
    <cellStyle name="Comma 3 3 4" xfId="169" xr:uid="{00000000-0005-0000-0000-000064000000}"/>
    <cellStyle name="Comma 3 3 5" xfId="170" xr:uid="{00000000-0005-0000-0000-000065000000}"/>
    <cellStyle name="Comma 3 3 6" xfId="171" xr:uid="{00000000-0005-0000-0000-000066000000}"/>
    <cellStyle name="Comma 3 4" xfId="172" xr:uid="{00000000-0005-0000-0000-000067000000}"/>
    <cellStyle name="Comma 3 5" xfId="173" xr:uid="{00000000-0005-0000-0000-000068000000}"/>
    <cellStyle name="Comma 3 6" xfId="174" xr:uid="{00000000-0005-0000-0000-000069000000}"/>
    <cellStyle name="Comma 3 7" xfId="175" xr:uid="{00000000-0005-0000-0000-00006A000000}"/>
    <cellStyle name="Comma 4" xfId="53" xr:uid="{00000000-0005-0000-0000-00006B000000}"/>
    <cellStyle name="Comma 4 2" xfId="176" xr:uid="{00000000-0005-0000-0000-00006C000000}"/>
    <cellStyle name="Comma 4 2 2" xfId="177" xr:uid="{00000000-0005-0000-0000-00006D000000}"/>
    <cellStyle name="Comma 4 3" xfId="178" xr:uid="{00000000-0005-0000-0000-00006E000000}"/>
    <cellStyle name="Comma 4 4" xfId="179" xr:uid="{00000000-0005-0000-0000-00006F000000}"/>
    <cellStyle name="Comma 4 5" xfId="180" xr:uid="{00000000-0005-0000-0000-000070000000}"/>
    <cellStyle name="Comma 4 6" xfId="181" xr:uid="{00000000-0005-0000-0000-000071000000}"/>
    <cellStyle name="Comma 4 7" xfId="182" xr:uid="{00000000-0005-0000-0000-000072000000}"/>
    <cellStyle name="Comma 4 8" xfId="183" xr:uid="{00000000-0005-0000-0000-000073000000}"/>
    <cellStyle name="Comma 5" xfId="54" xr:uid="{00000000-0005-0000-0000-000074000000}"/>
    <cellStyle name="Comma 5 2" xfId="184" xr:uid="{00000000-0005-0000-0000-000075000000}"/>
    <cellStyle name="Comma 5 2 2" xfId="185" xr:uid="{00000000-0005-0000-0000-000076000000}"/>
    <cellStyle name="Comma 6" xfId="101" xr:uid="{00000000-0005-0000-0000-000077000000}"/>
    <cellStyle name="Comma 6 2" xfId="186" xr:uid="{00000000-0005-0000-0000-000078000000}"/>
    <cellStyle name="Comma 6 3" xfId="187" xr:uid="{00000000-0005-0000-0000-000079000000}"/>
    <cellStyle name="Comma 6 3 2" xfId="188" xr:uid="{00000000-0005-0000-0000-00007A000000}"/>
    <cellStyle name="Comma 6 3 3" xfId="189" xr:uid="{00000000-0005-0000-0000-00007B000000}"/>
    <cellStyle name="Comma 6 4" xfId="190" xr:uid="{00000000-0005-0000-0000-00007C000000}"/>
    <cellStyle name="Comma 7 2" xfId="191" xr:uid="{00000000-0005-0000-0000-00007D000000}"/>
    <cellStyle name="Comma 7 3" xfId="192" xr:uid="{00000000-0005-0000-0000-00007E000000}"/>
    <cellStyle name="Comma 7 4" xfId="193" xr:uid="{00000000-0005-0000-0000-00007F000000}"/>
    <cellStyle name="Comma 8" xfId="194" xr:uid="{00000000-0005-0000-0000-000080000000}"/>
    <cellStyle name="Comma 8 2" xfId="195" xr:uid="{00000000-0005-0000-0000-000081000000}"/>
    <cellStyle name="Comma 9" xfId="196" xr:uid="{00000000-0005-0000-0000-000082000000}"/>
    <cellStyle name="Comma 9 2" xfId="197" xr:uid="{00000000-0005-0000-0000-000083000000}"/>
    <cellStyle name="Comma 9 2 2" xfId="198" xr:uid="{00000000-0005-0000-0000-000084000000}"/>
    <cellStyle name="Comma 9 3" xfId="199" xr:uid="{00000000-0005-0000-0000-000085000000}"/>
    <cellStyle name="Comma 9 4" xfId="200" xr:uid="{00000000-0005-0000-0000-000086000000}"/>
    <cellStyle name="Comma0" xfId="55" xr:uid="{00000000-0005-0000-0000-000087000000}"/>
    <cellStyle name="Currency" xfId="99" builtinId="4"/>
    <cellStyle name="Currency [00]" xfId="201" xr:uid="{00000000-0005-0000-0000-000089000000}"/>
    <cellStyle name="Currency 11" xfId="202" xr:uid="{00000000-0005-0000-0000-00008A000000}"/>
    <cellStyle name="Currency 11 2" xfId="203" xr:uid="{00000000-0005-0000-0000-00008B000000}"/>
    <cellStyle name="Currency 11 2 2" xfId="204" xr:uid="{00000000-0005-0000-0000-00008C000000}"/>
    <cellStyle name="Currency 13" xfId="205" xr:uid="{00000000-0005-0000-0000-00008D000000}"/>
    <cellStyle name="Currency 13 2" xfId="206" xr:uid="{00000000-0005-0000-0000-00008E000000}"/>
    <cellStyle name="Currency 14" xfId="207" xr:uid="{00000000-0005-0000-0000-00008F000000}"/>
    <cellStyle name="Currency 14 2" xfId="208" xr:uid="{00000000-0005-0000-0000-000090000000}"/>
    <cellStyle name="Currency 15" xfId="209" xr:uid="{00000000-0005-0000-0000-000091000000}"/>
    <cellStyle name="Currency 15 2" xfId="210" xr:uid="{00000000-0005-0000-0000-000092000000}"/>
    <cellStyle name="Currency 16 2" xfId="211" xr:uid="{00000000-0005-0000-0000-000093000000}"/>
    <cellStyle name="Currency 17" xfId="212" xr:uid="{00000000-0005-0000-0000-000094000000}"/>
    <cellStyle name="Currency 17 2" xfId="213" xr:uid="{00000000-0005-0000-0000-000095000000}"/>
    <cellStyle name="Currency 18" xfId="214" xr:uid="{00000000-0005-0000-0000-000096000000}"/>
    <cellStyle name="Currency 19" xfId="215" xr:uid="{00000000-0005-0000-0000-000097000000}"/>
    <cellStyle name="Currency 2" xfId="56" xr:uid="{00000000-0005-0000-0000-000098000000}"/>
    <cellStyle name="Currency 2 2" xfId="216" xr:uid="{00000000-0005-0000-0000-000099000000}"/>
    <cellStyle name="Currency 2 2 2" xfId="217" xr:uid="{00000000-0005-0000-0000-00009A000000}"/>
    <cellStyle name="Currency 2 2 3" xfId="218" xr:uid="{00000000-0005-0000-0000-00009B000000}"/>
    <cellStyle name="Currency 2 2 4" xfId="219" xr:uid="{00000000-0005-0000-0000-00009C000000}"/>
    <cellStyle name="Currency 2 3" xfId="220" xr:uid="{00000000-0005-0000-0000-00009D000000}"/>
    <cellStyle name="Currency 2 3 2" xfId="221" xr:uid="{00000000-0005-0000-0000-00009E000000}"/>
    <cellStyle name="Currency 2 3 3" xfId="222" xr:uid="{00000000-0005-0000-0000-00009F000000}"/>
    <cellStyle name="Currency 2 4" xfId="223" xr:uid="{00000000-0005-0000-0000-0000A0000000}"/>
    <cellStyle name="Currency 2 4 2" xfId="224" xr:uid="{00000000-0005-0000-0000-0000A1000000}"/>
    <cellStyle name="Currency 2 4 3" xfId="225" xr:uid="{00000000-0005-0000-0000-0000A2000000}"/>
    <cellStyle name="Currency 2 4 3 2" xfId="226" xr:uid="{00000000-0005-0000-0000-0000A3000000}"/>
    <cellStyle name="Currency 2 4 4" xfId="227" xr:uid="{00000000-0005-0000-0000-0000A4000000}"/>
    <cellStyle name="Currency 2 5" xfId="228" xr:uid="{00000000-0005-0000-0000-0000A5000000}"/>
    <cellStyle name="Currency 2 5 2" xfId="229" xr:uid="{00000000-0005-0000-0000-0000A6000000}"/>
    <cellStyle name="Currency 2 6" xfId="230" xr:uid="{00000000-0005-0000-0000-0000A7000000}"/>
    <cellStyle name="Currency 2 7" xfId="231" xr:uid="{00000000-0005-0000-0000-0000A8000000}"/>
    <cellStyle name="Currency 20" xfId="232" xr:uid="{00000000-0005-0000-0000-0000A9000000}"/>
    <cellStyle name="Currency 21" xfId="233" xr:uid="{00000000-0005-0000-0000-0000AA000000}"/>
    <cellStyle name="Currency 22" xfId="234" xr:uid="{00000000-0005-0000-0000-0000AB000000}"/>
    <cellStyle name="Currency 3" xfId="57" xr:uid="{00000000-0005-0000-0000-0000AC000000}"/>
    <cellStyle name="Currency 3 2" xfId="235" xr:uid="{00000000-0005-0000-0000-0000AD000000}"/>
    <cellStyle name="Currency 3 2 2" xfId="236" xr:uid="{00000000-0005-0000-0000-0000AE000000}"/>
    <cellStyle name="Currency 3 3" xfId="237" xr:uid="{00000000-0005-0000-0000-0000AF000000}"/>
    <cellStyle name="Currency 4" xfId="102" xr:uid="{00000000-0005-0000-0000-0000B0000000}"/>
    <cellStyle name="Currency 4 2" xfId="238" xr:uid="{00000000-0005-0000-0000-0000B1000000}"/>
    <cellStyle name="Currency 4 2 10" xfId="239" xr:uid="{00000000-0005-0000-0000-0000B2000000}"/>
    <cellStyle name="Currency 4 2 10 2" xfId="240" xr:uid="{00000000-0005-0000-0000-0000B3000000}"/>
    <cellStyle name="Currency 4 2 11" xfId="241" xr:uid="{00000000-0005-0000-0000-0000B4000000}"/>
    <cellStyle name="Currency 4 2 2" xfId="242" xr:uid="{00000000-0005-0000-0000-0000B5000000}"/>
    <cellStyle name="Currency 4 2 2 2" xfId="243" xr:uid="{00000000-0005-0000-0000-0000B6000000}"/>
    <cellStyle name="Currency 4 2 3" xfId="244" xr:uid="{00000000-0005-0000-0000-0000B7000000}"/>
    <cellStyle name="Currency 4 2 4" xfId="245" xr:uid="{00000000-0005-0000-0000-0000B8000000}"/>
    <cellStyle name="Currency 4 2 5" xfId="246" xr:uid="{00000000-0005-0000-0000-0000B9000000}"/>
    <cellStyle name="Currency 4 2 6" xfId="247" xr:uid="{00000000-0005-0000-0000-0000BA000000}"/>
    <cellStyle name="Currency 4 2 6 2" xfId="248" xr:uid="{00000000-0005-0000-0000-0000BB000000}"/>
    <cellStyle name="Currency 4 2 7" xfId="249" xr:uid="{00000000-0005-0000-0000-0000BC000000}"/>
    <cellStyle name="Currency 4 2 7 2" xfId="250" xr:uid="{00000000-0005-0000-0000-0000BD000000}"/>
    <cellStyle name="Currency 4 2 8" xfId="251" xr:uid="{00000000-0005-0000-0000-0000BE000000}"/>
    <cellStyle name="Currency 4 2 8 2" xfId="252" xr:uid="{00000000-0005-0000-0000-0000BF000000}"/>
    <cellStyle name="Currency 4 2 9" xfId="253" xr:uid="{00000000-0005-0000-0000-0000C0000000}"/>
    <cellStyle name="Currency 4 2 9 2" xfId="254" xr:uid="{00000000-0005-0000-0000-0000C1000000}"/>
    <cellStyle name="Currency 4 3" xfId="255" xr:uid="{00000000-0005-0000-0000-0000C2000000}"/>
    <cellStyle name="Currency 4 3 2" xfId="256" xr:uid="{00000000-0005-0000-0000-0000C3000000}"/>
    <cellStyle name="Currency 4 3 3" xfId="257" xr:uid="{00000000-0005-0000-0000-0000C4000000}"/>
    <cellStyle name="Currency 4 3 4" xfId="258" xr:uid="{00000000-0005-0000-0000-0000C5000000}"/>
    <cellStyle name="Currency 4 3 5" xfId="259" xr:uid="{00000000-0005-0000-0000-0000C6000000}"/>
    <cellStyle name="Currency 4 4" xfId="260" xr:uid="{00000000-0005-0000-0000-0000C7000000}"/>
    <cellStyle name="Currency 4 5" xfId="261" xr:uid="{00000000-0005-0000-0000-0000C8000000}"/>
    <cellStyle name="Currency 5" xfId="262" xr:uid="{00000000-0005-0000-0000-0000C9000000}"/>
    <cellStyle name="Currency 5 2" xfId="263" xr:uid="{00000000-0005-0000-0000-0000CA000000}"/>
    <cellStyle name="Currency 5 3" xfId="264" xr:uid="{00000000-0005-0000-0000-0000CB000000}"/>
    <cellStyle name="Currency 5 4" xfId="265" xr:uid="{00000000-0005-0000-0000-0000CC000000}"/>
    <cellStyle name="Currency 5 5" xfId="266" xr:uid="{00000000-0005-0000-0000-0000CD000000}"/>
    <cellStyle name="Currency 5 6" xfId="267" xr:uid="{00000000-0005-0000-0000-0000CE000000}"/>
    <cellStyle name="Currency 6 2" xfId="268" xr:uid="{00000000-0005-0000-0000-0000CF000000}"/>
    <cellStyle name="Currency 6 2 2" xfId="269" xr:uid="{00000000-0005-0000-0000-0000D0000000}"/>
    <cellStyle name="Currency 7 2" xfId="270" xr:uid="{00000000-0005-0000-0000-0000D1000000}"/>
    <cellStyle name="Currency 8 2" xfId="271" xr:uid="{00000000-0005-0000-0000-0000D2000000}"/>
    <cellStyle name="Currency 8 3" xfId="272" xr:uid="{00000000-0005-0000-0000-0000D3000000}"/>
    <cellStyle name="Currency 8 4" xfId="273" xr:uid="{00000000-0005-0000-0000-0000D4000000}"/>
    <cellStyle name="Currency 8 5" xfId="274" xr:uid="{00000000-0005-0000-0000-0000D5000000}"/>
    <cellStyle name="Currency 8 6" xfId="275" xr:uid="{00000000-0005-0000-0000-0000D6000000}"/>
    <cellStyle name="Currency 9" xfId="276" xr:uid="{00000000-0005-0000-0000-0000D7000000}"/>
    <cellStyle name="Currency 9 2" xfId="277" xr:uid="{00000000-0005-0000-0000-0000D8000000}"/>
    <cellStyle name="Currency 9 3" xfId="278" xr:uid="{00000000-0005-0000-0000-0000D9000000}"/>
    <cellStyle name="Date" xfId="58" xr:uid="{00000000-0005-0000-0000-0000DA000000}"/>
    <cellStyle name="Date Short" xfId="279" xr:uid="{00000000-0005-0000-0000-0000DB000000}"/>
    <cellStyle name="DELTA" xfId="280" xr:uid="{00000000-0005-0000-0000-0000DC000000}"/>
    <cellStyle name="Enter Currency (0)" xfId="281" xr:uid="{00000000-0005-0000-0000-0000DD000000}"/>
    <cellStyle name="Enter Currency (2)" xfId="282" xr:uid="{00000000-0005-0000-0000-0000DE000000}"/>
    <cellStyle name="Enter Units (0)" xfId="283" xr:uid="{00000000-0005-0000-0000-0000DF000000}"/>
    <cellStyle name="Enter Units (1)" xfId="284" xr:uid="{00000000-0005-0000-0000-0000E0000000}"/>
    <cellStyle name="Enter Units (2)" xfId="285" xr:uid="{00000000-0005-0000-0000-0000E1000000}"/>
    <cellStyle name="Explanatory Text" xfId="18" builtinId="53" customBuiltin="1"/>
    <cellStyle name="Fixed" xfId="59" xr:uid="{00000000-0005-0000-0000-0000E3000000}"/>
    <cellStyle name="Formulas - Copy and Delete as Necessary" xfId="94" xr:uid="{00000000-0005-0000-0000-0000E4000000}"/>
    <cellStyle name="Formulas - DO NOT MODIFY" xfId="95" xr:uid="{00000000-0005-0000-0000-0000E5000000}"/>
    <cellStyle name="Good" xfId="8" builtinId="26" customBuiltin="1"/>
    <cellStyle name="Grey" xfId="60" xr:uid="{00000000-0005-0000-0000-0000E7000000}"/>
    <cellStyle name="Grey 2" xfId="286" xr:uid="{00000000-0005-0000-0000-0000E8000000}"/>
    <cellStyle name="HEADER" xfId="61" xr:uid="{00000000-0005-0000-0000-0000E9000000}"/>
    <cellStyle name="Header1" xfId="287" xr:uid="{00000000-0005-0000-0000-0000EA000000}"/>
    <cellStyle name="Header2" xfId="288" xr:uid="{00000000-0005-0000-0000-0000EB000000}"/>
    <cellStyle name="Header2 2" xfId="289" xr:uid="{00000000-0005-0000-0000-0000EC000000}"/>
    <cellStyle name="Heading 1" xfId="4" builtinId="16" customBuiltin="1"/>
    <cellStyle name="Heading 2" xfId="5" builtinId="17" customBuiltin="1"/>
    <cellStyle name="Heading 3" xfId="6" builtinId="18" customBuiltin="1"/>
    <cellStyle name="Heading 4" xfId="7" builtinId="19" customBuiltin="1"/>
    <cellStyle name="Heading1" xfId="62" xr:uid="{00000000-0005-0000-0000-0000F1000000}"/>
    <cellStyle name="Heading2" xfId="63" xr:uid="{00000000-0005-0000-0000-0000F2000000}"/>
    <cellStyle name="HIGHLIGHT" xfId="64" xr:uid="{00000000-0005-0000-0000-0000F3000000}"/>
    <cellStyle name="Hyperlink 2" xfId="290" xr:uid="{00000000-0005-0000-0000-0000F4000000}"/>
    <cellStyle name="Hyperlink 3" xfId="291" xr:uid="{00000000-0005-0000-0000-0000F5000000}"/>
    <cellStyle name="Hyperlink 4" xfId="292" xr:uid="{00000000-0005-0000-0000-0000F6000000}"/>
    <cellStyle name="Input" xfId="11" builtinId="20" customBuiltin="1"/>
    <cellStyle name="Input [yellow]" xfId="65" xr:uid="{00000000-0005-0000-0000-0000F8000000}"/>
    <cellStyle name="Input [yellow] 2" xfId="293" xr:uid="{00000000-0005-0000-0000-0000F9000000}"/>
    <cellStyle name="Input 2" xfId="96" xr:uid="{00000000-0005-0000-0000-0000FA000000}"/>
    <cellStyle name="Link Currency (0)" xfId="294" xr:uid="{00000000-0005-0000-0000-0000FB000000}"/>
    <cellStyle name="Link Currency (2)" xfId="295" xr:uid="{00000000-0005-0000-0000-0000FC000000}"/>
    <cellStyle name="Link Units (0)" xfId="296" xr:uid="{00000000-0005-0000-0000-0000FD000000}"/>
    <cellStyle name="Link Units (1)" xfId="297" xr:uid="{00000000-0005-0000-0000-0000FE000000}"/>
    <cellStyle name="Link Units (2)" xfId="298" xr:uid="{00000000-0005-0000-0000-0000FF000000}"/>
    <cellStyle name="Linked Cell" xfId="14" builtinId="24" customBuiltin="1"/>
    <cellStyle name="Linked Data" xfId="97" xr:uid="{00000000-0005-0000-0000-000001010000}"/>
    <cellStyle name="Neutral" xfId="10" builtinId="28" customBuiltin="1"/>
    <cellStyle name="no dec" xfId="66" xr:uid="{00000000-0005-0000-0000-000003010000}"/>
    <cellStyle name="Normal" xfId="0" builtinId="0"/>
    <cellStyle name="Normal - Style1" xfId="67" xr:uid="{00000000-0005-0000-0000-000005010000}"/>
    <cellStyle name="Normal 10" xfId="68" xr:uid="{00000000-0005-0000-0000-000006010000}"/>
    <cellStyle name="Normal 10 2" xfId="299" xr:uid="{00000000-0005-0000-0000-000007010000}"/>
    <cellStyle name="Normal 10 3" xfId="300" xr:uid="{00000000-0005-0000-0000-000008010000}"/>
    <cellStyle name="Normal 11" xfId="69" xr:uid="{00000000-0005-0000-0000-000009010000}"/>
    <cellStyle name="Normal 11 2" xfId="301" xr:uid="{00000000-0005-0000-0000-00000A010000}"/>
    <cellStyle name="Normal 12" xfId="70" xr:uid="{00000000-0005-0000-0000-00000B010000}"/>
    <cellStyle name="Normal 12 2" xfId="302" xr:uid="{00000000-0005-0000-0000-00000C010000}"/>
    <cellStyle name="Normal 13" xfId="71" xr:uid="{00000000-0005-0000-0000-00000D010000}"/>
    <cellStyle name="Normal 13 2" xfId="303" xr:uid="{00000000-0005-0000-0000-00000E010000}"/>
    <cellStyle name="Normal 14" xfId="72" xr:uid="{00000000-0005-0000-0000-00000F010000}"/>
    <cellStyle name="Normal 14 2" xfId="304" xr:uid="{00000000-0005-0000-0000-000010010000}"/>
    <cellStyle name="Normal 15" xfId="73" xr:uid="{00000000-0005-0000-0000-000011010000}"/>
    <cellStyle name="Normal 15 2" xfId="305" xr:uid="{00000000-0005-0000-0000-000012010000}"/>
    <cellStyle name="Normal 15 3" xfId="306" xr:uid="{00000000-0005-0000-0000-000013010000}"/>
    <cellStyle name="Normal 16" xfId="74" xr:uid="{00000000-0005-0000-0000-000014010000}"/>
    <cellStyle name="Normal 16 2" xfId="307" xr:uid="{00000000-0005-0000-0000-000015010000}"/>
    <cellStyle name="Normal 17" xfId="308" xr:uid="{00000000-0005-0000-0000-000016010000}"/>
    <cellStyle name="Normal 18" xfId="309" xr:uid="{00000000-0005-0000-0000-000017010000}"/>
    <cellStyle name="Normal 18 2" xfId="310" xr:uid="{00000000-0005-0000-0000-000018010000}"/>
    <cellStyle name="Normal 19" xfId="311" xr:uid="{00000000-0005-0000-0000-000019010000}"/>
    <cellStyle name="Normal 19 2" xfId="312" xr:uid="{00000000-0005-0000-0000-00001A010000}"/>
    <cellStyle name="Normal 2" xfId="75" xr:uid="{00000000-0005-0000-0000-00001B010000}"/>
    <cellStyle name="Normal 2 2" xfId="76" xr:uid="{00000000-0005-0000-0000-00001C010000}"/>
    <cellStyle name="Normal 2 2 2" xfId="313" xr:uid="{00000000-0005-0000-0000-00001D010000}"/>
    <cellStyle name="Normal 2 2 2 2" xfId="314" xr:uid="{00000000-0005-0000-0000-00001E010000}"/>
    <cellStyle name="Normal 2 2 2 3" xfId="315" xr:uid="{00000000-0005-0000-0000-00001F010000}"/>
    <cellStyle name="Normal 2 2 3" xfId="316" xr:uid="{00000000-0005-0000-0000-000020010000}"/>
    <cellStyle name="Normal 2 2_Summary" xfId="317" xr:uid="{00000000-0005-0000-0000-000021010000}"/>
    <cellStyle name="Normal 2 3" xfId="77" xr:uid="{00000000-0005-0000-0000-000022010000}"/>
    <cellStyle name="Normal 2 3 2" xfId="318" xr:uid="{00000000-0005-0000-0000-000023010000}"/>
    <cellStyle name="Normal 2 3 2 2" xfId="319" xr:uid="{00000000-0005-0000-0000-000024010000}"/>
    <cellStyle name="Normal 2 3 3" xfId="320" xr:uid="{00000000-0005-0000-0000-000025010000}"/>
    <cellStyle name="Normal 2 3 4" xfId="321" xr:uid="{00000000-0005-0000-0000-000026010000}"/>
    <cellStyle name="Normal 2 3_Summary" xfId="322" xr:uid="{00000000-0005-0000-0000-000027010000}"/>
    <cellStyle name="Normal 2 4" xfId="44" xr:uid="{00000000-0005-0000-0000-000028010000}"/>
    <cellStyle name="Normal 2 4 2" xfId="323" xr:uid="{00000000-0005-0000-0000-000029010000}"/>
    <cellStyle name="Normal 2 5" xfId="324" xr:uid="{00000000-0005-0000-0000-00002A010000}"/>
    <cellStyle name="Normal 20" xfId="325" xr:uid="{00000000-0005-0000-0000-00002B010000}"/>
    <cellStyle name="Normal 21" xfId="326" xr:uid="{00000000-0005-0000-0000-00002C010000}"/>
    <cellStyle name="Normal 22" xfId="327" xr:uid="{00000000-0005-0000-0000-00002D010000}"/>
    <cellStyle name="Normal 23" xfId="100" xr:uid="{00000000-0005-0000-0000-00002E010000}"/>
    <cellStyle name="Normal 3" xfId="78" xr:uid="{00000000-0005-0000-0000-00002F010000}"/>
    <cellStyle name="Normal 3 10" xfId="328" xr:uid="{00000000-0005-0000-0000-000030010000}"/>
    <cellStyle name="Normal 3 10 2" xfId="329" xr:uid="{00000000-0005-0000-0000-000031010000}"/>
    <cellStyle name="Normal 3 11" xfId="330" xr:uid="{00000000-0005-0000-0000-000032010000}"/>
    <cellStyle name="Normal 3 11 2" xfId="331" xr:uid="{00000000-0005-0000-0000-000033010000}"/>
    <cellStyle name="Normal 3 12" xfId="332" xr:uid="{00000000-0005-0000-0000-000034010000}"/>
    <cellStyle name="Normal 3 13" xfId="333" xr:uid="{00000000-0005-0000-0000-000035010000}"/>
    <cellStyle name="Normal 3 2" xfId="98" xr:uid="{00000000-0005-0000-0000-000036010000}"/>
    <cellStyle name="Normal 3 2 2" xfId="334" xr:uid="{00000000-0005-0000-0000-000037010000}"/>
    <cellStyle name="Normal 3 2 3" xfId="335" xr:uid="{00000000-0005-0000-0000-000038010000}"/>
    <cellStyle name="Normal 3 3" xfId="336" xr:uid="{00000000-0005-0000-0000-000039010000}"/>
    <cellStyle name="Normal 3 4" xfId="337" xr:uid="{00000000-0005-0000-0000-00003A010000}"/>
    <cellStyle name="Normal 3 5" xfId="338" xr:uid="{00000000-0005-0000-0000-00003B010000}"/>
    <cellStyle name="Normal 3 6" xfId="339" xr:uid="{00000000-0005-0000-0000-00003C010000}"/>
    <cellStyle name="Normal 3 7" xfId="340" xr:uid="{00000000-0005-0000-0000-00003D010000}"/>
    <cellStyle name="Normal 3 7 2" xfId="341" xr:uid="{00000000-0005-0000-0000-00003E010000}"/>
    <cellStyle name="Normal 3 7_Summary" xfId="342" xr:uid="{00000000-0005-0000-0000-00003F010000}"/>
    <cellStyle name="Normal 3 8" xfId="343" xr:uid="{00000000-0005-0000-0000-000040010000}"/>
    <cellStyle name="Normal 3 8 2" xfId="344" xr:uid="{00000000-0005-0000-0000-000041010000}"/>
    <cellStyle name="Normal 3 9" xfId="345" xr:uid="{00000000-0005-0000-0000-000042010000}"/>
    <cellStyle name="Normal 3 9 2" xfId="346" xr:uid="{00000000-0005-0000-0000-000043010000}"/>
    <cellStyle name="Normal 3 9_Summary" xfId="347" xr:uid="{00000000-0005-0000-0000-000044010000}"/>
    <cellStyle name="Normal 3_Rates" xfId="348" xr:uid="{00000000-0005-0000-0000-000045010000}"/>
    <cellStyle name="Normal 4" xfId="79" xr:uid="{00000000-0005-0000-0000-000046010000}"/>
    <cellStyle name="Normal 4 2" xfId="349" xr:uid="{00000000-0005-0000-0000-000047010000}"/>
    <cellStyle name="Normal 4 2 2" xfId="350" xr:uid="{00000000-0005-0000-0000-000048010000}"/>
    <cellStyle name="Normal 4 2 3" xfId="351" xr:uid="{00000000-0005-0000-0000-000049010000}"/>
    <cellStyle name="Normal 4 26" xfId="80" xr:uid="{00000000-0005-0000-0000-00004A010000}"/>
    <cellStyle name="Normal 4 26 2" xfId="352" xr:uid="{00000000-0005-0000-0000-00004B010000}"/>
    <cellStyle name="Normal 4 3" xfId="353" xr:uid="{00000000-0005-0000-0000-00004C010000}"/>
    <cellStyle name="Normal 5" xfId="81" xr:uid="{00000000-0005-0000-0000-00004D010000}"/>
    <cellStyle name="Normal 5 2" xfId="354" xr:uid="{00000000-0005-0000-0000-00004E010000}"/>
    <cellStyle name="Normal 5 2 2" xfId="355" xr:uid="{00000000-0005-0000-0000-00004F010000}"/>
    <cellStyle name="Normal 5 3" xfId="356" xr:uid="{00000000-0005-0000-0000-000050010000}"/>
    <cellStyle name="Normal 5 4" xfId="357" xr:uid="{00000000-0005-0000-0000-000051010000}"/>
    <cellStyle name="Normal 5 5" xfId="358" xr:uid="{00000000-0005-0000-0000-000052010000}"/>
    <cellStyle name="Normal 5 6" xfId="359" xr:uid="{00000000-0005-0000-0000-000053010000}"/>
    <cellStyle name="Normal 5_Summary" xfId="360" xr:uid="{00000000-0005-0000-0000-000054010000}"/>
    <cellStyle name="Normal 6" xfId="82" xr:uid="{00000000-0005-0000-0000-000055010000}"/>
    <cellStyle name="Normal 6 2" xfId="361" xr:uid="{00000000-0005-0000-0000-000056010000}"/>
    <cellStyle name="Normal 7" xfId="83" xr:uid="{00000000-0005-0000-0000-000057010000}"/>
    <cellStyle name="Normal 7 2" xfId="362" xr:uid="{00000000-0005-0000-0000-000058010000}"/>
    <cellStyle name="Normal 7 3" xfId="363" xr:uid="{00000000-0005-0000-0000-000059010000}"/>
    <cellStyle name="Normal 8" xfId="84" xr:uid="{00000000-0005-0000-0000-00005A010000}"/>
    <cellStyle name="Normal 8 2" xfId="364" xr:uid="{00000000-0005-0000-0000-00005B010000}"/>
    <cellStyle name="Normal 8 3" xfId="365" xr:uid="{00000000-0005-0000-0000-00005C010000}"/>
    <cellStyle name="Normal 9" xfId="85" xr:uid="{00000000-0005-0000-0000-00005D010000}"/>
    <cellStyle name="Normal 9 2" xfId="366" xr:uid="{00000000-0005-0000-0000-00005E010000}"/>
    <cellStyle name="Normal 9 3" xfId="367" xr:uid="{00000000-0005-0000-0000-00005F010000}"/>
    <cellStyle name="Note" xfId="17" builtinId="10" customBuiltin="1"/>
    <cellStyle name="Output" xfId="12" builtinId="21" customBuiltin="1"/>
    <cellStyle name="Percent" xfId="2" builtinId="5"/>
    <cellStyle name="Percent [0]" xfId="368" xr:uid="{00000000-0005-0000-0000-000063010000}"/>
    <cellStyle name="Percent [00]" xfId="369" xr:uid="{00000000-0005-0000-0000-000064010000}"/>
    <cellStyle name="Percent [2]" xfId="86" xr:uid="{00000000-0005-0000-0000-000065010000}"/>
    <cellStyle name="Percent 10" xfId="370" xr:uid="{00000000-0005-0000-0000-000066010000}"/>
    <cellStyle name="Percent 10 2" xfId="371" xr:uid="{00000000-0005-0000-0000-000067010000}"/>
    <cellStyle name="Percent 10 2 2" xfId="372" xr:uid="{00000000-0005-0000-0000-000068010000}"/>
    <cellStyle name="Percent 10 3" xfId="373" xr:uid="{00000000-0005-0000-0000-000069010000}"/>
    <cellStyle name="Percent 11" xfId="374" xr:uid="{00000000-0005-0000-0000-00006A010000}"/>
    <cellStyle name="Percent 12" xfId="375" xr:uid="{00000000-0005-0000-0000-00006B010000}"/>
    <cellStyle name="Percent 12 2" xfId="376" xr:uid="{00000000-0005-0000-0000-00006C010000}"/>
    <cellStyle name="Percent 13" xfId="103" xr:uid="{00000000-0005-0000-0000-00006D010000}"/>
    <cellStyle name="Percent 14" xfId="377" xr:uid="{00000000-0005-0000-0000-00006E010000}"/>
    <cellStyle name="Percent 15" xfId="378" xr:uid="{00000000-0005-0000-0000-00006F010000}"/>
    <cellStyle name="Percent 15 2" xfId="379" xr:uid="{00000000-0005-0000-0000-000070010000}"/>
    <cellStyle name="Percent 16" xfId="380" xr:uid="{00000000-0005-0000-0000-000071010000}"/>
    <cellStyle name="Percent 16 2" xfId="381" xr:uid="{00000000-0005-0000-0000-000072010000}"/>
    <cellStyle name="Percent 17" xfId="382" xr:uid="{00000000-0005-0000-0000-000073010000}"/>
    <cellStyle name="Percent 17 2" xfId="383" xr:uid="{00000000-0005-0000-0000-000074010000}"/>
    <cellStyle name="Percent 18" xfId="384" xr:uid="{00000000-0005-0000-0000-000075010000}"/>
    <cellStyle name="Percent 19" xfId="385" xr:uid="{00000000-0005-0000-0000-000076010000}"/>
    <cellStyle name="Percent 19 2" xfId="386" xr:uid="{00000000-0005-0000-0000-000077010000}"/>
    <cellStyle name="Percent 2" xfId="87" xr:uid="{00000000-0005-0000-0000-000078010000}"/>
    <cellStyle name="Percent 2 2" xfId="88" xr:uid="{00000000-0005-0000-0000-000079010000}"/>
    <cellStyle name="Percent 2 2 10" xfId="387" xr:uid="{00000000-0005-0000-0000-00007A010000}"/>
    <cellStyle name="Percent 2 2 10 2" xfId="388" xr:uid="{00000000-0005-0000-0000-00007B010000}"/>
    <cellStyle name="Percent 2 2 11" xfId="389" xr:uid="{00000000-0005-0000-0000-00007C010000}"/>
    <cellStyle name="Percent 2 2 12" xfId="390" xr:uid="{00000000-0005-0000-0000-00007D010000}"/>
    <cellStyle name="Percent 2 2 2" xfId="391" xr:uid="{00000000-0005-0000-0000-00007E010000}"/>
    <cellStyle name="Percent 2 2 2 2" xfId="392" xr:uid="{00000000-0005-0000-0000-00007F010000}"/>
    <cellStyle name="Percent 2 2 2 3" xfId="393" xr:uid="{00000000-0005-0000-0000-000080010000}"/>
    <cellStyle name="Percent 2 2 3" xfId="394" xr:uid="{00000000-0005-0000-0000-000081010000}"/>
    <cellStyle name="Percent 2 2 4" xfId="395" xr:uid="{00000000-0005-0000-0000-000082010000}"/>
    <cellStyle name="Percent 2 2 5" xfId="396" xr:uid="{00000000-0005-0000-0000-000083010000}"/>
    <cellStyle name="Percent 2 2 6" xfId="397" xr:uid="{00000000-0005-0000-0000-000084010000}"/>
    <cellStyle name="Percent 2 2 6 2" xfId="398" xr:uid="{00000000-0005-0000-0000-000085010000}"/>
    <cellStyle name="Percent 2 2 7" xfId="399" xr:uid="{00000000-0005-0000-0000-000086010000}"/>
    <cellStyle name="Percent 2 2 7 2" xfId="400" xr:uid="{00000000-0005-0000-0000-000087010000}"/>
    <cellStyle name="Percent 2 2 8" xfId="401" xr:uid="{00000000-0005-0000-0000-000088010000}"/>
    <cellStyle name="Percent 2 2 8 2" xfId="402" xr:uid="{00000000-0005-0000-0000-000089010000}"/>
    <cellStyle name="Percent 2 2 9" xfId="403" xr:uid="{00000000-0005-0000-0000-00008A010000}"/>
    <cellStyle name="Percent 2 2 9 2" xfId="404" xr:uid="{00000000-0005-0000-0000-00008B010000}"/>
    <cellStyle name="Percent 2 3" xfId="45" xr:uid="{00000000-0005-0000-0000-00008C010000}"/>
    <cellStyle name="Percent 2 3 2" xfId="405" xr:uid="{00000000-0005-0000-0000-00008D010000}"/>
    <cellStyle name="Percent 2 3 3" xfId="406" xr:uid="{00000000-0005-0000-0000-00008E010000}"/>
    <cellStyle name="Percent 2 3 4" xfId="407" xr:uid="{00000000-0005-0000-0000-00008F010000}"/>
    <cellStyle name="Percent 2 3 5" xfId="408" xr:uid="{00000000-0005-0000-0000-000090010000}"/>
    <cellStyle name="Percent 2 4" xfId="409" xr:uid="{00000000-0005-0000-0000-000091010000}"/>
    <cellStyle name="Percent 2 4 2" xfId="410" xr:uid="{00000000-0005-0000-0000-000092010000}"/>
    <cellStyle name="Percent 2 5" xfId="411" xr:uid="{00000000-0005-0000-0000-000093010000}"/>
    <cellStyle name="Percent 2 6" xfId="412" xr:uid="{00000000-0005-0000-0000-000094010000}"/>
    <cellStyle name="Percent 2 6 2" xfId="413" xr:uid="{00000000-0005-0000-0000-000095010000}"/>
    <cellStyle name="Percent 2 6 3" xfId="414" xr:uid="{00000000-0005-0000-0000-000096010000}"/>
    <cellStyle name="Percent 2 6 4" xfId="415" xr:uid="{00000000-0005-0000-0000-000097010000}"/>
    <cellStyle name="Percent 2 7" xfId="416" xr:uid="{00000000-0005-0000-0000-000098010000}"/>
    <cellStyle name="Percent 20" xfId="417" xr:uid="{00000000-0005-0000-0000-000099010000}"/>
    <cellStyle name="Percent 21" xfId="418" xr:uid="{00000000-0005-0000-0000-00009A010000}"/>
    <cellStyle name="Percent 3" xfId="89" xr:uid="{00000000-0005-0000-0000-00009B010000}"/>
    <cellStyle name="Percent 3 2" xfId="419" xr:uid="{00000000-0005-0000-0000-00009C010000}"/>
    <cellStyle name="Percent 3 2 2" xfId="420" xr:uid="{00000000-0005-0000-0000-00009D010000}"/>
    <cellStyle name="Percent 3 3" xfId="421" xr:uid="{00000000-0005-0000-0000-00009E010000}"/>
    <cellStyle name="Percent 3 4" xfId="422" xr:uid="{00000000-0005-0000-0000-00009F010000}"/>
    <cellStyle name="Percent 3 5" xfId="423" xr:uid="{00000000-0005-0000-0000-0000A0010000}"/>
    <cellStyle name="Percent 3 6" xfId="424" xr:uid="{00000000-0005-0000-0000-0000A1010000}"/>
    <cellStyle name="Percent 3 7" xfId="425" xr:uid="{00000000-0005-0000-0000-0000A2010000}"/>
    <cellStyle name="Percent 4" xfId="90" xr:uid="{00000000-0005-0000-0000-0000A3010000}"/>
    <cellStyle name="Percent 4 2" xfId="426" xr:uid="{00000000-0005-0000-0000-0000A4010000}"/>
    <cellStyle name="Percent 4 2 2" xfId="427" xr:uid="{00000000-0005-0000-0000-0000A5010000}"/>
    <cellStyle name="Percent 4 3" xfId="428" xr:uid="{00000000-0005-0000-0000-0000A6010000}"/>
    <cellStyle name="Percent 4 4" xfId="429" xr:uid="{00000000-0005-0000-0000-0000A7010000}"/>
    <cellStyle name="Percent 5" xfId="430" xr:uid="{00000000-0005-0000-0000-0000A8010000}"/>
    <cellStyle name="Percent 5 2" xfId="431" xr:uid="{00000000-0005-0000-0000-0000A9010000}"/>
    <cellStyle name="Percent 6" xfId="432" xr:uid="{00000000-0005-0000-0000-0000AA010000}"/>
    <cellStyle name="Percent 6 2" xfId="433" xr:uid="{00000000-0005-0000-0000-0000AB010000}"/>
    <cellStyle name="Percent 7" xfId="434" xr:uid="{00000000-0005-0000-0000-0000AC010000}"/>
    <cellStyle name="Percent 7 2" xfId="435" xr:uid="{00000000-0005-0000-0000-0000AD010000}"/>
    <cellStyle name="Percent 8" xfId="436" xr:uid="{00000000-0005-0000-0000-0000AE010000}"/>
    <cellStyle name="Percent 8 2" xfId="437" xr:uid="{00000000-0005-0000-0000-0000AF010000}"/>
    <cellStyle name="Percent 9" xfId="438" xr:uid="{00000000-0005-0000-0000-0000B0010000}"/>
    <cellStyle name="Percent 9 2" xfId="439" xr:uid="{00000000-0005-0000-0000-0000B1010000}"/>
    <cellStyle name="Percent 9 3" xfId="440" xr:uid="{00000000-0005-0000-0000-0000B2010000}"/>
    <cellStyle name="PrePop Currency (0)" xfId="441" xr:uid="{00000000-0005-0000-0000-0000B3010000}"/>
    <cellStyle name="PrePop Currency (2)" xfId="442" xr:uid="{00000000-0005-0000-0000-0000B4010000}"/>
    <cellStyle name="PrePop Units (0)" xfId="443" xr:uid="{00000000-0005-0000-0000-0000B5010000}"/>
    <cellStyle name="PrePop Units (1)" xfId="444" xr:uid="{00000000-0005-0000-0000-0000B6010000}"/>
    <cellStyle name="PrePop Units (2)" xfId="445" xr:uid="{00000000-0005-0000-0000-0000B7010000}"/>
    <cellStyle name="Text Indent A" xfId="446" xr:uid="{00000000-0005-0000-0000-0000B8010000}"/>
    <cellStyle name="Text Indent B" xfId="447" xr:uid="{00000000-0005-0000-0000-0000B9010000}"/>
    <cellStyle name="Text Indent C" xfId="448" xr:uid="{00000000-0005-0000-0000-0000BA010000}"/>
    <cellStyle name="Title" xfId="3" builtinId="15" customBuiltin="1"/>
    <cellStyle name="Total" xfId="19" builtinId="25" customBuiltin="1"/>
    <cellStyle name="Total 2" xfId="449" xr:uid="{00000000-0005-0000-0000-0000BD010000}"/>
    <cellStyle name="Unprot" xfId="91" xr:uid="{00000000-0005-0000-0000-0000BE010000}"/>
    <cellStyle name="Unprot 2" xfId="450" xr:uid="{00000000-0005-0000-0000-0000BF010000}"/>
    <cellStyle name="Unprot$" xfId="92" xr:uid="{00000000-0005-0000-0000-0000C0010000}"/>
    <cellStyle name="Unprotect" xfId="93" xr:uid="{00000000-0005-0000-0000-0000C1010000}"/>
    <cellStyle name="Warning Text" xfId="16" builtinId="11" customBuiltin="1"/>
  </cellStyles>
  <dxfs count="75">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dxf>
    <dxf>
      <border>
        <bottom style="thin">
          <color indexed="64"/>
        </bottom>
      </border>
    </dxf>
    <dxf>
      <font>
        <strike val="0"/>
        <outline val="0"/>
        <shadow val="0"/>
        <u val="none"/>
        <vertAlign val="baseline"/>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family val="2"/>
        <scheme val="none"/>
      </font>
      <numFmt numFmtId="3" formatCode="#,##0"/>
      <alignment horizontal="left" vertical="top" textRotation="0" wrapText="0" indent="0" justifyLastLine="0" shrinkToFit="0" readingOrder="0"/>
    </dxf>
    <dxf>
      <border>
        <bottom style="thin">
          <color indexed="64"/>
        </bottom>
      </border>
    </dxf>
    <dxf>
      <font>
        <strike val="0"/>
        <outline val="0"/>
        <shadow val="0"/>
        <u val="none"/>
        <vertAlign val="baseline"/>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color rgb="FFEDE7DE"/>
      </font>
    </dxf>
    <dxf>
      <font>
        <color rgb="FFEDE7DE"/>
      </font>
    </dxf>
    <dxf>
      <fill>
        <patternFill>
          <bgColor rgb="FF009900"/>
        </patternFill>
      </fill>
    </dxf>
    <dxf>
      <fill>
        <patternFill>
          <bgColor rgb="FF009900"/>
        </patternFill>
      </fill>
    </dxf>
    <dxf>
      <fill>
        <patternFill>
          <bgColor rgb="FFEDE7DE"/>
        </patternFill>
      </fill>
    </dxf>
    <dxf>
      <fill>
        <patternFill>
          <bgColor rgb="FF009900"/>
        </patternFill>
      </fill>
    </dxf>
    <dxf>
      <fill>
        <patternFill>
          <bgColor rgb="FFEDE7DE"/>
        </patternFill>
      </fill>
    </dxf>
    <dxf>
      <fill>
        <patternFill>
          <bgColor rgb="FF009900"/>
        </patternFill>
      </fill>
    </dxf>
    <dxf>
      <fill>
        <patternFill>
          <bgColor theme="2"/>
        </patternFill>
      </fill>
    </dxf>
    <dxf>
      <fill>
        <patternFill>
          <bgColor rgb="FF009900"/>
        </patternFill>
      </fill>
    </dxf>
    <dxf>
      <fill>
        <patternFill>
          <bgColor theme="2"/>
        </patternFill>
      </fill>
    </dxf>
    <dxf>
      <font>
        <color rgb="FFEDE7DE"/>
      </font>
      <fill>
        <patternFill>
          <bgColor rgb="FFEDE7DE"/>
        </patternFill>
      </fill>
    </dxf>
    <dxf>
      <fill>
        <patternFill>
          <bgColor rgb="FFEDE7DE"/>
        </patternFill>
      </fill>
    </dxf>
    <dxf>
      <fill>
        <patternFill>
          <bgColor rgb="FFEDE7DE"/>
        </patternFill>
      </fill>
    </dxf>
    <dxf>
      <fill>
        <patternFill>
          <bgColor rgb="FF009900"/>
        </patternFill>
      </fill>
    </dxf>
    <dxf>
      <fill>
        <patternFill>
          <bgColor rgb="FFEDE7DE"/>
        </patternFill>
      </fill>
    </dxf>
    <dxf>
      <fill>
        <patternFill>
          <bgColor rgb="FFEDE7DE"/>
        </patternFill>
      </fill>
    </dxf>
    <dxf>
      <fill>
        <patternFill>
          <bgColor rgb="FF009900"/>
        </patternFill>
      </fill>
    </dxf>
    <dxf>
      <fill>
        <patternFill>
          <bgColor rgb="FFEDE7DE"/>
        </patternFill>
      </fill>
    </dxf>
    <dxf>
      <fill>
        <patternFill>
          <bgColor rgb="FFEDE7DE"/>
        </patternFill>
      </fill>
    </dxf>
    <dxf>
      <fill>
        <patternFill>
          <bgColor rgb="FF009900"/>
        </patternFill>
      </fill>
    </dxf>
    <dxf>
      <fill>
        <patternFill>
          <bgColor rgb="FFEDE7DE"/>
        </patternFill>
      </fill>
    </dxf>
    <dxf>
      <fill>
        <patternFill>
          <bgColor rgb="FFEDE7DE"/>
        </patternFill>
      </fill>
    </dxf>
    <dxf>
      <fill>
        <patternFill>
          <bgColor rgb="FF009900"/>
        </patternFill>
      </fill>
    </dxf>
    <dxf>
      <fill>
        <patternFill>
          <bgColor rgb="FFEDE7DE"/>
        </patternFill>
      </fill>
    </dxf>
    <dxf>
      <fill>
        <patternFill>
          <bgColor rgb="FFEDE7DE"/>
        </patternFill>
      </fill>
    </dxf>
    <dxf>
      <fill>
        <patternFill>
          <bgColor rgb="FF009900"/>
        </patternFill>
      </fill>
    </dxf>
    <dxf>
      <font>
        <color rgb="FFEDE7DE"/>
      </font>
    </dxf>
    <dxf>
      <fill>
        <patternFill>
          <bgColor rgb="FF009900"/>
        </patternFill>
      </fill>
    </dxf>
    <dxf>
      <fill>
        <patternFill>
          <bgColor rgb="FFEDE7DE"/>
        </patternFill>
      </fill>
    </dxf>
    <dxf>
      <fill>
        <patternFill>
          <bgColor rgb="FF009900"/>
        </patternFill>
      </fill>
    </dxf>
    <dxf>
      <fill>
        <patternFill>
          <bgColor rgb="FFEDE7DE"/>
        </patternFill>
      </fill>
    </dxf>
    <dxf>
      <fill>
        <patternFill>
          <bgColor rgb="FF009900"/>
        </patternFill>
      </fill>
    </dxf>
    <dxf>
      <fill>
        <patternFill>
          <bgColor rgb="FFEDE7DE"/>
        </patternFill>
      </fill>
    </dxf>
    <dxf>
      <fill>
        <patternFill>
          <bgColor rgb="FF009900"/>
        </patternFill>
      </fill>
    </dxf>
    <dxf>
      <fill>
        <patternFill>
          <bgColor rgb="FFEDE7DE"/>
        </patternFill>
      </fill>
    </dxf>
    <dxf>
      <font>
        <color rgb="FFEDE7DE"/>
      </font>
      <fill>
        <patternFill>
          <bgColor rgb="FFEDE7DE"/>
        </patternFill>
      </fill>
    </dxf>
    <dxf>
      <fill>
        <patternFill>
          <bgColor rgb="FF009900"/>
        </patternFill>
      </fill>
    </dxf>
    <dxf>
      <fill>
        <patternFill>
          <bgColor them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s>
  <tableStyles count="0" defaultTableStyle="TableStyleMedium2" defaultPivotStyle="PivotStyleLight16"/>
  <colors>
    <mruColors>
      <color rgb="FF009900"/>
      <color rgb="FF008000"/>
      <color rgb="FFF5F5F5"/>
      <color rgb="FF16A837"/>
      <color rgb="FFE5E5E5"/>
      <color rgb="FFEDE7DE"/>
      <color rgb="FF7AB800"/>
      <color rgb="FFB87A00"/>
      <color rgb="FF003045"/>
      <color rgb="FF0055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28576</xdr:rowOff>
    </xdr:from>
    <xdr:to>
      <xdr:col>17</xdr:col>
      <xdr:colOff>561975</xdr:colOff>
      <xdr:row>20</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9075" y="228601"/>
          <a:ext cx="10296525" cy="395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ysClr val="windowText" lastClr="000000"/>
              </a:solidFill>
              <a:effectLst/>
              <a:latin typeface="Arial" pitchFamily="34" charset="0"/>
              <a:ea typeface="+mn-ea"/>
              <a:cs typeface="Arial" pitchFamily="34" charset="0"/>
            </a:rPr>
            <a:t>AES</a:t>
          </a:r>
          <a:r>
            <a:rPr lang="en-US" sz="1400" b="0" baseline="0">
              <a:solidFill>
                <a:sysClr val="windowText" lastClr="000000"/>
              </a:solidFill>
              <a:effectLst/>
              <a:latin typeface="Arial" pitchFamily="34" charset="0"/>
              <a:ea typeface="+mn-ea"/>
              <a:cs typeface="Arial" pitchFamily="34" charset="0"/>
            </a:rPr>
            <a:t> Indiana Business Rebates &amp; Incentives Program</a:t>
          </a:r>
          <a:endParaRPr lang="en-US" sz="1400" b="0">
            <a:solidFill>
              <a:sysClr val="windowText" lastClr="000000"/>
            </a:solidFill>
            <a:effectLst/>
            <a:latin typeface="Arial" pitchFamily="34" charset="0"/>
            <a:ea typeface="+mn-ea"/>
            <a:cs typeface="Arial" pitchFamily="34" charset="0"/>
          </a:endParaRPr>
        </a:p>
        <a:p>
          <a:r>
            <a:rPr lang="en-US" sz="2400" b="0">
              <a:solidFill>
                <a:sysClr val="windowText" lastClr="000000"/>
              </a:solidFill>
              <a:effectLst/>
              <a:latin typeface="Arial" pitchFamily="34" charset="0"/>
              <a:ea typeface="+mn-ea"/>
              <a:cs typeface="Arial" pitchFamily="34" charset="0"/>
            </a:rPr>
            <a:t>Lighting New Construction Savings Calculator</a:t>
          </a:r>
        </a:p>
        <a:p>
          <a:endParaRPr lang="en-US" sz="1200" baseline="0">
            <a:solidFill>
              <a:sysClr val="windowText" lastClr="000000"/>
            </a:solidFill>
            <a:effectLst/>
            <a:latin typeface="Arial" pitchFamily="34" charset="0"/>
            <a:ea typeface="+mn-ea"/>
            <a:cs typeface="Arial" pitchFamily="34" charset="0"/>
          </a:endParaRPr>
        </a:p>
        <a:p>
          <a:r>
            <a:rPr lang="en-US" sz="1200" baseline="0">
              <a:solidFill>
                <a:sysClr val="windowText" lastClr="000000"/>
              </a:solidFill>
              <a:effectLst/>
              <a:latin typeface="Arial" pitchFamily="34" charset="0"/>
              <a:ea typeface="+mn-ea"/>
              <a:cs typeface="Arial" pitchFamily="34" charset="0"/>
            </a:rPr>
            <a:t>Welcome. This document has been prepared by CLEAResult. </a:t>
          </a:r>
        </a:p>
        <a:p>
          <a:r>
            <a:rPr lang="en-US" sz="1200" baseline="0">
              <a:solidFill>
                <a:sysClr val="windowText" lastClr="000000"/>
              </a:solidFill>
              <a:effectLst/>
              <a:latin typeface="Arial" pitchFamily="34" charset="0"/>
              <a:ea typeface="+mn-ea"/>
              <a:cs typeface="Arial" pitchFamily="34" charset="0"/>
            </a:rPr>
            <a:t>The purpose of this spreadsheet is to determine the savings from replacing an existing lighting system with a more efficient lighting system. </a:t>
          </a:r>
          <a:endParaRPr lang="en-US" sz="1200">
            <a:solidFill>
              <a:sysClr val="windowText" lastClr="000000"/>
            </a:solidFill>
            <a:effectLst/>
            <a:latin typeface="Arial" pitchFamily="34" charset="0"/>
            <a:cs typeface="Arial" pitchFamily="34" charset="0"/>
          </a:endParaRPr>
        </a:p>
        <a:p>
          <a:endParaRPr lang="en-US" sz="1200" b="1" baseline="0">
            <a:solidFill>
              <a:sysClr val="windowText" lastClr="000000"/>
            </a:solidFill>
            <a:effectLst/>
            <a:latin typeface="Arial" pitchFamily="34" charset="0"/>
            <a:ea typeface="+mn-ea"/>
            <a:cs typeface="Arial" pitchFamily="34" charset="0"/>
          </a:endParaRPr>
        </a:p>
        <a:p>
          <a:r>
            <a:rPr lang="en-US" sz="1200" b="1" i="0" baseline="0">
              <a:solidFill>
                <a:sysClr val="windowText" lastClr="000000"/>
              </a:solidFill>
              <a:effectLst/>
              <a:latin typeface="Arial" pitchFamily="34" charset="0"/>
              <a:ea typeface="+mn-ea"/>
              <a:cs typeface="Arial" pitchFamily="34" charset="0"/>
            </a:rPr>
            <a:t>1. </a:t>
          </a:r>
          <a:r>
            <a:rPr lang="en-US" sz="1200" i="0" baseline="0">
              <a:solidFill>
                <a:sysClr val="windowText" lastClr="000000"/>
              </a:solidFill>
              <a:effectLst/>
              <a:latin typeface="Arial" pitchFamily="34" charset="0"/>
              <a:ea typeface="+mn-ea"/>
              <a:cs typeface="Arial" pitchFamily="34" charset="0"/>
            </a:rPr>
            <a:t>Enter all initial parameters on the "Lighting Calculator" tab. The necessary items are highlighted in Green.</a:t>
          </a:r>
          <a:endParaRPr lang="en-US" sz="1200" i="0">
            <a:solidFill>
              <a:sysClr val="windowText" lastClr="000000"/>
            </a:solidFill>
            <a:effectLst/>
            <a:latin typeface="Arial" pitchFamily="34" charset="0"/>
            <a:cs typeface="Arial" pitchFamily="34" charset="0"/>
          </a:endParaRPr>
        </a:p>
        <a:p>
          <a:pPr eaLnBrk="1" fontAlgn="auto" latinLnBrk="0" hangingPunct="1"/>
          <a:r>
            <a:rPr lang="en-US" sz="1200" b="1" i="0" baseline="0">
              <a:solidFill>
                <a:sysClr val="windowText" lastClr="000000"/>
              </a:solidFill>
              <a:effectLst/>
              <a:latin typeface="Arial" pitchFamily="34" charset="0"/>
              <a:ea typeface="+mn-ea"/>
              <a:cs typeface="Arial" pitchFamily="34" charset="0"/>
            </a:rPr>
            <a:t>2. </a:t>
          </a:r>
          <a:r>
            <a:rPr lang="en-US" sz="1200" i="0" baseline="0">
              <a:solidFill>
                <a:sysClr val="windowText" lastClr="000000"/>
              </a:solidFill>
              <a:effectLst/>
              <a:latin typeface="Arial" pitchFamily="34" charset="0"/>
              <a:ea typeface="+mn-ea"/>
              <a:cs typeface="Arial" pitchFamily="34" charset="0"/>
            </a:rPr>
            <a:t>All required fields must be filled in for savings to be properly displayed.</a:t>
          </a:r>
          <a:endParaRPr lang="en-US" sz="1200" b="1" i="0" baseline="0">
            <a:solidFill>
              <a:sysClr val="windowText" lastClr="000000"/>
            </a:solidFill>
            <a:effectLst/>
            <a:latin typeface="Arial" pitchFamily="34" charset="0"/>
            <a:ea typeface="+mn-ea"/>
            <a:cs typeface="Arial" pitchFamily="34" charset="0"/>
          </a:endParaRPr>
        </a:p>
        <a:p>
          <a:r>
            <a:rPr lang="en-US" sz="1200" b="1" i="0" baseline="0">
              <a:solidFill>
                <a:sysClr val="windowText" lastClr="000000"/>
              </a:solidFill>
              <a:effectLst/>
              <a:latin typeface="Arial" pitchFamily="34" charset="0"/>
              <a:ea typeface="+mn-ea"/>
              <a:cs typeface="Arial" pitchFamily="34" charset="0"/>
            </a:rPr>
            <a:t>3. </a:t>
          </a:r>
          <a:r>
            <a:rPr lang="en-US" sz="1200" b="0" i="0" baseline="0">
              <a:solidFill>
                <a:sysClr val="windowText" lastClr="000000"/>
              </a:solidFill>
              <a:effectLst/>
              <a:latin typeface="Arial" pitchFamily="34" charset="0"/>
              <a:ea typeface="+mn-ea"/>
              <a:cs typeface="Arial" pitchFamily="34" charset="0"/>
            </a:rPr>
            <a:t>For technical support on this tool contact </a:t>
          </a:r>
          <a:r>
            <a:rPr lang="en-US" sz="1200" u="sng">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custom@aesindianarebates.com</a:t>
          </a:r>
          <a:r>
            <a:rPr lang="en-US" sz="1200" u="sng">
              <a:solidFill>
                <a:sysClr val="windowText" lastClr="000000"/>
              </a:solidFill>
              <a:effectLst/>
              <a:latin typeface="Arial" panose="020B0604020202020204" pitchFamily="34" charset="0"/>
              <a:ea typeface="+mn-ea"/>
              <a:cs typeface="Arial" panose="020B0604020202020204" pitchFamily="34" charset="0"/>
            </a:rPr>
            <a:t>.</a:t>
          </a:r>
        </a:p>
        <a:p>
          <a:endParaRPr lang="en-US" sz="1200" i="1" baseline="0">
            <a:solidFill>
              <a:sysClr val="windowText" lastClr="000000"/>
            </a:solidFill>
            <a:effectLst/>
            <a:latin typeface="Arial" pitchFamily="34" charset="0"/>
            <a:ea typeface="+mn-ea"/>
            <a:cs typeface="Arial" pitchFamily="34" charset="0"/>
          </a:endParaRPr>
        </a:p>
        <a:p>
          <a:pPr eaLnBrk="1" fontAlgn="auto" latinLnBrk="0" hangingPunct="1"/>
          <a:r>
            <a:rPr lang="en-US" sz="1200" b="0" i="1" baseline="0">
              <a:solidFill>
                <a:sysClr val="windowText" lastClr="000000"/>
              </a:solidFill>
              <a:effectLst/>
              <a:latin typeface="Arial" pitchFamily="34" charset="0"/>
              <a:ea typeface="+mn-ea"/>
              <a:cs typeface="Arial" pitchFamily="34" charset="0"/>
            </a:rPr>
            <a:t>Please Note: </a:t>
          </a:r>
          <a:r>
            <a:rPr lang="en-US" sz="1200" i="1" baseline="0">
              <a:solidFill>
                <a:sysClr val="windowText" lastClr="000000"/>
              </a:solidFill>
              <a:effectLst/>
              <a:latin typeface="Arial" pitchFamily="34" charset="0"/>
              <a:ea typeface="+mn-ea"/>
              <a:cs typeface="Arial" pitchFamily="34" charset="0"/>
            </a:rPr>
            <a:t>This calculator is used for estimating savings and does not guarantee the estimated incentive. The methodology presented in this calculator is deemed acceptable for the AES Indiana Custom Incentives program. However, the</a:t>
          </a:r>
          <a:r>
            <a:rPr lang="en-US" sz="1200" b="0" i="1" baseline="0">
              <a:solidFill>
                <a:sysClr val="windowText" lastClr="000000"/>
              </a:solidFill>
              <a:effectLst/>
              <a:latin typeface="Arial" pitchFamily="34" charset="0"/>
              <a:ea typeface="+mn-ea"/>
              <a:cs typeface="Arial" pitchFamily="34" charset="0"/>
            </a:rPr>
            <a:t> assumptions used by the applicant to calculate the annual savings will be reviewed by the AES Indiana Custom Incentives program, which is solely responsible for the final determination of the annual energy savings to be used in calculating the incentive amount. The Program also reserves the right to require the applicant to conduct specific measurement and verification activities, including monitoring both before and after the retrofit, and to base the incentive payment on the results of these activities.	</a:t>
          </a:r>
          <a:endParaRPr lang="en-US" sz="1200" i="1">
            <a:solidFill>
              <a:sysClr val="windowText" lastClr="000000"/>
            </a:solidFill>
            <a:effectLst/>
            <a:latin typeface="Arial" pitchFamily="34" charset="0"/>
            <a:cs typeface="Arial" pitchFamily="34" charset="0"/>
          </a:endParaRPr>
        </a:p>
        <a:p>
          <a:endParaRPr lang="en-US" sz="1200" i="1" baseline="0">
            <a:solidFill>
              <a:sysClr val="windowText" lastClr="000000"/>
            </a:solidFill>
            <a:effectLst/>
            <a:latin typeface="Arial" pitchFamily="34" charset="0"/>
            <a:ea typeface="+mn-ea"/>
            <a:cs typeface="Arial" pitchFamily="34" charset="0"/>
          </a:endParaRPr>
        </a:p>
        <a:p>
          <a:pPr eaLnBrk="1" fontAlgn="auto" latinLnBrk="0" hangingPunct="1"/>
          <a:r>
            <a:rPr lang="en-US" sz="1200" i="1" baseline="0">
              <a:solidFill>
                <a:sysClr val="windowText" lastClr="000000"/>
              </a:solidFill>
              <a:effectLst/>
              <a:latin typeface="Arial" pitchFamily="34" charset="0"/>
              <a:ea typeface="+mn-ea"/>
              <a:cs typeface="Arial" pitchFamily="34" charset="0"/>
            </a:rPr>
            <a:t>Incentive amount is calculated based on first year energy savings. The incentives are earned at $0.07 kWh saved. Incentives are limited to a maximum cap of $1,000,000 per project at a service ID and/or building behind a master meter. Total combined custom and prescriptive incentives are capped at $1,000,000 per customer per calendar year. </a:t>
          </a:r>
        </a:p>
      </xdr:txBody>
    </xdr:sp>
    <xdr:clientData/>
  </xdr:twoCellAnchor>
  <xdr:twoCellAnchor editAs="oneCell">
    <xdr:from>
      <xdr:col>13</xdr:col>
      <xdr:colOff>600075</xdr:colOff>
      <xdr:row>20</xdr:row>
      <xdr:rowOff>158637</xdr:rowOff>
    </xdr:from>
    <xdr:to>
      <xdr:col>17</xdr:col>
      <xdr:colOff>356235</xdr:colOff>
      <xdr:row>21</xdr:row>
      <xdr:rowOff>361950</xdr:rowOff>
    </xdr:to>
    <xdr:pic>
      <xdr:nvPicPr>
        <xdr:cNvPr id="5" name="Picture 4">
          <a:extLst>
            <a:ext uri="{FF2B5EF4-FFF2-40B4-BE49-F238E27FC236}">
              <a16:creationId xmlns:a16="http://schemas.microsoft.com/office/drawing/2014/main" id="{E3D33F12-65FA-49A1-BFE4-80ED0240E8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5300" y="4159137"/>
          <a:ext cx="2194560" cy="403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xdr:colOff>
      <xdr:row>6</xdr:row>
      <xdr:rowOff>121920</xdr:rowOff>
    </xdr:from>
    <xdr:ext cx="4693920" cy="432683"/>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45720" y="1478280"/>
              <a:ext cx="469392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𝑘𝑊h</m:t>
                        </m:r>
                      </m:e>
                      <m:sub>
                        <m:r>
                          <a:rPr lang="en-US" sz="1100" b="0" i="1">
                            <a:latin typeface="Cambria Math"/>
                          </a:rPr>
                          <m:t>𝐴𝑛𝑛𝑢𝑎𝑙</m:t>
                        </m:r>
                        <m:r>
                          <a:rPr lang="en-US" sz="1100" b="0" i="1">
                            <a:latin typeface="Cambria Math"/>
                          </a:rPr>
                          <m:t> </m:t>
                        </m:r>
                        <m:r>
                          <a:rPr lang="en-US" sz="1100" b="0" i="1">
                            <a:latin typeface="Cambria Math"/>
                          </a:rPr>
                          <m:t>𝑆𝑎𝑣𝑖𝑛𝑔𝑠</m:t>
                        </m:r>
                      </m:sub>
                    </m:sSub>
                    <m:r>
                      <a:rPr lang="en-US" sz="1100" b="0" i="1">
                        <a:latin typeface="Cambria Math"/>
                      </a:rPr>
                      <m:t>=</m:t>
                    </m:r>
                    <m:f>
                      <m:fPr>
                        <m:ctrlPr>
                          <a:rPr lang="en-US" sz="1100" b="0" i="1">
                            <a:latin typeface="Cambria Math" panose="02040503050406030204" pitchFamily="18" charset="0"/>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𝐿𝑃𝐷</m:t>
                            </m:r>
                          </m:e>
                          <m:sub>
                            <m:r>
                              <a:rPr lang="en-US" sz="1100" b="0" i="1">
                                <a:solidFill>
                                  <a:schemeClr val="tx1"/>
                                </a:solidFill>
                                <a:effectLst/>
                                <a:latin typeface="Cambria Math"/>
                                <a:ea typeface="+mn-ea"/>
                                <a:cs typeface="+mn-cs"/>
                              </a:rPr>
                              <m:t>𝐵𝑎𝑠𝑒</m:t>
                            </m:r>
                          </m:sub>
                        </m:sSub>
                        <m:r>
                          <a:rPr lang="en-US" sz="1100" b="0" i="1">
                            <a:solidFill>
                              <a:schemeClr val="tx1"/>
                            </a:solidFill>
                            <a:effectLst/>
                            <a:latin typeface="Cambria Math"/>
                            <a:ea typeface="Cambria Math"/>
                            <a:cs typeface="+mn-cs"/>
                          </a:rPr>
                          <m:t>×</m:t>
                        </m:r>
                        <m:r>
                          <a:rPr lang="en-US" sz="1100" b="0" i="1">
                            <a:solidFill>
                              <a:schemeClr val="tx1"/>
                            </a:solidFill>
                            <a:effectLst/>
                            <a:latin typeface="Cambria Math"/>
                            <a:ea typeface="Cambria Math"/>
                            <a:cs typeface="+mn-cs"/>
                          </a:rPr>
                          <m:t>𝐴𝑟𝑒𝑎</m:t>
                        </m:r>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𝑊𝑎𝑡𝑡𝑠</m:t>
                            </m:r>
                          </m:e>
                          <m:sub>
                            <m:r>
                              <a:rPr lang="en-US" sz="1100" b="0" i="1">
                                <a:solidFill>
                                  <a:schemeClr val="tx1"/>
                                </a:solidFill>
                                <a:effectLst/>
                                <a:latin typeface="Cambria Math"/>
                                <a:ea typeface="+mn-ea"/>
                                <a:cs typeface="+mn-cs"/>
                              </a:rPr>
                              <m:t>𝐸𝐸</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Cambria Math"/>
                            <a:cs typeface="+mn-cs"/>
                          </a:rPr>
                          <m:t>×</m:t>
                        </m:r>
                        <m:r>
                          <a:rPr lang="en-US" sz="1100" b="0" i="1">
                            <a:solidFill>
                              <a:schemeClr val="tx1"/>
                            </a:solidFill>
                            <a:effectLst/>
                            <a:latin typeface="Cambria Math"/>
                            <a:ea typeface="+mn-ea"/>
                            <a:cs typeface="+mn-cs"/>
                          </a:rPr>
                          <m:t>𝐻𝑜𝑢𝑟𝑠</m:t>
                        </m:r>
                        <m:r>
                          <a:rPr lang="en-US" sz="1100" b="0" i="1">
                            <a:solidFill>
                              <a:schemeClr val="tx1"/>
                            </a:solidFill>
                            <a:effectLst/>
                            <a:latin typeface="Cambria Math"/>
                            <a:ea typeface="+mn-ea"/>
                            <a:cs typeface="+mn-cs"/>
                          </a:rPr>
                          <m:t>×(1+</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𝑊𝐻𝐹</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m:t>
                        </m:r>
                        <m:r>
                          <m:rPr>
                            <m:nor/>
                          </m:rPr>
                          <a:rPr lang="en-US">
                            <a:effectLst/>
                          </a:rPr>
                          <m:t> </m:t>
                        </m:r>
                      </m:num>
                      <m:den>
                        <m:r>
                          <a:rPr lang="en-US" sz="1100" b="0" i="1">
                            <a:latin typeface="Cambria Math"/>
                          </a:rPr>
                          <m:t>1,000</m:t>
                        </m:r>
                      </m:den>
                    </m:f>
                  </m:oMath>
                </m:oMathPara>
              </a14:m>
              <a:endParaRPr lang="en-US" sz="1100"/>
            </a:p>
          </xdr:txBody>
        </xdr:sp>
      </mc:Choice>
      <mc:Fallback xmlns="">
        <xdr:sp macro="" textlink="">
          <xdr:nvSpPr>
            <xdr:cNvPr id="11" name="TextBox 10"/>
            <xdr:cNvSpPr txBox="1"/>
          </xdr:nvSpPr>
          <xdr:spPr>
            <a:xfrm>
              <a:off x="45720" y="1478280"/>
              <a:ext cx="469392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〖𝑘𝑊ℎ〗_(𝐴𝑛𝑛𝑢𝑎𝑙 𝑆𝑎𝑣𝑖𝑛𝑔𝑠)=(</a:t>
              </a:r>
              <a:r>
                <a:rPr lang="en-US" sz="1100" b="0" i="0">
                  <a:solidFill>
                    <a:schemeClr val="tx1"/>
                  </a:solidFill>
                  <a:effectLst/>
                  <a:latin typeface="Cambria Math"/>
                  <a:ea typeface="+mn-ea"/>
                  <a:cs typeface="+mn-cs"/>
                </a:rPr>
                <a:t>〖(𝐿𝑃𝐷〗_𝐵𝑎𝑠𝑒</a:t>
              </a:r>
              <a:r>
                <a:rPr lang="en-US" sz="1100" b="0" i="0">
                  <a:solidFill>
                    <a:schemeClr val="tx1"/>
                  </a:solidFill>
                  <a:effectLst/>
                  <a:latin typeface="Cambria Math"/>
                  <a:ea typeface="Cambria Math"/>
                  <a:cs typeface="+mn-cs"/>
                </a:rPr>
                <a:t>×𝐴𝑟𝑒𝑎</a:t>
              </a:r>
              <a:r>
                <a:rPr lang="en-US" sz="1100" b="0" i="0">
                  <a:solidFill>
                    <a:schemeClr val="tx1"/>
                  </a:solidFill>
                  <a:effectLst/>
                  <a:latin typeface="Cambria Math"/>
                  <a:ea typeface="+mn-ea"/>
                  <a:cs typeface="+mn-cs"/>
                </a:rPr>
                <a:t>−〖𝑊𝑎𝑡𝑡𝑠〗_𝐸𝐸)</a:t>
              </a:r>
              <a:r>
                <a:rPr lang="en-US" sz="1100" b="0" i="0">
                  <a:solidFill>
                    <a:schemeClr val="tx1"/>
                  </a:solidFill>
                  <a:effectLst/>
                  <a:latin typeface="Cambria Math"/>
                  <a:ea typeface="Cambria Math"/>
                  <a:cs typeface="+mn-cs"/>
                </a:rPr>
                <a:t>×</a:t>
              </a:r>
              <a:r>
                <a:rPr lang="en-US" sz="1100" b="0" i="0">
                  <a:solidFill>
                    <a:schemeClr val="tx1"/>
                  </a:solidFill>
                  <a:effectLst/>
                  <a:latin typeface="Cambria Math"/>
                  <a:ea typeface="+mn-ea"/>
                  <a:cs typeface="+mn-cs"/>
                </a:rPr>
                <a:t>𝐻𝑜𝑢𝑟𝑠×(1+〖𝑊𝐻𝐹〗_𝐸)"</a:t>
              </a:r>
              <a:r>
                <a:rPr lang="en-US" i="0">
                  <a:effectLst/>
                </a:rPr>
                <a:t> </a:t>
              </a:r>
              <a:r>
                <a:rPr lang="en-US" i="0">
                  <a:effectLst/>
                  <a:latin typeface="Cambria Math"/>
                </a:rPr>
                <a:t>" </a:t>
              </a:r>
              <a:r>
                <a:rPr lang="en-US" sz="1100" b="0" i="0">
                  <a:effectLst/>
                  <a:latin typeface="Cambria Math"/>
                </a:rPr>
                <a:t>)/</a:t>
              </a:r>
              <a:r>
                <a:rPr lang="en-US" sz="1100" b="0" i="0">
                  <a:latin typeface="Cambria Math"/>
                </a:rPr>
                <a:t>1,000</a:t>
              </a:r>
              <a:endParaRPr lang="en-US" sz="1100"/>
            </a:p>
          </xdr:txBody>
        </xdr:sp>
      </mc:Fallback>
    </mc:AlternateContent>
    <xdr:clientData/>
  </xdr:oneCellAnchor>
  <xdr:oneCellAnchor>
    <xdr:from>
      <xdr:col>0</xdr:col>
      <xdr:colOff>53340</xdr:colOff>
      <xdr:row>9</xdr:row>
      <xdr:rowOff>144780</xdr:rowOff>
    </xdr:from>
    <xdr:ext cx="6096000" cy="442750"/>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3340" y="2049780"/>
              <a:ext cx="6096000" cy="44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𝑘𝑊</m:t>
                        </m:r>
                      </m:e>
                      <m:sub>
                        <m:r>
                          <a:rPr lang="en-US" sz="1100" b="0" i="1">
                            <a:latin typeface="Cambria Math"/>
                          </a:rPr>
                          <m:t>𝑆𝑢𝑚𝑚𝑒𝑟</m:t>
                        </m:r>
                        <m:r>
                          <a:rPr lang="en-US" sz="1100" b="0" i="1">
                            <a:latin typeface="Cambria Math"/>
                          </a:rPr>
                          <m:t> </m:t>
                        </m:r>
                        <m:r>
                          <a:rPr lang="en-US" sz="1100" b="0" i="1">
                            <a:latin typeface="Cambria Math"/>
                          </a:rPr>
                          <m:t>𝑃𝑒𝑎𝑘</m:t>
                        </m:r>
                        <m:r>
                          <a:rPr lang="en-US" sz="1100" b="0" i="1">
                            <a:latin typeface="Cambria Math"/>
                          </a:rPr>
                          <m:t> </m:t>
                        </m:r>
                        <m:r>
                          <a:rPr lang="en-US" sz="1100" b="0" i="1">
                            <a:latin typeface="Cambria Math"/>
                          </a:rPr>
                          <m:t>𝑆𝑎𝑣𝑖𝑛𝑔𝑠</m:t>
                        </m:r>
                      </m:sub>
                    </m:sSub>
                    <m:r>
                      <a:rPr lang="en-US" sz="1100" b="0" i="1">
                        <a:latin typeface="Cambria Math"/>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𝐿𝑃𝐷</m:t>
                            </m:r>
                          </m:e>
                          <m:sub>
                            <m:r>
                              <a:rPr lang="en-US" sz="1100" b="0" i="1">
                                <a:solidFill>
                                  <a:schemeClr val="tx1"/>
                                </a:solidFill>
                                <a:effectLst/>
                                <a:latin typeface="Cambria Math"/>
                                <a:ea typeface="+mn-ea"/>
                                <a:cs typeface="+mn-cs"/>
                              </a:rPr>
                              <m:t>𝐵𝑎𝑠𝑒</m:t>
                            </m:r>
                          </m:sub>
                        </m:sSub>
                        <m:r>
                          <a:rPr lang="en-US" sz="1100" b="0" i="1">
                            <a:solidFill>
                              <a:schemeClr val="tx1"/>
                            </a:solidFill>
                            <a:effectLst/>
                            <a:latin typeface="Cambria Math"/>
                            <a:ea typeface="Cambria Math"/>
                            <a:cs typeface="+mn-cs"/>
                          </a:rPr>
                          <m:t>×</m:t>
                        </m:r>
                        <m:r>
                          <a:rPr lang="en-US" sz="1100" b="0" i="1">
                            <a:solidFill>
                              <a:schemeClr val="tx1"/>
                            </a:solidFill>
                            <a:effectLst/>
                            <a:latin typeface="Cambria Math"/>
                            <a:ea typeface="Cambria Math"/>
                            <a:cs typeface="+mn-cs"/>
                          </a:rPr>
                          <m:t>𝐴𝑟𝑒𝑎</m:t>
                        </m:r>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𝑊𝑎𝑡𝑡𝑠</m:t>
                            </m:r>
                          </m:e>
                          <m:sub>
                            <m:r>
                              <a:rPr lang="en-US" sz="1100" b="0" i="1">
                                <a:solidFill>
                                  <a:schemeClr val="tx1"/>
                                </a:solidFill>
                                <a:effectLst/>
                                <a:latin typeface="Cambria Math"/>
                                <a:ea typeface="+mn-ea"/>
                                <a:cs typeface="+mn-cs"/>
                              </a:rPr>
                              <m:t>𝐸𝐸</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𝐶𝐹</m:t>
                        </m:r>
                        <m:r>
                          <a:rPr lang="en-US" sz="1100" b="0" i="1">
                            <a:solidFill>
                              <a:schemeClr val="tx1"/>
                            </a:solidFill>
                            <a:effectLst/>
                            <a:latin typeface="Cambria Math"/>
                            <a:ea typeface="+mn-ea"/>
                            <a:cs typeface="+mn-cs"/>
                          </a:rPr>
                          <m:t>×(1+</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𝑊𝐻𝐹</m:t>
                            </m:r>
                          </m:e>
                          <m:sub>
                            <m:r>
                              <a:rPr lang="en-US" sz="1100" b="0" i="1">
                                <a:solidFill>
                                  <a:schemeClr val="tx1"/>
                                </a:solidFill>
                                <a:effectLst/>
                                <a:latin typeface="Cambria Math"/>
                                <a:ea typeface="+mn-ea"/>
                                <a:cs typeface="+mn-cs"/>
                              </a:rPr>
                              <m:t>𝐷</m:t>
                            </m:r>
                          </m:sub>
                        </m:sSub>
                        <m:r>
                          <a:rPr lang="en-US" sz="1100" b="0" i="1">
                            <a:solidFill>
                              <a:schemeClr val="tx1"/>
                            </a:solidFill>
                            <a:effectLst/>
                            <a:latin typeface="Cambria Math"/>
                            <a:ea typeface="+mn-ea"/>
                            <a:cs typeface="+mn-cs"/>
                          </a:rPr>
                          <m:t>)</m:t>
                        </m:r>
                        <m:r>
                          <m:rPr>
                            <m:nor/>
                          </m:rPr>
                          <a:rPr lang="en-US" sz="1100" i="1">
                            <a:solidFill>
                              <a:schemeClr val="tx1"/>
                            </a:solidFill>
                            <a:effectLst/>
                            <a:latin typeface="+mn-lt"/>
                            <a:ea typeface="+mn-ea"/>
                            <a:cs typeface="+mn-cs"/>
                          </a:rPr>
                          <m:t> </m:t>
                        </m:r>
                      </m:num>
                      <m:den>
                        <m:r>
                          <a:rPr lang="en-US" sz="1100" b="0" i="1">
                            <a:solidFill>
                              <a:schemeClr val="tx1"/>
                            </a:solidFill>
                            <a:effectLst/>
                            <a:latin typeface="Cambria Math"/>
                            <a:ea typeface="+mn-ea"/>
                            <a:cs typeface="+mn-cs"/>
                          </a:rPr>
                          <m:t>1,000</m:t>
                        </m:r>
                      </m:den>
                    </m:f>
                  </m:oMath>
                </m:oMathPara>
              </a14:m>
              <a:endParaRPr lang="en-US" sz="1100"/>
            </a:p>
          </xdr:txBody>
        </xdr:sp>
      </mc:Choice>
      <mc:Fallback xmlns="">
        <xdr:sp macro="" textlink="">
          <xdr:nvSpPr>
            <xdr:cNvPr id="12" name="TextBox 11"/>
            <xdr:cNvSpPr txBox="1"/>
          </xdr:nvSpPr>
          <xdr:spPr>
            <a:xfrm>
              <a:off x="53340" y="2049780"/>
              <a:ext cx="6096000" cy="442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a:rPr>
                <a:t>〖</a:t>
              </a:r>
              <a:r>
                <a:rPr lang="en-US" sz="1100" b="0" i="0">
                  <a:latin typeface="Cambria Math"/>
                </a:rPr>
                <a:t>𝑘𝑊〗_(𝑆𝑢𝑚𝑚𝑒𝑟 𝑃𝑒𝑎𝑘 𝑆𝑎𝑣𝑖𝑛𝑔𝑠)=</a:t>
              </a:r>
              <a:r>
                <a:rPr lang="en-US" sz="1100" b="0" i="0">
                  <a:solidFill>
                    <a:schemeClr val="tx1"/>
                  </a:solidFill>
                  <a:effectLst/>
                  <a:latin typeface="Cambria Math"/>
                  <a:ea typeface="+mn-ea"/>
                  <a:cs typeface="+mn-cs"/>
                </a:rPr>
                <a:t>((〖𝐿𝑃𝐷〗_𝐵𝑎𝑠𝑒</a:t>
              </a:r>
              <a:r>
                <a:rPr lang="en-US" sz="1100" b="0" i="0">
                  <a:solidFill>
                    <a:schemeClr val="tx1"/>
                  </a:solidFill>
                  <a:effectLst/>
                  <a:latin typeface="Cambria Math"/>
                  <a:ea typeface="Cambria Math"/>
                  <a:cs typeface="+mn-cs"/>
                </a:rPr>
                <a:t>×𝐴𝑟𝑒𝑎</a:t>
              </a:r>
              <a:r>
                <a:rPr lang="en-US" sz="1100" b="0" i="0">
                  <a:solidFill>
                    <a:schemeClr val="tx1"/>
                  </a:solidFill>
                  <a:effectLst/>
                  <a:latin typeface="Cambria Math"/>
                  <a:ea typeface="+mn-ea"/>
                  <a:cs typeface="+mn-cs"/>
                </a:rPr>
                <a:t>−〖𝑊𝑎𝑡𝑡𝑠〗_𝐸𝐸)×𝐶𝐹×(1+〖𝑊𝐻𝐹〗_𝐷)</a:t>
              </a:r>
              <a:r>
                <a:rPr lang="en-US" sz="1100" b="0" i="0">
                  <a:solidFill>
                    <a:schemeClr val="tx1"/>
                  </a:solidFill>
                  <a:effectLst/>
                  <a:latin typeface="+mn-lt"/>
                  <a:ea typeface="+mn-ea"/>
                  <a:cs typeface="+mn-cs"/>
                </a:rPr>
                <a:t>"</a:t>
              </a:r>
              <a:r>
                <a:rPr lang="en-US" sz="1100" i="0">
                  <a:solidFill>
                    <a:schemeClr val="tx1"/>
                  </a:solidFill>
                  <a:effectLst/>
                  <a:latin typeface="+mn-lt"/>
                  <a:ea typeface="+mn-ea"/>
                  <a:cs typeface="+mn-cs"/>
                </a:rPr>
                <a:t> </a:t>
              </a:r>
              <a:r>
                <a:rPr lang="en-US" sz="1100" i="0">
                  <a:solidFill>
                    <a:schemeClr val="tx1"/>
                  </a:solidFill>
                  <a:effectLst/>
                  <a:latin typeface="Cambria Math"/>
                  <a:ea typeface="+mn-ea"/>
                  <a:cs typeface="+mn-cs"/>
                </a:rPr>
                <a:t>" </a:t>
              </a:r>
              <a:r>
                <a:rPr lang="en-US" sz="1100" b="0" i="0">
                  <a:solidFill>
                    <a:schemeClr val="tx1"/>
                  </a:solidFill>
                  <a:effectLst/>
                  <a:latin typeface="Cambria Math"/>
                  <a:ea typeface="+mn-ea"/>
                  <a:cs typeface="+mn-cs"/>
                </a:rPr>
                <a:t>)/1,000</a:t>
              </a:r>
              <a:endParaRPr lang="en-US" sz="1100"/>
            </a:p>
          </xdr:txBody>
        </xdr:sp>
      </mc:Fallback>
    </mc:AlternateContent>
    <xdr:clientData/>
  </xdr:oneCellAnchor>
  <xdr:oneCellAnchor>
    <xdr:from>
      <xdr:col>8</xdr:col>
      <xdr:colOff>499110</xdr:colOff>
      <xdr:row>6</xdr:row>
      <xdr:rowOff>112395</xdr:rowOff>
    </xdr:from>
    <xdr:ext cx="4792980" cy="432683"/>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4880610" y="1645920"/>
              <a:ext cx="479298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𝑘𝑊h</m:t>
                        </m:r>
                      </m:e>
                      <m:sub>
                        <m:r>
                          <a:rPr lang="en-US" sz="1100" b="0" i="1">
                            <a:latin typeface="Cambria Math"/>
                          </a:rPr>
                          <m:t>𝐴𝑛𝑛𝑢𝑎𝑙</m:t>
                        </m:r>
                        <m:r>
                          <a:rPr lang="en-US" sz="1100" b="0" i="1">
                            <a:latin typeface="Cambria Math"/>
                          </a:rPr>
                          <m:t> </m:t>
                        </m:r>
                        <m:r>
                          <a:rPr lang="en-US" sz="1100" b="0" i="1">
                            <a:latin typeface="Cambria Math"/>
                          </a:rPr>
                          <m:t>𝑆𝑎𝑣𝑖𝑛𝑔𝑠</m:t>
                        </m:r>
                        <m:r>
                          <a:rPr lang="en-US" sz="1100" b="0" i="1">
                            <a:latin typeface="Cambria Math"/>
                          </a:rPr>
                          <m:t>, </m:t>
                        </m:r>
                        <m:r>
                          <a:rPr lang="en-US" sz="1100" b="0" i="1">
                            <a:latin typeface="Cambria Math"/>
                          </a:rPr>
                          <m:t>𝐶𝑜𝑛𝑡𝑟𝑜𝑙𝑠</m:t>
                        </m:r>
                      </m:sub>
                    </m:sSub>
                    <m:r>
                      <a:rPr lang="en-US" sz="1100" b="0" i="1">
                        <a:latin typeface="Cambria Math"/>
                      </a:rPr>
                      <m:t>=</m:t>
                    </m:r>
                    <m:f>
                      <m:fPr>
                        <m:ctrlPr>
                          <a:rPr lang="en-US" sz="1100" b="0" i="1">
                            <a:latin typeface="Cambria Math" panose="02040503050406030204" pitchFamily="18" charset="0"/>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𝑊𝑎𝑡𝑡𝑠</m:t>
                            </m:r>
                          </m:e>
                          <m:sub>
                            <m:r>
                              <a:rPr lang="en-US" sz="1100" b="0" i="1">
                                <a:solidFill>
                                  <a:schemeClr val="tx1"/>
                                </a:solidFill>
                                <a:effectLst/>
                                <a:latin typeface="Cambria Math"/>
                                <a:ea typeface="+mn-ea"/>
                                <a:cs typeface="+mn-cs"/>
                              </a:rPr>
                              <m:t>𝐶𝑜𝑛𝑡𝑟𝑜𝑙𝑙𝑒𝑑</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𝐻𝑜𝑢𝑟𝑠</m:t>
                        </m:r>
                        <m:r>
                          <a:rPr lang="en-US" sz="1100" b="0" i="1">
                            <a:solidFill>
                              <a:schemeClr val="tx1"/>
                            </a:solidFill>
                            <a:effectLst/>
                            <a:latin typeface="Cambria Math"/>
                            <a:ea typeface="+mn-ea"/>
                            <a:cs typeface="+mn-cs"/>
                          </a:rPr>
                          <m:t>×(1+</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𝑊𝐻𝐹</m:t>
                            </m:r>
                          </m:e>
                          <m:sub>
                            <m:r>
                              <a:rPr lang="en-US" sz="1100" b="0" i="1">
                                <a:solidFill>
                                  <a:schemeClr val="tx1"/>
                                </a:solidFill>
                                <a:effectLst/>
                                <a:latin typeface="Cambria Math"/>
                                <a:ea typeface="+mn-ea"/>
                                <a:cs typeface="+mn-cs"/>
                              </a:rPr>
                              <m:t>𝐸</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𝐸𝑆𝐹</m:t>
                        </m:r>
                      </m:num>
                      <m:den>
                        <m:r>
                          <a:rPr lang="en-US" sz="1100" b="0" i="1">
                            <a:latin typeface="Cambria Math"/>
                          </a:rPr>
                          <m:t>1,000</m:t>
                        </m:r>
                      </m:den>
                    </m:f>
                  </m:oMath>
                </m:oMathPara>
              </a14:m>
              <a:endParaRPr lang="en-US" sz="1100"/>
            </a:p>
          </xdr:txBody>
        </xdr:sp>
      </mc:Choice>
      <mc:Fallback xmlns="">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4880610" y="1645920"/>
              <a:ext cx="479298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panose="02040503050406030204" pitchFamily="18" charset="0"/>
                </a:rPr>
                <a:t>〖</a:t>
              </a:r>
              <a:r>
                <a:rPr lang="en-US" sz="1100" b="0" i="0">
                  <a:latin typeface="Cambria Math"/>
                </a:rPr>
                <a:t>𝑘𝑊ℎ</a:t>
              </a:r>
              <a:r>
                <a:rPr lang="en-US" sz="1100" b="0" i="0">
                  <a:latin typeface="Cambria Math" panose="02040503050406030204" pitchFamily="18" charset="0"/>
                </a:rPr>
                <a:t>〗_(</a:t>
              </a:r>
              <a:r>
                <a:rPr lang="en-US" sz="1100" b="0" i="0">
                  <a:latin typeface="Cambria Math"/>
                </a:rPr>
                <a:t>𝐴𝑛𝑛𝑢𝑎𝑙 𝑆𝑎𝑣𝑖𝑛𝑔𝑠, 𝐶𝑜𝑛𝑡𝑟𝑜𝑙𝑠</a:t>
              </a:r>
              <a:r>
                <a:rPr lang="en-US" sz="1100" b="0" i="0">
                  <a:latin typeface="Cambria Math" panose="02040503050406030204" pitchFamily="18" charset="0"/>
                </a:rPr>
                <a:t>)</a:t>
              </a:r>
              <a:r>
                <a:rPr lang="en-US" sz="1100" b="0" i="0">
                  <a:latin typeface="Cambria Math"/>
                </a:rPr>
                <a:t>=</a:t>
              </a:r>
              <a:r>
                <a:rPr lang="en-US" sz="1100" b="0" i="0">
                  <a:latin typeface="Cambria Math" panose="02040503050406030204" pitchFamily="18" charset="0"/>
                </a:rPr>
                <a:t>(</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𝑊𝑎𝑡𝑡𝑠</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𝐶𝑜𝑛𝑡𝑟𝑜𝑙𝑙𝑒𝑑×𝐻𝑜𝑢𝑟𝑠×(1+</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𝑊𝐻𝐹</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𝐸)×𝐸𝑆𝐹</a:t>
              </a:r>
              <a:r>
                <a:rPr lang="en-US" sz="1100" b="0" i="0">
                  <a:solidFill>
                    <a:schemeClr val="tx1"/>
                  </a:solidFill>
                  <a:effectLst/>
                  <a:latin typeface="Cambria Math" panose="02040503050406030204" pitchFamily="18" charset="0"/>
                  <a:ea typeface="+mn-ea"/>
                  <a:cs typeface="+mn-cs"/>
                </a:rPr>
                <a:t>)/</a:t>
              </a:r>
              <a:r>
                <a:rPr lang="en-US" sz="1100" b="0" i="0">
                  <a:latin typeface="Cambria Math"/>
                </a:rPr>
                <a:t>1,000</a:t>
              </a:r>
              <a:endParaRPr lang="en-US" sz="1100"/>
            </a:p>
          </xdr:txBody>
        </xdr:sp>
      </mc:Fallback>
    </mc:AlternateContent>
    <xdr:clientData/>
  </xdr:oneCellAnchor>
  <xdr:oneCellAnchor>
    <xdr:from>
      <xdr:col>8</xdr:col>
      <xdr:colOff>499110</xdr:colOff>
      <xdr:row>9</xdr:row>
      <xdr:rowOff>154305</xdr:rowOff>
    </xdr:from>
    <xdr:ext cx="5471160" cy="432683"/>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4880610" y="2259330"/>
              <a:ext cx="547116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𝑘𝑊</m:t>
                        </m:r>
                      </m:e>
                      <m:sub>
                        <m:r>
                          <a:rPr lang="en-US" sz="1100" b="0" i="1">
                            <a:latin typeface="Cambria Math"/>
                          </a:rPr>
                          <m:t>𝑆𝑢𝑚𝑚𝑒𝑟</m:t>
                        </m:r>
                        <m:r>
                          <a:rPr lang="en-US" sz="1100" b="0" i="1">
                            <a:latin typeface="Cambria Math"/>
                          </a:rPr>
                          <m:t> </m:t>
                        </m:r>
                        <m:r>
                          <a:rPr lang="en-US" sz="1100" b="0" i="1">
                            <a:latin typeface="Cambria Math"/>
                          </a:rPr>
                          <m:t>𝑃𝑒𝑎𝑘</m:t>
                        </m:r>
                        <m:r>
                          <a:rPr lang="en-US" sz="1100" b="0" i="1">
                            <a:latin typeface="Cambria Math"/>
                          </a:rPr>
                          <m:t> </m:t>
                        </m:r>
                        <m:r>
                          <a:rPr lang="en-US" sz="1100" b="0" i="1">
                            <a:latin typeface="Cambria Math"/>
                          </a:rPr>
                          <m:t>𝑆𝑎𝑣𝑖𝑛𝑔𝑠</m:t>
                        </m:r>
                        <m:r>
                          <a:rPr lang="en-US" sz="1100" b="0" i="1">
                            <a:latin typeface="Cambria Math"/>
                          </a:rPr>
                          <m:t>, </m:t>
                        </m:r>
                        <m:r>
                          <a:rPr lang="en-US" sz="1100" b="0" i="1">
                            <a:latin typeface="Cambria Math"/>
                          </a:rPr>
                          <m:t>𝐶𝑜𝑛𝑡𝑟𝑜𝑙𝑠</m:t>
                        </m:r>
                      </m:sub>
                    </m:sSub>
                    <m:r>
                      <a:rPr lang="en-US" sz="1100" b="0" i="1">
                        <a:latin typeface="Cambria Math"/>
                      </a:rPr>
                      <m:t>=</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𝑊𝑎𝑡𝑡𝑠</m:t>
                            </m:r>
                          </m:e>
                          <m:sub>
                            <m:r>
                              <a:rPr lang="en-US" sz="1100" b="0" i="1">
                                <a:solidFill>
                                  <a:schemeClr val="tx1"/>
                                </a:solidFill>
                                <a:effectLst/>
                                <a:latin typeface="Cambria Math"/>
                                <a:ea typeface="+mn-ea"/>
                                <a:cs typeface="+mn-cs"/>
                              </a:rPr>
                              <m:t>𝐶𝑜𝑛𝑡𝑟𝑜𝑙𝑙𝑒𝑑</m:t>
                            </m:r>
                          </m:sub>
                        </m:sSub>
                        <m:r>
                          <a:rPr lang="en-US" sz="1100" b="0" i="1">
                            <a:solidFill>
                              <a:schemeClr val="tx1"/>
                            </a:solidFill>
                            <a:effectLst/>
                            <a:latin typeface="Cambria Math"/>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𝐶𝐹</m:t>
                            </m:r>
                          </m:e>
                          <m:sub>
                            <m:r>
                              <a:rPr lang="en-US" sz="1100" b="0" i="1">
                                <a:solidFill>
                                  <a:schemeClr val="tx1"/>
                                </a:solidFill>
                                <a:effectLst/>
                                <a:latin typeface="Cambria Math"/>
                                <a:ea typeface="+mn-ea"/>
                                <a:cs typeface="+mn-cs"/>
                              </a:rPr>
                              <m:t>𝐶𝑜𝑛𝑡𝑟𝑜𝑙𝑙𝑒𝑑</m:t>
                            </m:r>
                          </m:sub>
                        </m:sSub>
                        <m:r>
                          <a:rPr lang="en-US" sz="1100" b="0" i="1">
                            <a:solidFill>
                              <a:schemeClr val="tx1"/>
                            </a:solidFill>
                            <a:effectLst/>
                            <a:latin typeface="Cambria Math"/>
                            <a:ea typeface="+mn-ea"/>
                            <a:cs typeface="+mn-cs"/>
                          </a:rPr>
                          <m:t>×(1+</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𝑊𝐻𝐹</m:t>
                            </m:r>
                          </m:e>
                          <m:sub>
                            <m:r>
                              <a:rPr lang="en-US" sz="1100" b="0" i="1">
                                <a:solidFill>
                                  <a:schemeClr val="tx1"/>
                                </a:solidFill>
                                <a:effectLst/>
                                <a:latin typeface="Cambria Math"/>
                                <a:ea typeface="+mn-ea"/>
                                <a:cs typeface="+mn-cs"/>
                              </a:rPr>
                              <m:t>𝐷</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𝐸𝑆𝐹</m:t>
                        </m:r>
                      </m:num>
                      <m:den>
                        <m:r>
                          <a:rPr lang="en-US" sz="1100" b="0" i="1">
                            <a:solidFill>
                              <a:schemeClr val="tx1"/>
                            </a:solidFill>
                            <a:effectLst/>
                            <a:latin typeface="Cambria Math"/>
                            <a:ea typeface="+mn-ea"/>
                            <a:cs typeface="+mn-cs"/>
                          </a:rPr>
                          <m:t>1,000</m:t>
                        </m:r>
                      </m:den>
                    </m:f>
                  </m:oMath>
                </m:oMathPara>
              </a14:m>
              <a:endParaRPr lang="en-US" sz="1100"/>
            </a:p>
          </xdr:txBody>
        </xdr:sp>
      </mc:Choice>
      <mc:Fallback xmlns="">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4880610" y="2259330"/>
              <a:ext cx="5471160" cy="432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panose="02040503050406030204" pitchFamily="18" charset="0"/>
                </a:rPr>
                <a:t>〖</a:t>
              </a:r>
              <a:r>
                <a:rPr lang="en-US" sz="1100" b="0" i="0">
                  <a:latin typeface="Cambria Math"/>
                </a:rPr>
                <a:t>𝑘𝑊</a:t>
              </a:r>
              <a:r>
                <a:rPr lang="en-US" sz="1100" b="0" i="0">
                  <a:latin typeface="Cambria Math" panose="02040503050406030204" pitchFamily="18" charset="0"/>
                </a:rPr>
                <a:t>〗_(</a:t>
              </a:r>
              <a:r>
                <a:rPr lang="en-US" sz="1100" b="0" i="0">
                  <a:latin typeface="Cambria Math"/>
                </a:rPr>
                <a:t>𝑆𝑢𝑚𝑚𝑒𝑟 𝑃𝑒𝑎𝑘 𝑆𝑎𝑣𝑖𝑛𝑔𝑠, 𝐶𝑜𝑛𝑡𝑟𝑜𝑙𝑠</a:t>
              </a:r>
              <a:r>
                <a:rPr lang="en-US" sz="1100" b="0" i="0">
                  <a:latin typeface="Cambria Math" panose="02040503050406030204" pitchFamily="18" charset="0"/>
                </a:rPr>
                <a:t>)</a:t>
              </a:r>
              <a:r>
                <a:rPr lang="en-US" sz="1100" b="0" i="0">
                  <a:latin typeface="Cambria Math"/>
                </a:rPr>
                <a:t>=</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𝑊𝑎𝑡𝑡𝑠</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𝐶𝑜𝑛𝑡𝑟𝑜𝑙𝑙𝑒𝑑×</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𝐶𝐹</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𝐶𝑜𝑛𝑡𝑟𝑜𝑙𝑙𝑒𝑑×(1+</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𝑊𝐻𝐹</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𝐷)×𝐸𝑆𝐹</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1,000</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1279071</xdr:colOff>
      <xdr:row>82</xdr:row>
      <xdr:rowOff>40821</xdr:rowOff>
    </xdr:from>
    <xdr:to>
      <xdr:col>7</xdr:col>
      <xdr:colOff>44631</xdr:colOff>
      <xdr:row>84</xdr:row>
      <xdr:rowOff>63159</xdr:rowOff>
    </xdr:to>
    <xdr:pic>
      <xdr:nvPicPr>
        <xdr:cNvPr id="3" name="Picture 2">
          <a:extLst>
            <a:ext uri="{FF2B5EF4-FFF2-40B4-BE49-F238E27FC236}">
              <a16:creationId xmlns:a16="http://schemas.microsoft.com/office/drawing/2014/main" id="{28351E69-9000-420B-8F22-69E79D41C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9321" y="11157857"/>
          <a:ext cx="2194560" cy="4033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earesult5.sharepoint.com/Users/ben.reinhart/Documents/IPL%20Calculators/IPL%20Lighting%20and%20Lighting%20Controls%20Retrofit%20Calculator%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ethodology"/>
      <sheetName val="Lighting Calculator"/>
      <sheetName val="LookUp Tables"/>
      <sheetName val="Fixture Wattage Reference"/>
    </sheetNames>
    <sheetDataSet>
      <sheetData sheetId="0" refreshError="1"/>
      <sheetData sheetId="1" refreshError="1"/>
      <sheetData sheetId="2">
        <row r="24">
          <cell r="D24"/>
        </row>
      </sheetData>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I11" totalsRowShown="0" headerRowDxfId="27" dataDxfId="25" headerRowBorderDxfId="26" tableBorderDxfId="24" totalsRowBorderDxfId="23">
  <autoFilter ref="A8:I11" xr:uid="{00000000-0009-0000-0100-000001000000}"/>
  <tableColumns count="9">
    <tableColumn id="1" xr3:uid="{00000000-0010-0000-0000-000001000000}" name="Fixture Code" dataDxfId="22"/>
    <tableColumn id="2" xr3:uid="{00000000-0010-0000-0000-000002000000}" name="Fixture Description" dataDxfId="21"/>
    <tableColumn id="3" xr3:uid="{00000000-0010-0000-0000-000003000000}" name="Fixture Qty." dataDxfId="20"/>
    <tableColumn id="4" xr3:uid="{00000000-0010-0000-0000-000004000000}" name="Fixture Wattage" dataDxfId="19"/>
    <tableColumn id="5" xr3:uid="{00000000-0010-0000-0000-000005000000}" name="Incentive Category" dataDxfId="18"/>
    <tableColumn id="6" xr3:uid="{00000000-0010-0000-0000-000006000000}" name="Interior or Exterior" dataDxfId="17"/>
    <tableColumn id="7" xr3:uid="{00000000-0010-0000-0000-000007000000}" name="Is this fixture part of the interior LPD Calculation?" dataDxfId="16"/>
    <tableColumn id="8" xr3:uid="{00000000-0010-0000-0000-000008000000}" name="Total LPD Watts" dataDxfId="15">
      <calculatedColumnFormula>IF(Table1[[#This Row],[Is this fixture part of the interior LPD Calculation?]]="Yes", Table1[[#This Row],[Fixture Qty.]]*Table1[[#This Row],[Fixture Wattage]], 0)</calculatedColumnFormula>
    </tableColumn>
    <tableColumn id="9" xr3:uid="{00000000-0010-0000-0000-000009000000}" name="Custom LPD Watts" dataDxfId="14">
      <calculatedColumnFormula>IF(Table1[[#This Row],[Incentive Category]]="Custom", Table1[[#This Row],[Total LPD Watts]], 0)</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17:I48" totalsRowShown="0" headerRowDxfId="13" dataDxfId="11" headerRowBorderDxfId="12" tableBorderDxfId="10" totalsRowBorderDxfId="9">
  <autoFilter ref="A17:I48" xr:uid="{00000000-0009-0000-0100-000002000000}"/>
  <tableColumns count="9">
    <tableColumn id="1" xr3:uid="{00000000-0010-0000-0100-000001000000}" name="Fixture Code" dataDxfId="8"/>
    <tableColumn id="2" xr3:uid="{00000000-0010-0000-0100-000002000000}" name="Fixture Description" dataDxfId="7"/>
    <tableColumn id="3" xr3:uid="{00000000-0010-0000-0100-000003000000}" name="Fixture Qty." dataDxfId="6"/>
    <tableColumn id="4" xr3:uid="{00000000-0010-0000-0100-000004000000}" name="Fixture Wattage" dataDxfId="5"/>
    <tableColumn id="5" xr3:uid="{00000000-0010-0000-0100-000005000000}" name="Incentive Category" dataDxfId="4"/>
    <tableColumn id="6" xr3:uid="{00000000-0010-0000-0100-000006000000}" name="Interior or Exterior" dataDxfId="3"/>
    <tableColumn id="7" xr3:uid="{00000000-0010-0000-0100-000007000000}" name="Is this fixture part of the interior LPD Calculation?" dataDxfId="2"/>
    <tableColumn id="8" xr3:uid="{00000000-0010-0000-0100-000008000000}" name="Total LPD Watts" dataDxfId="1">
      <calculatedColumnFormula>IF(Table13[[#This Row],[Is this fixture part of the interior LPD Calculation?]]="Yes", Table13[[#This Row],[Fixture Qty.]]*Table13[[#This Row],[Fixture Wattage]], 0)</calculatedColumnFormula>
    </tableColumn>
    <tableColumn id="9" xr3:uid="{00000000-0010-0000-0100-000009000000}" name="Custom LPD Watts" dataDxfId="0">
      <calculatedColumnFormula>IF(Table13[[#This Row],[Incentive Category]]="Custom", Table13[[#This Row],[Total LPD Watts]], 0)</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workbookViewId="0">
      <selection activeCell="B22" sqref="B22"/>
    </sheetView>
  </sheetViews>
  <sheetFormatPr defaultColWidth="0" defaultRowHeight="15" zeroHeight="1"/>
  <cols>
    <col min="1" max="1" width="3" style="1" customWidth="1"/>
    <col min="2" max="18" width="9.140625" style="1" customWidth="1"/>
    <col min="19" max="19" width="3" style="1" customWidth="1"/>
    <col min="20" max="21" width="0" style="1" hidden="1" customWidth="1"/>
    <col min="22" max="16384" width="9.140625" style="1" hidden="1"/>
  </cols>
  <sheetData>
    <row r="1" spans="1:1" s="8" customFormat="1" ht="15.75">
      <c r="A1" s="2"/>
    </row>
    <row r="2" spans="1:1" s="8" customFormat="1" ht="15.75">
      <c r="A2" s="1"/>
    </row>
    <row r="3" spans="1:1" s="8" customFormat="1" ht="15.75">
      <c r="A3" s="1"/>
    </row>
    <row r="4" spans="1:1" s="8" customFormat="1" ht="15.75">
      <c r="A4" s="1"/>
    </row>
    <row r="5" spans="1:1" s="8" customFormat="1" ht="15.75">
      <c r="A5" s="1"/>
    </row>
    <row r="6" spans="1:1" s="8" customFormat="1" ht="15.75">
      <c r="A6" s="1"/>
    </row>
    <row r="7" spans="1:1" s="8" customFormat="1" ht="15.75">
      <c r="A7" s="1"/>
    </row>
    <row r="8" spans="1:1" s="8" customFormat="1" ht="15.75">
      <c r="A8" s="1"/>
    </row>
    <row r="9" spans="1:1" s="8" customFormat="1" ht="15.75">
      <c r="A9" s="1"/>
    </row>
    <row r="10" spans="1:1" s="8" customFormat="1" ht="15.75">
      <c r="A10" s="1"/>
    </row>
    <row r="11" spans="1:1" s="8" customFormat="1" ht="15.75">
      <c r="A11" s="1"/>
    </row>
    <row r="12" spans="1:1" s="8" customFormat="1" ht="15.75">
      <c r="A12" s="1"/>
    </row>
    <row r="13" spans="1:1" s="8" customFormat="1" ht="15.75">
      <c r="A13" s="1"/>
    </row>
    <row r="14" spans="1:1" s="8" customFormat="1" ht="15.75">
      <c r="A14" s="1"/>
    </row>
    <row r="15" spans="1:1" s="8" customFormat="1" ht="15.75">
      <c r="A15" s="2"/>
    </row>
    <row r="16" spans="1:1" s="8" customFormat="1" ht="15.75">
      <c r="A16" s="1"/>
    </row>
    <row r="17" spans="1:1" s="8" customFormat="1" ht="15.75">
      <c r="A17" s="2"/>
    </row>
    <row r="18" spans="1:1" s="8" customFormat="1" ht="15.75">
      <c r="A18" s="1"/>
    </row>
    <row r="19" spans="1:1" s="8" customFormat="1" ht="15.75">
      <c r="A19" s="1"/>
    </row>
    <row r="20" spans="1:1" s="8" customFormat="1" ht="15.75">
      <c r="A20" s="1"/>
    </row>
    <row r="21" spans="1:1" s="8" customFormat="1" ht="15.75">
      <c r="A21" s="1"/>
    </row>
    <row r="22" spans="1:1" ht="49.5" customHeight="1"/>
  </sheetData>
  <sheetProtection algorithmName="SHA-512" hashValue="H7VOWqL0+dFk/Htf9mDczIo3UT+M5TiypCHaxm96uqdWGf+YlAAPTu7KqrUZ35F7X6OKANOQY+q9xefvwV6ldQ==" saltValue="Ga5Qg4vG2E7xodIy4GZtH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83"/>
  <sheetViews>
    <sheetView showGridLines="0" zoomScaleNormal="100" workbookViewId="0">
      <selection activeCell="O85" sqref="O85"/>
    </sheetView>
  </sheetViews>
  <sheetFormatPr defaultRowHeight="15"/>
  <cols>
    <col min="1" max="1" width="3.140625" style="9" customWidth="1"/>
    <col min="2" max="2" width="9.140625" style="9" customWidth="1"/>
    <col min="3" max="4" width="9.140625" style="9"/>
    <col min="5" max="5" width="9.28515625" style="9" customWidth="1"/>
    <col min="6" max="6" width="9.28515625" style="9" bestFit="1" customWidth="1"/>
    <col min="7" max="7" width="9.140625" style="9"/>
    <col min="8" max="8" width="7.7109375" style="9" customWidth="1"/>
    <col min="9" max="16384" width="9.140625" style="9"/>
  </cols>
  <sheetData>
    <row r="2" spans="2:18">
      <c r="B2" s="9" t="s">
        <v>373</v>
      </c>
    </row>
    <row r="3" spans="2:18" ht="30">
      <c r="B3" s="11" t="s">
        <v>374</v>
      </c>
    </row>
    <row r="5" spans="2:18" ht="30.75" customHeight="1">
      <c r="B5" s="230" t="s">
        <v>120</v>
      </c>
      <c r="C5" s="230"/>
      <c r="D5" s="230"/>
      <c r="E5" s="230"/>
      <c r="F5" s="230"/>
      <c r="G5" s="230"/>
      <c r="H5" s="230"/>
      <c r="I5" s="230"/>
      <c r="J5" s="230"/>
      <c r="K5" s="230"/>
      <c r="L5" s="230"/>
      <c r="M5" s="230"/>
      <c r="N5" s="230"/>
      <c r="O5" s="230"/>
      <c r="P5" s="230"/>
      <c r="Q5" s="230"/>
      <c r="R5" s="230"/>
    </row>
    <row r="14" spans="2:18">
      <c r="B14" s="9" t="s">
        <v>43</v>
      </c>
    </row>
    <row r="15" spans="2:18" ht="30" customHeight="1">
      <c r="B15" s="232" t="s">
        <v>375</v>
      </c>
      <c r="C15" s="232"/>
      <c r="D15" s="232"/>
      <c r="E15" s="232"/>
      <c r="F15" s="232"/>
      <c r="G15" s="232"/>
      <c r="H15" s="232"/>
      <c r="I15" s="232"/>
      <c r="J15" s="232"/>
      <c r="K15" s="232"/>
      <c r="L15" s="232"/>
      <c r="M15" s="232"/>
      <c r="N15" s="232"/>
      <c r="O15" s="232"/>
      <c r="P15" s="232"/>
      <c r="Q15" s="232"/>
      <c r="R15" s="232"/>
    </row>
    <row r="16" spans="2:18">
      <c r="B16" s="232" t="s">
        <v>376</v>
      </c>
      <c r="C16" s="232"/>
      <c r="D16" s="232"/>
      <c r="E16" s="232"/>
      <c r="F16" s="232"/>
      <c r="G16" s="232"/>
      <c r="H16" s="232"/>
      <c r="I16" s="232"/>
      <c r="J16" s="232"/>
      <c r="K16" s="232"/>
      <c r="L16" s="232"/>
      <c r="M16" s="232"/>
      <c r="N16" s="232"/>
      <c r="O16" s="232"/>
      <c r="P16" s="232"/>
      <c r="Q16" s="232"/>
      <c r="R16" s="232"/>
    </row>
    <row r="17" spans="2:18" ht="15" customHeight="1">
      <c r="B17" s="231" t="s">
        <v>377</v>
      </c>
      <c r="C17" s="231"/>
      <c r="D17" s="231"/>
      <c r="E17" s="231"/>
      <c r="F17" s="231"/>
      <c r="G17" s="231"/>
      <c r="H17" s="231"/>
      <c r="I17" s="231"/>
      <c r="J17" s="231"/>
      <c r="K17" s="231"/>
      <c r="L17" s="231"/>
      <c r="M17" s="231"/>
      <c r="N17" s="231"/>
      <c r="O17" s="231"/>
      <c r="P17" s="231"/>
      <c r="Q17" s="231"/>
      <c r="R17" s="231"/>
    </row>
    <row r="18" spans="2:18">
      <c r="B18" s="231" t="s">
        <v>378</v>
      </c>
      <c r="C18" s="231"/>
      <c r="D18" s="231"/>
      <c r="E18" s="231"/>
      <c r="F18" s="231"/>
      <c r="G18" s="231"/>
      <c r="H18" s="231"/>
      <c r="I18" s="231"/>
      <c r="J18" s="231"/>
      <c r="K18" s="231"/>
      <c r="L18" s="231"/>
      <c r="M18" s="231"/>
      <c r="N18" s="231"/>
      <c r="O18" s="231"/>
      <c r="P18" s="231"/>
      <c r="Q18" s="231"/>
      <c r="R18" s="231"/>
    </row>
    <row r="19" spans="2:18" ht="30" customHeight="1">
      <c r="B19" s="231" t="s">
        <v>379</v>
      </c>
      <c r="C19" s="231"/>
      <c r="D19" s="231"/>
      <c r="E19" s="231"/>
      <c r="F19" s="231"/>
      <c r="G19" s="231"/>
      <c r="H19" s="231"/>
      <c r="I19" s="231"/>
      <c r="J19" s="231"/>
      <c r="K19" s="231"/>
      <c r="L19" s="231"/>
      <c r="M19" s="231"/>
      <c r="N19" s="231"/>
      <c r="O19" s="231"/>
      <c r="P19" s="231"/>
      <c r="Q19" s="231"/>
      <c r="R19" s="231"/>
    </row>
    <row r="20" spans="2:18" ht="30" customHeight="1">
      <c r="B20" s="231" t="s">
        <v>380</v>
      </c>
      <c r="C20" s="231"/>
      <c r="D20" s="231"/>
      <c r="E20" s="231"/>
      <c r="F20" s="231"/>
      <c r="G20" s="231"/>
      <c r="H20" s="231"/>
      <c r="I20" s="231"/>
      <c r="J20" s="231"/>
      <c r="K20" s="231"/>
      <c r="L20" s="231"/>
      <c r="M20" s="231"/>
      <c r="N20" s="231"/>
      <c r="O20" s="231"/>
      <c r="P20" s="231"/>
      <c r="Q20" s="231"/>
      <c r="R20" s="231"/>
    </row>
    <row r="21" spans="2:18">
      <c r="B21" s="231" t="s">
        <v>381</v>
      </c>
      <c r="C21" s="231"/>
      <c r="D21" s="231"/>
      <c r="E21" s="231"/>
      <c r="F21" s="231"/>
      <c r="G21" s="231"/>
      <c r="H21" s="231"/>
      <c r="I21" s="231"/>
      <c r="J21" s="231"/>
      <c r="K21" s="231"/>
      <c r="L21" s="231"/>
      <c r="M21" s="231"/>
      <c r="N21" s="231"/>
      <c r="O21" s="231"/>
      <c r="P21" s="231"/>
      <c r="Q21" s="231"/>
      <c r="R21" s="231"/>
    </row>
    <row r="22" spans="2:18" ht="30" customHeight="1">
      <c r="B22" s="231" t="s">
        <v>382</v>
      </c>
      <c r="C22" s="231"/>
      <c r="D22" s="231"/>
      <c r="E22" s="231"/>
      <c r="F22" s="231"/>
      <c r="G22" s="231"/>
      <c r="H22" s="231"/>
      <c r="I22" s="231"/>
      <c r="J22" s="231"/>
      <c r="K22" s="231"/>
      <c r="L22" s="231"/>
      <c r="M22" s="231"/>
      <c r="N22" s="231"/>
      <c r="O22" s="231"/>
      <c r="P22" s="231"/>
      <c r="Q22" s="231"/>
      <c r="R22" s="231"/>
    </row>
    <row r="23" spans="2:18" ht="30" customHeight="1">
      <c r="B23" s="231" t="s">
        <v>383</v>
      </c>
      <c r="C23" s="231"/>
      <c r="D23" s="231"/>
      <c r="E23" s="231"/>
      <c r="F23" s="231"/>
      <c r="G23" s="231"/>
      <c r="H23" s="231"/>
      <c r="I23" s="231"/>
      <c r="J23" s="231"/>
      <c r="K23" s="231"/>
      <c r="L23" s="231"/>
      <c r="M23" s="231"/>
      <c r="N23" s="231"/>
      <c r="O23" s="231"/>
      <c r="P23" s="231"/>
      <c r="Q23" s="231"/>
      <c r="R23" s="231"/>
    </row>
    <row r="24" spans="2:18" ht="45" customHeight="1">
      <c r="B24" s="231" t="s">
        <v>372</v>
      </c>
      <c r="C24" s="231"/>
      <c r="D24" s="231"/>
      <c r="E24" s="231"/>
      <c r="F24" s="231"/>
      <c r="G24" s="231"/>
      <c r="H24" s="231"/>
      <c r="I24" s="231"/>
      <c r="J24" s="231"/>
      <c r="K24" s="231"/>
      <c r="L24" s="231"/>
      <c r="M24" s="231"/>
      <c r="N24" s="231"/>
      <c r="O24" s="231"/>
      <c r="P24" s="231"/>
      <c r="Q24" s="231"/>
      <c r="R24" s="231"/>
    </row>
    <row r="25" spans="2:18" ht="30" customHeight="1">
      <c r="B25" s="231" t="s">
        <v>384</v>
      </c>
      <c r="C25" s="231"/>
      <c r="D25" s="231"/>
      <c r="E25" s="231"/>
      <c r="F25" s="231"/>
      <c r="G25" s="231"/>
      <c r="H25" s="231"/>
      <c r="I25" s="231"/>
      <c r="J25" s="231"/>
      <c r="K25" s="231"/>
      <c r="L25" s="231"/>
      <c r="M25" s="231"/>
      <c r="N25" s="231"/>
      <c r="O25" s="231"/>
      <c r="P25" s="231"/>
      <c r="Q25" s="231"/>
      <c r="R25" s="231"/>
    </row>
    <row r="26" spans="2:18" ht="30" customHeight="1">
      <c r="B26" s="13"/>
      <c r="C26" s="13"/>
      <c r="D26" s="13"/>
      <c r="E26" s="13"/>
      <c r="F26" s="13"/>
      <c r="G26" s="14"/>
      <c r="H26" s="14"/>
      <c r="I26" s="14"/>
      <c r="J26" s="14"/>
      <c r="K26" s="14"/>
      <c r="L26" s="14"/>
      <c r="M26" s="14"/>
      <c r="N26" s="14"/>
      <c r="O26" s="14"/>
      <c r="P26" s="14"/>
      <c r="Q26" s="14"/>
      <c r="R26" s="14"/>
    </row>
    <row r="27" spans="2:18" ht="15.75" customHeight="1">
      <c r="B27" s="229" t="s">
        <v>385</v>
      </c>
      <c r="C27" s="229"/>
      <c r="D27" s="229"/>
      <c r="E27" s="229"/>
      <c r="F27" s="229"/>
      <c r="H27" s="222" t="s">
        <v>406</v>
      </c>
      <c r="I27" s="222"/>
      <c r="J27" s="222"/>
      <c r="K27" s="222"/>
      <c r="L27" s="222"/>
      <c r="M27" s="222"/>
      <c r="N27" s="222"/>
      <c r="O27" s="222"/>
      <c r="P27" s="222"/>
      <c r="Q27" s="222"/>
      <c r="R27" s="222"/>
    </row>
    <row r="28" spans="2:18">
      <c r="B28" s="229"/>
      <c r="C28" s="229"/>
      <c r="D28" s="229"/>
      <c r="E28" s="229"/>
      <c r="F28" s="229"/>
      <c r="H28" s="223" t="s">
        <v>430</v>
      </c>
      <c r="I28" s="223"/>
      <c r="J28" s="223"/>
      <c r="K28" s="223"/>
      <c r="L28" s="223"/>
      <c r="M28" s="223"/>
      <c r="N28" s="223"/>
      <c r="O28" s="223"/>
      <c r="P28" s="223"/>
      <c r="Q28" s="223"/>
      <c r="R28" s="223"/>
    </row>
    <row r="29" spans="2:18" ht="33" customHeight="1">
      <c r="B29" s="15" t="s">
        <v>386</v>
      </c>
      <c r="C29" s="15"/>
      <c r="D29" s="15"/>
      <c r="E29" s="227" t="s">
        <v>387</v>
      </c>
      <c r="F29" s="228"/>
      <c r="H29" s="223"/>
      <c r="I29" s="223"/>
      <c r="J29" s="223"/>
      <c r="K29" s="223"/>
      <c r="L29" s="223"/>
      <c r="M29" s="223"/>
      <c r="N29" s="223"/>
      <c r="O29" s="223"/>
      <c r="P29" s="223"/>
      <c r="Q29" s="223"/>
      <c r="R29" s="223"/>
    </row>
    <row r="30" spans="2:18" ht="15.75">
      <c r="B30" s="183" t="s">
        <v>388</v>
      </c>
      <c r="C30" s="183"/>
      <c r="D30" s="183"/>
      <c r="E30" s="224">
        <v>0.9</v>
      </c>
      <c r="F30" s="225"/>
      <c r="H30" s="179" t="s">
        <v>92</v>
      </c>
      <c r="I30" s="180"/>
      <c r="J30" s="180"/>
      <c r="K30" s="180"/>
      <c r="L30" s="180"/>
      <c r="M30" s="180"/>
      <c r="N30" s="180"/>
      <c r="O30" s="180"/>
      <c r="P30" s="180"/>
      <c r="Q30" s="180"/>
      <c r="R30" s="181"/>
    </row>
    <row r="31" spans="2:18" ht="18">
      <c r="B31" s="183" t="s">
        <v>389</v>
      </c>
      <c r="C31" s="183"/>
      <c r="D31" s="183"/>
      <c r="E31" s="224">
        <v>1.2</v>
      </c>
      <c r="F31" s="225"/>
      <c r="H31" s="173" t="s">
        <v>407</v>
      </c>
      <c r="I31" s="174"/>
      <c r="J31" s="174"/>
      <c r="K31" s="174"/>
      <c r="L31" s="174"/>
      <c r="M31" s="174"/>
      <c r="N31" s="175"/>
      <c r="O31" s="173" t="s">
        <v>408</v>
      </c>
      <c r="P31" s="174"/>
      <c r="Q31" s="174"/>
      <c r="R31" s="175"/>
    </row>
    <row r="32" spans="2:18" ht="15.75">
      <c r="B32" s="183" t="s">
        <v>15</v>
      </c>
      <c r="C32" s="183"/>
      <c r="D32" s="183"/>
      <c r="E32" s="224">
        <v>1.2</v>
      </c>
      <c r="F32" s="225"/>
      <c r="H32" s="179" t="s">
        <v>409</v>
      </c>
      <c r="I32" s="180"/>
      <c r="J32" s="180"/>
      <c r="K32" s="180"/>
      <c r="L32" s="180"/>
      <c r="M32" s="180"/>
      <c r="N32" s="180"/>
      <c r="O32" s="180"/>
      <c r="P32" s="180"/>
      <c r="Q32" s="180"/>
      <c r="R32" s="181"/>
    </row>
    <row r="33" spans="2:18">
      <c r="B33" s="183" t="s">
        <v>390</v>
      </c>
      <c r="C33" s="183"/>
      <c r="D33" s="183"/>
      <c r="E33" s="224">
        <v>1.3</v>
      </c>
      <c r="F33" s="225"/>
      <c r="H33" s="173" t="s">
        <v>410</v>
      </c>
      <c r="I33" s="174"/>
      <c r="J33" s="174"/>
      <c r="K33" s="174"/>
      <c r="L33" s="174"/>
      <c r="M33" s="174"/>
      <c r="N33" s="175"/>
      <c r="O33" s="173" t="s">
        <v>411</v>
      </c>
      <c r="P33" s="174"/>
      <c r="Q33" s="174"/>
      <c r="R33" s="175"/>
    </row>
    <row r="34" spans="2:18">
      <c r="B34" s="183" t="s">
        <v>391</v>
      </c>
      <c r="C34" s="183"/>
      <c r="D34" s="183"/>
      <c r="E34" s="224">
        <v>1.4</v>
      </c>
      <c r="F34" s="225"/>
      <c r="H34" s="173" t="s">
        <v>412</v>
      </c>
      <c r="I34" s="174"/>
      <c r="J34" s="174"/>
      <c r="K34" s="174"/>
      <c r="L34" s="174"/>
      <c r="M34" s="174"/>
      <c r="N34" s="175"/>
      <c r="O34" s="190" t="s">
        <v>413</v>
      </c>
      <c r="P34" s="191"/>
      <c r="Q34" s="191"/>
      <c r="R34" s="192"/>
    </row>
    <row r="35" spans="2:18">
      <c r="B35" s="183" t="s">
        <v>392</v>
      </c>
      <c r="C35" s="183"/>
      <c r="D35" s="183"/>
      <c r="E35" s="224">
        <v>1.6</v>
      </c>
      <c r="F35" s="225"/>
      <c r="H35" s="173" t="s">
        <v>414</v>
      </c>
      <c r="I35" s="174"/>
      <c r="J35" s="174"/>
      <c r="K35" s="174"/>
      <c r="L35" s="174"/>
      <c r="M35" s="174"/>
      <c r="N35" s="175"/>
      <c r="O35" s="193"/>
      <c r="P35" s="194"/>
      <c r="Q35" s="194"/>
      <c r="R35" s="195"/>
    </row>
    <row r="36" spans="2:18">
      <c r="B36" s="183" t="s">
        <v>393</v>
      </c>
      <c r="C36" s="183"/>
      <c r="D36" s="183"/>
      <c r="E36" s="224">
        <v>1</v>
      </c>
      <c r="F36" s="225"/>
      <c r="H36" s="173" t="s">
        <v>415</v>
      </c>
      <c r="I36" s="174"/>
      <c r="J36" s="174"/>
      <c r="K36" s="174"/>
      <c r="L36" s="174"/>
      <c r="M36" s="174"/>
      <c r="N36" s="175"/>
      <c r="O36" s="196"/>
      <c r="P36" s="197"/>
      <c r="Q36" s="197"/>
      <c r="R36" s="198"/>
    </row>
    <row r="37" spans="2:18" ht="18">
      <c r="B37" s="183" t="s">
        <v>394</v>
      </c>
      <c r="C37" s="183"/>
      <c r="D37" s="183"/>
      <c r="E37" s="224">
        <v>1</v>
      </c>
      <c r="F37" s="225"/>
      <c r="H37" s="173" t="s">
        <v>40</v>
      </c>
      <c r="I37" s="174"/>
      <c r="J37" s="174"/>
      <c r="K37" s="174"/>
      <c r="L37" s="174"/>
      <c r="M37" s="174"/>
      <c r="N37" s="175"/>
      <c r="O37" s="199" t="s">
        <v>416</v>
      </c>
      <c r="P37" s="200"/>
      <c r="Q37" s="200"/>
      <c r="R37" s="201"/>
    </row>
    <row r="38" spans="2:18" ht="15.75">
      <c r="B38" s="178" t="s">
        <v>20</v>
      </c>
      <c r="C38" s="178"/>
      <c r="D38" s="178"/>
      <c r="E38" s="224">
        <v>1.1000000000000001</v>
      </c>
      <c r="F38" s="225"/>
      <c r="H38" s="179" t="s">
        <v>417</v>
      </c>
      <c r="I38" s="180"/>
      <c r="J38" s="180"/>
      <c r="K38" s="180"/>
      <c r="L38" s="180"/>
      <c r="M38" s="180"/>
      <c r="N38" s="180"/>
      <c r="O38" s="180"/>
      <c r="P38" s="180"/>
      <c r="Q38" s="180"/>
      <c r="R38" s="181"/>
    </row>
    <row r="39" spans="2:18">
      <c r="B39" s="178" t="s">
        <v>395</v>
      </c>
      <c r="C39" s="178"/>
      <c r="D39" s="178"/>
      <c r="E39" s="224">
        <v>1</v>
      </c>
      <c r="F39" s="225"/>
      <c r="H39" s="173" t="s">
        <v>418</v>
      </c>
      <c r="I39" s="174"/>
      <c r="J39" s="174"/>
      <c r="K39" s="174"/>
      <c r="L39" s="174"/>
      <c r="M39" s="174"/>
      <c r="N39" s="175"/>
      <c r="O39" s="173" t="s">
        <v>419</v>
      </c>
      <c r="P39" s="174"/>
      <c r="Q39" s="174"/>
      <c r="R39" s="175"/>
    </row>
    <row r="40" spans="2:18">
      <c r="B40" s="226" t="s">
        <v>5</v>
      </c>
      <c r="C40" s="226"/>
      <c r="D40" s="226"/>
      <c r="E40" s="224">
        <v>1.2</v>
      </c>
      <c r="F40" s="225"/>
      <c r="H40" s="173" t="s">
        <v>420</v>
      </c>
      <c r="I40" s="174"/>
      <c r="J40" s="174"/>
      <c r="K40" s="174"/>
      <c r="L40" s="174"/>
      <c r="M40" s="174"/>
      <c r="N40" s="175"/>
      <c r="O40" s="173" t="s">
        <v>421</v>
      </c>
      <c r="P40" s="174"/>
      <c r="Q40" s="174"/>
      <c r="R40" s="175"/>
    </row>
    <row r="41" spans="2:18" ht="15.75">
      <c r="B41" s="226" t="s">
        <v>22</v>
      </c>
      <c r="C41" s="226"/>
      <c r="D41" s="226"/>
      <c r="E41" s="224">
        <v>1.3</v>
      </c>
      <c r="F41" s="225"/>
      <c r="H41" s="179" t="s">
        <v>422</v>
      </c>
      <c r="I41" s="180"/>
      <c r="J41" s="180"/>
      <c r="K41" s="180"/>
      <c r="L41" s="180"/>
      <c r="M41" s="180"/>
      <c r="N41" s="180"/>
      <c r="O41" s="180"/>
      <c r="P41" s="180"/>
      <c r="Q41" s="180"/>
      <c r="R41" s="181"/>
    </row>
    <row r="42" spans="2:18" ht="18">
      <c r="B42" s="221" t="s">
        <v>23</v>
      </c>
      <c r="C42" s="221"/>
      <c r="D42" s="221"/>
      <c r="E42" s="224">
        <v>1.3</v>
      </c>
      <c r="F42" s="225"/>
      <c r="H42" s="173" t="s">
        <v>423</v>
      </c>
      <c r="I42" s="174"/>
      <c r="J42" s="174"/>
      <c r="K42" s="174"/>
      <c r="L42" s="174"/>
      <c r="M42" s="174"/>
      <c r="N42" s="175"/>
      <c r="O42" s="173" t="s">
        <v>424</v>
      </c>
      <c r="P42" s="174"/>
      <c r="Q42" s="174"/>
      <c r="R42" s="175"/>
    </row>
    <row r="43" spans="2:18" ht="15.75">
      <c r="B43" s="221" t="s">
        <v>24</v>
      </c>
      <c r="C43" s="221"/>
      <c r="D43" s="221"/>
      <c r="E43" s="224">
        <v>1</v>
      </c>
      <c r="F43" s="225"/>
      <c r="H43" s="179" t="s">
        <v>425</v>
      </c>
      <c r="I43" s="180"/>
      <c r="J43" s="180"/>
      <c r="K43" s="180"/>
      <c r="L43" s="180"/>
      <c r="M43" s="180"/>
      <c r="N43" s="180"/>
      <c r="O43" s="180"/>
      <c r="P43" s="180"/>
      <c r="Q43" s="180"/>
      <c r="R43" s="181"/>
    </row>
    <row r="44" spans="2:18" ht="18">
      <c r="B44" s="221" t="s">
        <v>396</v>
      </c>
      <c r="C44" s="221"/>
      <c r="D44" s="221"/>
      <c r="E44" s="224">
        <v>1.2</v>
      </c>
      <c r="F44" s="225"/>
      <c r="H44" s="173" t="s">
        <v>426</v>
      </c>
      <c r="I44" s="174"/>
      <c r="J44" s="174"/>
      <c r="K44" s="174"/>
      <c r="L44" s="174"/>
      <c r="M44" s="174"/>
      <c r="N44" s="175"/>
      <c r="O44" s="173" t="s">
        <v>428</v>
      </c>
      <c r="P44" s="174"/>
      <c r="Q44" s="174"/>
      <c r="R44" s="175"/>
    </row>
    <row r="45" spans="2:18">
      <c r="B45" s="221" t="s">
        <v>26</v>
      </c>
      <c r="C45" s="221"/>
      <c r="D45" s="221"/>
      <c r="E45" s="224">
        <v>0.7</v>
      </c>
      <c r="F45" s="225"/>
      <c r="H45" s="178" t="s">
        <v>427</v>
      </c>
      <c r="I45" s="178"/>
      <c r="J45" s="178"/>
      <c r="K45" s="178"/>
      <c r="L45" s="178"/>
      <c r="M45" s="178"/>
      <c r="N45" s="178"/>
      <c r="O45" s="190" t="s">
        <v>429</v>
      </c>
      <c r="P45" s="191"/>
      <c r="Q45" s="191"/>
      <c r="R45" s="192"/>
    </row>
    <row r="46" spans="2:18">
      <c r="B46" s="221" t="s">
        <v>27</v>
      </c>
      <c r="C46" s="221"/>
      <c r="D46" s="221"/>
      <c r="E46" s="224">
        <v>1.1000000000000001</v>
      </c>
      <c r="F46" s="225"/>
      <c r="H46" s="178"/>
      <c r="I46" s="178"/>
      <c r="J46" s="178"/>
      <c r="K46" s="178"/>
      <c r="L46" s="178"/>
      <c r="M46" s="178"/>
      <c r="N46" s="178"/>
      <c r="O46" s="196"/>
      <c r="P46" s="197"/>
      <c r="Q46" s="197"/>
      <c r="R46" s="198"/>
    </row>
    <row r="47" spans="2:18">
      <c r="B47" s="221" t="s">
        <v>28</v>
      </c>
      <c r="C47" s="221"/>
      <c r="D47" s="221"/>
      <c r="E47" s="224">
        <v>1</v>
      </c>
      <c r="F47" s="225"/>
      <c r="H47" s="220" t="s">
        <v>431</v>
      </c>
      <c r="I47" s="220"/>
      <c r="J47" s="220"/>
      <c r="K47" s="220"/>
      <c r="L47" s="220"/>
      <c r="M47" s="220"/>
      <c r="N47" s="220"/>
      <c r="O47" s="220"/>
      <c r="P47" s="220"/>
      <c r="Q47" s="220"/>
      <c r="R47" s="220"/>
    </row>
    <row r="48" spans="2:18">
      <c r="B48" s="221" t="s">
        <v>397</v>
      </c>
      <c r="C48" s="221"/>
      <c r="D48" s="221"/>
      <c r="E48" s="224">
        <v>0.3</v>
      </c>
      <c r="F48" s="225"/>
      <c r="H48" s="220"/>
      <c r="I48" s="220"/>
      <c r="J48" s="220"/>
      <c r="K48" s="220"/>
      <c r="L48" s="220"/>
      <c r="M48" s="220"/>
      <c r="N48" s="220"/>
      <c r="O48" s="220"/>
      <c r="P48" s="220"/>
      <c r="Q48" s="220"/>
      <c r="R48" s="220"/>
    </row>
    <row r="49" spans="2:18">
      <c r="B49" s="221" t="s">
        <v>30</v>
      </c>
      <c r="C49" s="221"/>
      <c r="D49" s="221"/>
      <c r="E49" s="224">
        <v>1</v>
      </c>
      <c r="F49" s="225"/>
      <c r="H49" s="220"/>
      <c r="I49" s="220"/>
      <c r="J49" s="220"/>
      <c r="K49" s="220"/>
      <c r="L49" s="220"/>
      <c r="M49" s="220"/>
      <c r="N49" s="220"/>
      <c r="O49" s="220"/>
      <c r="P49" s="220"/>
      <c r="Q49" s="220"/>
      <c r="R49" s="220"/>
    </row>
    <row r="50" spans="2:18">
      <c r="B50" s="221" t="s">
        <v>398</v>
      </c>
      <c r="C50" s="221"/>
      <c r="D50" s="221"/>
      <c r="E50" s="224">
        <v>1.6</v>
      </c>
      <c r="F50" s="225"/>
      <c r="H50" s="220"/>
      <c r="I50" s="220"/>
      <c r="J50" s="220"/>
      <c r="K50" s="220"/>
      <c r="L50" s="220"/>
      <c r="M50" s="220"/>
      <c r="N50" s="220"/>
      <c r="O50" s="220"/>
      <c r="P50" s="220"/>
      <c r="Q50" s="220"/>
      <c r="R50" s="220"/>
    </row>
    <row r="51" spans="2:18" ht="18.75" customHeight="1">
      <c r="B51" s="221" t="s">
        <v>399</v>
      </c>
      <c r="C51" s="221"/>
      <c r="D51" s="221"/>
      <c r="E51" s="224">
        <v>1</v>
      </c>
      <c r="F51" s="225"/>
      <c r="H51" s="202" t="s">
        <v>432</v>
      </c>
      <c r="I51" s="203"/>
      <c r="J51" s="203"/>
      <c r="K51" s="203"/>
      <c r="L51" s="203"/>
      <c r="M51" s="203"/>
      <c r="N51" s="204"/>
      <c r="O51" s="178" t="s">
        <v>433</v>
      </c>
      <c r="P51" s="178"/>
      <c r="Q51" s="178"/>
      <c r="R51" s="178"/>
    </row>
    <row r="52" spans="2:18">
      <c r="B52" s="221" t="s">
        <v>400</v>
      </c>
      <c r="C52" s="221"/>
      <c r="D52" s="221"/>
      <c r="E52" s="224">
        <v>1.1000000000000001</v>
      </c>
      <c r="F52" s="225"/>
      <c r="H52" s="205"/>
      <c r="I52" s="206"/>
      <c r="J52" s="206"/>
      <c r="K52" s="206"/>
      <c r="L52" s="206"/>
      <c r="M52" s="206"/>
      <c r="N52" s="207"/>
      <c r="O52" s="178"/>
      <c r="P52" s="178"/>
      <c r="Q52" s="178"/>
      <c r="R52" s="178"/>
    </row>
    <row r="53" spans="2:18">
      <c r="B53" s="221" t="s">
        <v>401</v>
      </c>
      <c r="C53" s="221"/>
      <c r="D53" s="221"/>
      <c r="E53" s="224">
        <v>1.3</v>
      </c>
      <c r="F53" s="225"/>
      <c r="H53" s="205"/>
      <c r="I53" s="206"/>
      <c r="J53" s="206"/>
      <c r="K53" s="206"/>
      <c r="L53" s="206"/>
      <c r="M53" s="206"/>
      <c r="N53" s="207"/>
      <c r="O53" s="178"/>
      <c r="P53" s="178"/>
      <c r="Q53" s="178"/>
      <c r="R53" s="178"/>
    </row>
    <row r="54" spans="2:18">
      <c r="B54" s="221" t="s">
        <v>33</v>
      </c>
      <c r="C54" s="221"/>
      <c r="D54" s="221"/>
      <c r="E54" s="224">
        <v>1.5</v>
      </c>
      <c r="F54" s="225"/>
      <c r="H54" s="208"/>
      <c r="I54" s="209"/>
      <c r="J54" s="209"/>
      <c r="K54" s="209"/>
      <c r="L54" s="209"/>
      <c r="M54" s="209"/>
      <c r="N54" s="210"/>
      <c r="O54" s="178"/>
      <c r="P54" s="178"/>
      <c r="Q54" s="178"/>
      <c r="R54" s="178"/>
    </row>
    <row r="55" spans="2:18" ht="15.75" customHeight="1">
      <c r="B55" s="221" t="s">
        <v>402</v>
      </c>
      <c r="C55" s="221"/>
      <c r="D55" s="221"/>
      <c r="E55" s="224">
        <v>1.2</v>
      </c>
      <c r="F55" s="225"/>
      <c r="H55" s="202" t="s">
        <v>434</v>
      </c>
      <c r="I55" s="203"/>
      <c r="J55" s="203"/>
      <c r="K55" s="203"/>
      <c r="L55" s="203"/>
      <c r="M55" s="203"/>
      <c r="N55" s="204"/>
      <c r="O55" s="178" t="s">
        <v>435</v>
      </c>
      <c r="P55" s="178"/>
      <c r="Q55" s="178"/>
      <c r="R55" s="178"/>
    </row>
    <row r="56" spans="2:18">
      <c r="B56" s="221" t="s">
        <v>403</v>
      </c>
      <c r="C56" s="221"/>
      <c r="D56" s="221"/>
      <c r="E56" s="224">
        <v>1.1000000000000001</v>
      </c>
      <c r="F56" s="225"/>
      <c r="H56" s="208"/>
      <c r="I56" s="209"/>
      <c r="J56" s="209"/>
      <c r="K56" s="209"/>
      <c r="L56" s="209"/>
      <c r="M56" s="209"/>
      <c r="N56" s="210"/>
      <c r="O56" s="178"/>
      <c r="P56" s="178"/>
      <c r="Q56" s="178"/>
      <c r="R56" s="178"/>
    </row>
    <row r="57" spans="2:18" ht="18" customHeight="1">
      <c r="B57" s="221" t="s">
        <v>404</v>
      </c>
      <c r="C57" s="221"/>
      <c r="D57" s="221"/>
      <c r="E57" s="224">
        <v>1.1000000000000001</v>
      </c>
      <c r="F57" s="225"/>
      <c r="H57" s="211" t="s">
        <v>436</v>
      </c>
      <c r="I57" s="212"/>
      <c r="J57" s="212"/>
      <c r="K57" s="212"/>
      <c r="L57" s="212"/>
      <c r="M57" s="212"/>
      <c r="N57" s="213"/>
      <c r="O57" s="178" t="s">
        <v>437</v>
      </c>
      <c r="P57" s="178"/>
      <c r="Q57" s="178"/>
      <c r="R57" s="178"/>
    </row>
    <row r="58" spans="2:18">
      <c r="B58" s="221" t="s">
        <v>37</v>
      </c>
      <c r="C58" s="221"/>
      <c r="D58" s="221"/>
      <c r="E58" s="224">
        <v>1</v>
      </c>
      <c r="F58" s="225"/>
      <c r="H58" s="214"/>
      <c r="I58" s="215"/>
      <c r="J58" s="215"/>
      <c r="K58" s="215"/>
      <c r="L58" s="215"/>
      <c r="M58" s="215"/>
      <c r="N58" s="216"/>
      <c r="O58" s="178"/>
      <c r="P58" s="178"/>
      <c r="Q58" s="178"/>
      <c r="R58" s="178"/>
    </row>
    <row r="59" spans="2:18">
      <c r="B59" s="221" t="s">
        <v>7</v>
      </c>
      <c r="C59" s="221"/>
      <c r="D59" s="221"/>
      <c r="E59" s="224">
        <v>0.8</v>
      </c>
      <c r="F59" s="225"/>
      <c r="H59" s="214"/>
      <c r="I59" s="215"/>
      <c r="J59" s="215"/>
      <c r="K59" s="215"/>
      <c r="L59" s="215"/>
      <c r="M59" s="215"/>
      <c r="N59" s="216"/>
      <c r="O59" s="178"/>
      <c r="P59" s="178"/>
      <c r="Q59" s="178"/>
      <c r="R59" s="178"/>
    </row>
    <row r="60" spans="2:18">
      <c r="B60" s="221" t="s">
        <v>38</v>
      </c>
      <c r="C60" s="221"/>
      <c r="D60" s="221"/>
      <c r="E60" s="224">
        <v>1.4</v>
      </c>
      <c r="F60" s="225"/>
      <c r="H60" s="217"/>
      <c r="I60" s="218"/>
      <c r="J60" s="218"/>
      <c r="K60" s="218"/>
      <c r="L60" s="218"/>
      <c r="M60" s="218"/>
      <c r="N60" s="219"/>
      <c r="O60" s="178"/>
      <c r="P60" s="178"/>
      <c r="Q60" s="178"/>
      <c r="R60" s="178"/>
    </row>
    <row r="61" spans="2:18" ht="15.75">
      <c r="B61" s="184" t="s">
        <v>405</v>
      </c>
      <c r="C61" s="184"/>
      <c r="D61" s="184"/>
      <c r="E61" s="184"/>
      <c r="F61" s="184"/>
      <c r="H61" s="182" t="s">
        <v>438</v>
      </c>
      <c r="I61" s="182"/>
      <c r="J61" s="182"/>
      <c r="K61" s="182"/>
      <c r="L61" s="182"/>
      <c r="M61" s="182"/>
      <c r="N61" s="182"/>
      <c r="O61" s="183" t="s">
        <v>439</v>
      </c>
      <c r="P61" s="183"/>
      <c r="Q61" s="183"/>
      <c r="R61" s="183"/>
    </row>
    <row r="62" spans="2:18" ht="15.75">
      <c r="B62" s="185"/>
      <c r="C62" s="185"/>
      <c r="D62" s="185"/>
      <c r="E62" s="185"/>
      <c r="F62" s="185"/>
      <c r="H62" s="186" t="s">
        <v>441</v>
      </c>
      <c r="I62" s="187"/>
      <c r="J62" s="187"/>
      <c r="K62" s="187"/>
      <c r="L62" s="187"/>
      <c r="M62" s="187"/>
      <c r="N62" s="188"/>
      <c r="O62" s="173" t="s">
        <v>440</v>
      </c>
      <c r="P62" s="174"/>
      <c r="Q62" s="174"/>
      <c r="R62" s="175"/>
    </row>
    <row r="63" spans="2:18">
      <c r="B63" s="185"/>
      <c r="C63" s="185"/>
      <c r="D63" s="185"/>
      <c r="E63" s="185"/>
      <c r="F63" s="185"/>
    </row>
    <row r="64" spans="2:18">
      <c r="B64" s="10"/>
    </row>
    <row r="65" spans="2:15" ht="15.75">
      <c r="B65" s="189" t="s">
        <v>4</v>
      </c>
      <c r="C65" s="189"/>
      <c r="D65" s="18"/>
      <c r="E65" s="19" t="s">
        <v>45</v>
      </c>
      <c r="F65" s="19" t="s">
        <v>46</v>
      </c>
      <c r="H65" s="179" t="s">
        <v>47</v>
      </c>
      <c r="I65" s="180"/>
      <c r="J65" s="180"/>
      <c r="K65" s="180"/>
      <c r="L65" s="181"/>
      <c r="M65" s="22" t="s">
        <v>48</v>
      </c>
      <c r="N65" s="22" t="s">
        <v>49</v>
      </c>
      <c r="O65" s="22"/>
    </row>
    <row r="66" spans="2:15">
      <c r="B66" s="178" t="s">
        <v>442</v>
      </c>
      <c r="C66" s="178"/>
      <c r="D66" s="178"/>
      <c r="E66" s="20">
        <v>5544</v>
      </c>
      <c r="F66" s="21">
        <v>0.92</v>
      </c>
      <c r="H66" s="173" t="s">
        <v>455</v>
      </c>
      <c r="I66" s="174"/>
      <c r="J66" s="174"/>
      <c r="K66" s="174"/>
      <c r="L66" s="175"/>
      <c r="M66" s="23">
        <v>0.3</v>
      </c>
      <c r="N66" s="176">
        <v>0.15</v>
      </c>
      <c r="O66" s="177"/>
    </row>
    <row r="67" spans="2:15">
      <c r="B67" s="178" t="s">
        <v>443</v>
      </c>
      <c r="C67" s="178"/>
      <c r="D67" s="178"/>
      <c r="E67" s="20">
        <v>3357</v>
      </c>
      <c r="F67" s="21">
        <v>0.83</v>
      </c>
      <c r="H67" s="173" t="s">
        <v>456</v>
      </c>
      <c r="I67" s="174"/>
      <c r="J67" s="174"/>
      <c r="K67" s="174"/>
      <c r="L67" s="175"/>
      <c r="M67" s="23">
        <v>0.3</v>
      </c>
      <c r="N67" s="176">
        <v>0.15</v>
      </c>
      <c r="O67" s="177"/>
    </row>
    <row r="68" spans="2:15">
      <c r="B68" s="178" t="s">
        <v>444</v>
      </c>
      <c r="C68" s="178"/>
      <c r="D68" s="178"/>
      <c r="E68" s="20">
        <v>3357</v>
      </c>
      <c r="F68" s="21">
        <v>0.83</v>
      </c>
      <c r="H68" s="173" t="s">
        <v>457</v>
      </c>
      <c r="I68" s="174"/>
      <c r="J68" s="174"/>
      <c r="K68" s="174"/>
      <c r="L68" s="175"/>
      <c r="M68" s="23">
        <v>0.3</v>
      </c>
      <c r="N68" s="176">
        <v>0.9</v>
      </c>
      <c r="O68" s="177"/>
    </row>
    <row r="69" spans="2:15">
      <c r="B69" s="178" t="s">
        <v>445</v>
      </c>
      <c r="C69" s="178"/>
      <c r="D69" s="178"/>
      <c r="E69" s="20">
        <v>6802</v>
      </c>
      <c r="F69" s="21">
        <v>0.78</v>
      </c>
      <c r="H69" s="173" t="s">
        <v>458</v>
      </c>
      <c r="I69" s="174"/>
      <c r="J69" s="174"/>
      <c r="K69" s="174"/>
      <c r="L69" s="175"/>
      <c r="M69" s="23">
        <v>0.3</v>
      </c>
      <c r="N69" s="176">
        <v>0.9</v>
      </c>
      <c r="O69" s="177"/>
    </row>
    <row r="70" spans="2:15">
      <c r="B70" s="178" t="s">
        <v>446</v>
      </c>
      <c r="C70" s="178"/>
      <c r="D70" s="178"/>
      <c r="E70" s="20">
        <v>3754</v>
      </c>
      <c r="F70" s="21">
        <v>0.37</v>
      </c>
      <c r="H70" s="173" t="s">
        <v>459</v>
      </c>
      <c r="I70" s="174"/>
      <c r="J70" s="174"/>
      <c r="K70" s="174"/>
      <c r="L70" s="175"/>
      <c r="M70" s="23">
        <v>0.3</v>
      </c>
      <c r="N70" s="176">
        <v>0.77</v>
      </c>
      <c r="O70" s="177"/>
    </row>
    <row r="71" spans="2:15">
      <c r="B71" s="178" t="s">
        <v>28</v>
      </c>
      <c r="C71" s="178"/>
      <c r="D71" s="178"/>
      <c r="E71" s="20">
        <v>3253</v>
      </c>
      <c r="F71" s="21">
        <v>0.76</v>
      </c>
      <c r="H71" s="173" t="s">
        <v>460</v>
      </c>
      <c r="I71" s="174"/>
      <c r="J71" s="174"/>
      <c r="K71" s="174"/>
      <c r="L71" s="175"/>
      <c r="M71" s="23">
        <v>0.1</v>
      </c>
      <c r="N71" s="176" t="s">
        <v>454</v>
      </c>
      <c r="O71" s="177"/>
    </row>
    <row r="72" spans="2:15">
      <c r="B72" s="178" t="s">
        <v>447</v>
      </c>
      <c r="C72" s="178"/>
      <c r="D72" s="178"/>
      <c r="E72" s="20">
        <v>2867</v>
      </c>
      <c r="F72" s="21">
        <v>0.65</v>
      </c>
    </row>
    <row r="73" spans="2:15">
      <c r="B73" s="178" t="s">
        <v>448</v>
      </c>
      <c r="C73" s="178"/>
      <c r="D73" s="178"/>
      <c r="E73" s="20">
        <v>3299</v>
      </c>
      <c r="F73" s="21">
        <v>0.64</v>
      </c>
      <c r="H73" s="9" t="s">
        <v>317</v>
      </c>
    </row>
    <row r="74" spans="2:15">
      <c r="B74" s="178" t="s">
        <v>449</v>
      </c>
      <c r="C74" s="178"/>
      <c r="D74" s="178"/>
      <c r="E74" s="20">
        <v>4984</v>
      </c>
      <c r="F74" s="21">
        <v>0.84</v>
      </c>
      <c r="H74" s="9" t="s">
        <v>318</v>
      </c>
    </row>
    <row r="75" spans="2:15" ht="15.75">
      <c r="B75" s="178" t="s">
        <v>450</v>
      </c>
      <c r="C75" s="178"/>
      <c r="D75" s="178"/>
      <c r="E75" s="20">
        <v>4984</v>
      </c>
      <c r="F75" s="21">
        <v>0.84</v>
      </c>
      <c r="H75" s="179" t="s">
        <v>461</v>
      </c>
      <c r="I75" s="180"/>
      <c r="J75" s="181"/>
      <c r="K75" s="22" t="s">
        <v>51</v>
      </c>
      <c r="L75" s="22" t="s">
        <v>52</v>
      </c>
    </row>
    <row r="76" spans="2:15">
      <c r="B76" s="178" t="s">
        <v>7</v>
      </c>
      <c r="C76" s="178"/>
      <c r="D76" s="178"/>
      <c r="E76" s="20">
        <v>3824</v>
      </c>
      <c r="F76" s="21">
        <v>0.79</v>
      </c>
      <c r="H76" s="173" t="s">
        <v>462</v>
      </c>
      <c r="I76" s="174"/>
      <c r="J76" s="175"/>
      <c r="K76" s="24">
        <v>0.115</v>
      </c>
      <c r="L76" s="21">
        <v>0.2</v>
      </c>
    </row>
    <row r="77" spans="2:15">
      <c r="B77" s="178" t="s">
        <v>70</v>
      </c>
      <c r="C77" s="178"/>
      <c r="D77" s="178"/>
      <c r="E77" s="20">
        <v>2379</v>
      </c>
      <c r="F77" s="21">
        <v>0.5</v>
      </c>
      <c r="H77" s="173" t="s">
        <v>463</v>
      </c>
      <c r="I77" s="174"/>
      <c r="J77" s="175"/>
      <c r="K77" s="24">
        <v>-0.15</v>
      </c>
      <c r="L77" s="21">
        <v>0.2</v>
      </c>
    </row>
    <row r="78" spans="2:15">
      <c r="B78" s="178" t="s">
        <v>71</v>
      </c>
      <c r="C78" s="178"/>
      <c r="D78" s="178"/>
      <c r="E78" s="20">
        <v>3749</v>
      </c>
      <c r="F78" s="21">
        <v>0.68</v>
      </c>
      <c r="H78" s="173" t="s">
        <v>464</v>
      </c>
      <c r="I78" s="174"/>
      <c r="J78" s="175"/>
      <c r="K78" s="24">
        <v>-0.35699999999999998</v>
      </c>
      <c r="L78" s="21">
        <v>0.19</v>
      </c>
    </row>
    <row r="79" spans="2:15">
      <c r="B79" s="178" t="s">
        <v>451</v>
      </c>
      <c r="C79" s="178"/>
      <c r="D79" s="178"/>
      <c r="E79" s="20">
        <v>2857</v>
      </c>
      <c r="F79" s="21">
        <v>0.76</v>
      </c>
      <c r="H79" s="173" t="s">
        <v>465</v>
      </c>
      <c r="I79" s="174"/>
      <c r="J79" s="175"/>
      <c r="K79" s="24">
        <v>-0.48699999999999999</v>
      </c>
      <c r="L79" s="17" t="s">
        <v>454</v>
      </c>
    </row>
    <row r="80" spans="2:15">
      <c r="B80" s="178" t="s">
        <v>452</v>
      </c>
      <c r="C80" s="178"/>
      <c r="D80" s="178"/>
      <c r="E80" s="20">
        <v>4730</v>
      </c>
      <c r="F80" s="21">
        <v>0.76</v>
      </c>
      <c r="H80" s="173" t="s">
        <v>466</v>
      </c>
      <c r="I80" s="174"/>
      <c r="J80" s="175"/>
      <c r="K80" s="17" t="s">
        <v>454</v>
      </c>
      <c r="L80" s="17" t="s">
        <v>454</v>
      </c>
    </row>
    <row r="81" spans="2:6">
      <c r="B81" s="178" t="s">
        <v>453</v>
      </c>
      <c r="C81" s="178"/>
      <c r="D81" s="178"/>
      <c r="E81" s="20">
        <v>6631</v>
      </c>
      <c r="F81" s="21">
        <v>0.76</v>
      </c>
    </row>
    <row r="82" spans="2:6">
      <c r="B82" s="178" t="s">
        <v>72</v>
      </c>
      <c r="C82" s="178"/>
      <c r="D82" s="178"/>
      <c r="E82" s="20">
        <v>4408</v>
      </c>
      <c r="F82" s="21">
        <v>0.65</v>
      </c>
    </row>
    <row r="83" spans="2:6">
      <c r="B83" s="178" t="s">
        <v>39</v>
      </c>
      <c r="C83" s="178"/>
      <c r="D83" s="178"/>
      <c r="E83" s="20">
        <v>4300</v>
      </c>
      <c r="F83" s="21" t="s">
        <v>454</v>
      </c>
    </row>
  </sheetData>
  <sheetProtection algorithmName="SHA-512" hashValue="rK9fKNUqQDMAzeffgEYXFsBozF3Mrvfa47gL5aukkHp8/lu8RE49oYQVvSY7kxzgpuo8ImBAqs6HColmaJp9eA==" saltValue="vvx9M845GihfE+7nl9oi7Q==" spinCount="100000" sheet="1" objects="1" scenarios="1"/>
  <mergeCells count="153">
    <mergeCell ref="B27:F28"/>
    <mergeCell ref="B30:D30"/>
    <mergeCell ref="B31:D31"/>
    <mergeCell ref="B32:D32"/>
    <mergeCell ref="B33:D33"/>
    <mergeCell ref="B34:D34"/>
    <mergeCell ref="B5:R5"/>
    <mergeCell ref="B21:R21"/>
    <mergeCell ref="B22:R22"/>
    <mergeCell ref="B23:R23"/>
    <mergeCell ref="B24:R24"/>
    <mergeCell ref="B25:R25"/>
    <mergeCell ref="B15:R15"/>
    <mergeCell ref="B16:R16"/>
    <mergeCell ref="B17:R17"/>
    <mergeCell ref="B18:R18"/>
    <mergeCell ref="B19:R19"/>
    <mergeCell ref="B20:R20"/>
    <mergeCell ref="H30:R30"/>
    <mergeCell ref="H31:N31"/>
    <mergeCell ref="O31:R31"/>
    <mergeCell ref="H32:R32"/>
    <mergeCell ref="H33:N33"/>
    <mergeCell ref="O33:R33"/>
    <mergeCell ref="B41:D41"/>
    <mergeCell ref="B42:D42"/>
    <mergeCell ref="B43:D43"/>
    <mergeCell ref="E29:F29"/>
    <mergeCell ref="E30:F30"/>
    <mergeCell ref="E31:F31"/>
    <mergeCell ref="E32:F32"/>
    <mergeCell ref="E33:F33"/>
    <mergeCell ref="E34:F34"/>
    <mergeCell ref="B35:D35"/>
    <mergeCell ref="B36:D36"/>
    <mergeCell ref="B37:D37"/>
    <mergeCell ref="B38:D38"/>
    <mergeCell ref="B39:D39"/>
    <mergeCell ref="B40:D40"/>
    <mergeCell ref="E41:F41"/>
    <mergeCell ref="E42:F42"/>
    <mergeCell ref="E43:F43"/>
    <mergeCell ref="E44:F44"/>
    <mergeCell ref="E45:F45"/>
    <mergeCell ref="E46:F46"/>
    <mergeCell ref="E35:F35"/>
    <mergeCell ref="E36:F36"/>
    <mergeCell ref="E37:F37"/>
    <mergeCell ref="E38:F38"/>
    <mergeCell ref="E39:F39"/>
    <mergeCell ref="E40:F40"/>
    <mergeCell ref="B50:D50"/>
    <mergeCell ref="B51:D51"/>
    <mergeCell ref="E53:F53"/>
    <mergeCell ref="E54:F54"/>
    <mergeCell ref="E55:F55"/>
    <mergeCell ref="E56:F56"/>
    <mergeCell ref="E57:F57"/>
    <mergeCell ref="E58:F58"/>
    <mergeCell ref="E47:F47"/>
    <mergeCell ref="E48:F48"/>
    <mergeCell ref="E49:F49"/>
    <mergeCell ref="E50:F50"/>
    <mergeCell ref="E51:F51"/>
    <mergeCell ref="E52:F52"/>
    <mergeCell ref="B58:D58"/>
    <mergeCell ref="B59:D59"/>
    <mergeCell ref="B60:D60"/>
    <mergeCell ref="H27:R27"/>
    <mergeCell ref="H28:R29"/>
    <mergeCell ref="B52:D52"/>
    <mergeCell ref="B53:D53"/>
    <mergeCell ref="B54:D54"/>
    <mergeCell ref="B55:D55"/>
    <mergeCell ref="B56:D56"/>
    <mergeCell ref="B57:D57"/>
    <mergeCell ref="E59:F59"/>
    <mergeCell ref="E60:F60"/>
    <mergeCell ref="B44:D44"/>
    <mergeCell ref="B45:D45"/>
    <mergeCell ref="B46:D46"/>
    <mergeCell ref="B47:D47"/>
    <mergeCell ref="B48:D48"/>
    <mergeCell ref="B49:D49"/>
    <mergeCell ref="H38:R38"/>
    <mergeCell ref="H39:N39"/>
    <mergeCell ref="H40:N40"/>
    <mergeCell ref="O39:R39"/>
    <mergeCell ref="O40:R40"/>
    <mergeCell ref="H41:R41"/>
    <mergeCell ref="O34:R36"/>
    <mergeCell ref="O37:R37"/>
    <mergeCell ref="H34:N34"/>
    <mergeCell ref="H35:N35"/>
    <mergeCell ref="H36:N36"/>
    <mergeCell ref="H37:N37"/>
    <mergeCell ref="O57:R60"/>
    <mergeCell ref="H51:N54"/>
    <mergeCell ref="H55:N56"/>
    <mergeCell ref="H57:N60"/>
    <mergeCell ref="O51:R54"/>
    <mergeCell ref="O55:R56"/>
    <mergeCell ref="H42:N42"/>
    <mergeCell ref="O42:R42"/>
    <mergeCell ref="H43:R43"/>
    <mergeCell ref="H44:N44"/>
    <mergeCell ref="O44:R44"/>
    <mergeCell ref="O45:R46"/>
    <mergeCell ref="H47:R50"/>
    <mergeCell ref="H45:N46"/>
    <mergeCell ref="B68:D68"/>
    <mergeCell ref="B69:D69"/>
    <mergeCell ref="B70:D70"/>
    <mergeCell ref="H61:N61"/>
    <mergeCell ref="O61:R61"/>
    <mergeCell ref="B61:F63"/>
    <mergeCell ref="H62:N62"/>
    <mergeCell ref="O62:R62"/>
    <mergeCell ref="B65:C65"/>
    <mergeCell ref="B83:D83"/>
    <mergeCell ref="H65:L65"/>
    <mergeCell ref="H66:L66"/>
    <mergeCell ref="H67:L67"/>
    <mergeCell ref="H68:L68"/>
    <mergeCell ref="H69:L69"/>
    <mergeCell ref="H70:L70"/>
    <mergeCell ref="H71:L71"/>
    <mergeCell ref="H75:J75"/>
    <mergeCell ref="H76:J76"/>
    <mergeCell ref="B77:D77"/>
    <mergeCell ref="B78:D78"/>
    <mergeCell ref="B79:D79"/>
    <mergeCell ref="B80:D80"/>
    <mergeCell ref="B81:D81"/>
    <mergeCell ref="B82:D82"/>
    <mergeCell ref="B71:D71"/>
    <mergeCell ref="B72:D72"/>
    <mergeCell ref="B73:D73"/>
    <mergeCell ref="B74:D74"/>
    <mergeCell ref="B75:D75"/>
    <mergeCell ref="B76:D76"/>
    <mergeCell ref="B66:D66"/>
    <mergeCell ref="B67:D67"/>
    <mergeCell ref="H77:J77"/>
    <mergeCell ref="H78:J78"/>
    <mergeCell ref="H79:J79"/>
    <mergeCell ref="H80:J80"/>
    <mergeCell ref="N66:O66"/>
    <mergeCell ref="N67:O67"/>
    <mergeCell ref="N68:O68"/>
    <mergeCell ref="N69:O69"/>
    <mergeCell ref="N70:O70"/>
    <mergeCell ref="N71:O71"/>
  </mergeCells>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E104"/>
  <sheetViews>
    <sheetView showGridLines="0" tabSelected="1" topLeftCell="B1" zoomScaleNormal="100" workbookViewId="0">
      <selection activeCell="C78" sqref="C78:G78"/>
    </sheetView>
  </sheetViews>
  <sheetFormatPr defaultColWidth="9.140625" defaultRowHeight="15"/>
  <cols>
    <col min="1" max="1" width="3" style="25" customWidth="1"/>
    <col min="2" max="2" width="64" style="25" bestFit="1" customWidth="1"/>
    <col min="3" max="7" width="25.7109375" style="25" customWidth="1"/>
    <col min="8" max="8" width="3" style="25" customWidth="1"/>
    <col min="9" max="9" width="18.5703125" style="27" customWidth="1"/>
    <col min="10" max="10" width="7.28515625" style="25" customWidth="1"/>
    <col min="11" max="11" width="9.5703125" style="25" customWidth="1"/>
    <col min="12" max="13" width="11" style="25" customWidth="1"/>
    <col min="14" max="14" width="7.5703125" style="25" customWidth="1"/>
    <col min="15" max="15" width="12.7109375" style="25" customWidth="1"/>
    <col min="16" max="16" width="9.140625" style="25" customWidth="1"/>
    <col min="17" max="17" width="11.85546875" style="25" customWidth="1"/>
    <col min="18" max="18" width="15.7109375" style="25" customWidth="1"/>
    <col min="19" max="20" width="9.140625" style="25" customWidth="1"/>
    <col min="21" max="21" width="33.5703125" style="25" customWidth="1"/>
    <col min="22" max="22" width="5.5703125" style="25" customWidth="1"/>
    <col min="23" max="161" width="9.140625" style="25" customWidth="1"/>
    <col min="162" max="16384" width="9.140625" style="25"/>
  </cols>
  <sheetData>
    <row r="1" spans="1:161">
      <c r="B1" s="26"/>
    </row>
    <row r="2" spans="1:161">
      <c r="B2" s="257" t="s">
        <v>373</v>
      </c>
      <c r="C2" s="257"/>
      <c r="D2" s="257"/>
      <c r="E2" s="257"/>
      <c r="F2" s="257"/>
      <c r="G2" s="257"/>
    </row>
    <row r="3" spans="1:161">
      <c r="B3" s="257"/>
      <c r="C3" s="257"/>
      <c r="D3" s="257"/>
      <c r="E3" s="257"/>
      <c r="F3" s="257"/>
      <c r="G3" s="257"/>
    </row>
    <row r="4" spans="1:161">
      <c r="B4" s="258" t="s">
        <v>127</v>
      </c>
      <c r="C4" s="258"/>
      <c r="D4" s="258"/>
      <c r="E4" s="258"/>
      <c r="F4" s="258"/>
      <c r="G4" s="258"/>
      <c r="N4" s="28"/>
    </row>
    <row r="5" spans="1:161">
      <c r="B5" s="258"/>
      <c r="C5" s="258"/>
      <c r="D5" s="258"/>
      <c r="E5" s="258"/>
      <c r="F5" s="258"/>
      <c r="G5" s="258"/>
    </row>
    <row r="6" spans="1:161" ht="30">
      <c r="B6" s="39"/>
      <c r="C6" s="39"/>
      <c r="D6" s="39"/>
      <c r="E6" s="39"/>
      <c r="F6" s="39"/>
      <c r="G6" s="39"/>
    </row>
    <row r="7" spans="1:161" s="48" customFormat="1" ht="15.75">
      <c r="A7" s="47"/>
      <c r="C7" s="49" t="s">
        <v>10</v>
      </c>
      <c r="D7" s="49"/>
      <c r="E7" s="49"/>
      <c r="F7" s="49"/>
      <c r="G7" s="49"/>
      <c r="H7" s="25"/>
      <c r="I7" s="27"/>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row>
    <row r="8" spans="1:161" s="48" customFormat="1">
      <c r="A8" s="47"/>
      <c r="B8" s="50" t="s">
        <v>11</v>
      </c>
      <c r="C8" s="153"/>
      <c r="D8" s="40"/>
      <c r="E8" s="40"/>
      <c r="F8" s="40"/>
      <c r="G8" s="40"/>
      <c r="H8" s="26"/>
      <c r="I8" s="29"/>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row>
    <row r="9" spans="1:161" s="48" customFormat="1">
      <c r="A9" s="47"/>
      <c r="B9" s="50" t="s">
        <v>12</v>
      </c>
      <c r="C9" s="51"/>
      <c r="D9" s="40"/>
      <c r="E9" s="40"/>
      <c r="F9" s="40"/>
      <c r="G9" s="40"/>
      <c r="H9" s="26"/>
      <c r="I9" s="29"/>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row>
    <row r="10" spans="1:161" s="48" customFormat="1">
      <c r="A10" s="47"/>
      <c r="C10" s="40" t="s">
        <v>467</v>
      </c>
      <c r="D10" s="40"/>
      <c r="E10" s="40"/>
      <c r="F10" s="40"/>
      <c r="G10" s="40"/>
      <c r="H10" s="26"/>
      <c r="I10" s="29"/>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row>
    <row r="11" spans="1:161" s="48" customFormat="1">
      <c r="A11" s="47"/>
      <c r="B11" s="40"/>
      <c r="C11" s="40"/>
      <c r="D11" s="40"/>
      <c r="E11" s="40"/>
      <c r="F11" s="40"/>
      <c r="G11" s="40"/>
      <c r="H11" s="26"/>
      <c r="I11" s="29"/>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row>
    <row r="12" spans="1:161" ht="15.75">
      <c r="B12" s="256" t="s">
        <v>3</v>
      </c>
      <c r="C12" s="256"/>
      <c r="D12" s="256"/>
      <c r="E12" s="256"/>
      <c r="F12" s="256"/>
      <c r="G12" s="256"/>
    </row>
    <row r="13" spans="1:161">
      <c r="B13" s="52" t="s">
        <v>154</v>
      </c>
      <c r="C13" s="254"/>
      <c r="D13" s="254"/>
      <c r="E13" s="254"/>
      <c r="F13" s="254"/>
      <c r="G13" s="254"/>
    </row>
    <row r="14" spans="1:161">
      <c r="B14" s="53" t="s">
        <v>82</v>
      </c>
      <c r="C14" s="255"/>
      <c r="D14" s="255"/>
      <c r="E14" s="255"/>
      <c r="F14" s="255"/>
      <c r="G14" s="255"/>
      <c r="N14" s="28"/>
    </row>
    <row r="15" spans="1:161">
      <c r="B15" s="53" t="s">
        <v>189</v>
      </c>
      <c r="C15" s="255"/>
      <c r="D15" s="255"/>
      <c r="E15" s="255"/>
      <c r="F15" s="255"/>
      <c r="G15" s="255"/>
      <c r="I15" s="29"/>
      <c r="N15" s="28"/>
    </row>
    <row r="16" spans="1:161">
      <c r="B16" s="53" t="s">
        <v>190</v>
      </c>
      <c r="C16" s="255"/>
      <c r="D16" s="255"/>
      <c r="E16" s="255"/>
      <c r="F16" s="255"/>
      <c r="G16" s="255"/>
      <c r="I16" s="29"/>
      <c r="N16" s="28"/>
    </row>
    <row r="17" spans="2:14">
      <c r="B17" s="53" t="s">
        <v>155</v>
      </c>
      <c r="C17" s="264">
        <v>0.08</v>
      </c>
      <c r="D17" s="264"/>
      <c r="E17" s="264"/>
      <c r="F17" s="264"/>
      <c r="G17" s="264"/>
      <c r="I17" s="29"/>
      <c r="N17" s="28"/>
    </row>
    <row r="18" spans="2:14">
      <c r="B18" s="53" t="s">
        <v>188</v>
      </c>
      <c r="C18" s="265"/>
      <c r="D18" s="265"/>
      <c r="E18" s="265"/>
      <c r="F18" s="265"/>
      <c r="G18" s="265"/>
      <c r="N18" s="28"/>
    </row>
    <row r="19" spans="2:14" ht="15.75">
      <c r="B19" s="261" t="s">
        <v>116</v>
      </c>
      <c r="C19" s="261"/>
      <c r="D19" s="261"/>
      <c r="E19" s="261"/>
      <c r="F19" s="261"/>
      <c r="G19" s="261"/>
      <c r="N19" s="28"/>
    </row>
    <row r="20" spans="2:14">
      <c r="B20" s="53" t="s">
        <v>114</v>
      </c>
      <c r="C20" s="262" t="str">
        <f>IF(C15="","",IF(C15="Custom","N/A",VLOOKUP(C15,'LookUp Tables'!B7:D26, 3, FALSE)))</f>
        <v/>
      </c>
      <c r="D20" s="262"/>
      <c r="E20" s="262"/>
      <c r="F20" s="262"/>
      <c r="G20" s="262"/>
      <c r="N20" s="28"/>
    </row>
    <row r="21" spans="2:14">
      <c r="B21" s="53" t="s">
        <v>115</v>
      </c>
      <c r="C21" s="259" t="str">
        <f>IF(C15="","",IF(C15="Custom","N/A",VLOOKUP(C15,'LookUp Tables'!B7:E26, 4, FALSE)))</f>
        <v/>
      </c>
      <c r="D21" s="259"/>
      <c r="E21" s="259"/>
      <c r="F21" s="259"/>
      <c r="G21" s="259"/>
      <c r="N21" s="28"/>
    </row>
    <row r="22" spans="2:14">
      <c r="B22" s="53" t="s">
        <v>313</v>
      </c>
      <c r="C22" s="263"/>
      <c r="D22" s="263"/>
      <c r="E22" s="263"/>
      <c r="F22" s="263"/>
      <c r="G22" s="263"/>
      <c r="N22" s="28"/>
    </row>
    <row r="23" spans="2:14">
      <c r="B23" s="54" t="s">
        <v>314</v>
      </c>
      <c r="C23" s="260"/>
      <c r="D23" s="260"/>
      <c r="E23" s="260"/>
      <c r="F23" s="260"/>
      <c r="G23" s="260"/>
      <c r="N23" s="28"/>
    </row>
    <row r="24" spans="2:14" ht="15.75">
      <c r="B24" s="252" t="s">
        <v>1</v>
      </c>
      <c r="C24" s="252"/>
      <c r="D24" s="252"/>
      <c r="E24" s="252"/>
      <c r="F24" s="252"/>
      <c r="G24" s="252"/>
      <c r="N24" s="28"/>
    </row>
    <row r="25" spans="2:14">
      <c r="B25" s="55" t="s">
        <v>1</v>
      </c>
      <c r="C25" s="149">
        <v>1</v>
      </c>
      <c r="D25" s="149">
        <v>2</v>
      </c>
      <c r="E25" s="149">
        <v>3</v>
      </c>
      <c r="F25" s="149">
        <v>4</v>
      </c>
      <c r="G25" s="149">
        <v>5</v>
      </c>
      <c r="N25" s="28"/>
    </row>
    <row r="26" spans="2:14">
      <c r="B26" s="53" t="s">
        <v>121</v>
      </c>
      <c r="C26" s="154"/>
      <c r="D26" s="154"/>
      <c r="E26" s="154"/>
      <c r="F26" s="154"/>
      <c r="G26" s="154"/>
      <c r="N26" s="28"/>
    </row>
    <row r="27" spans="2:14">
      <c r="B27" s="54" t="s">
        <v>122</v>
      </c>
      <c r="C27" s="150"/>
      <c r="D27" s="150"/>
      <c r="E27" s="150"/>
      <c r="F27" s="150"/>
      <c r="G27" s="150"/>
      <c r="N27" s="28"/>
    </row>
    <row r="28" spans="2:14">
      <c r="B28" s="53" t="s">
        <v>123</v>
      </c>
      <c r="C28" s="155"/>
      <c r="D28" s="155"/>
      <c r="E28" s="155"/>
      <c r="F28" s="155"/>
      <c r="G28" s="155"/>
      <c r="N28" s="28"/>
    </row>
    <row r="29" spans="2:14">
      <c r="B29" s="56" t="s">
        <v>124</v>
      </c>
      <c r="C29" s="151" t="str">
        <f>IF(C26="","",IF(AND(C26="Exterior",C27=""),"",IF(C26="Exterior",'LPD LookUp Tables'!S8,"W/ft2")))</f>
        <v/>
      </c>
      <c r="D29" s="151" t="str">
        <f>IF(D26="","",IF(AND(D26="Exterior",D27=""),"",IF(D26="Exterior",'LPD LookUp Tables'!T8,"W/ft2")))</f>
        <v/>
      </c>
      <c r="E29" s="151" t="str">
        <f>IF(E26="","",IF(AND(E26="Exterior",E27=""),"",IF(E26="Exterior",'LPD LookUp Tables'!U8,"W/ft2")))</f>
        <v/>
      </c>
      <c r="F29" s="151" t="str">
        <f>IF(F26="","",IF(AND(F26="Exterior",F27=""),"",IF(F26="Exterior",'LPD LookUp Tables'!V8,"W/ft2")))</f>
        <v/>
      </c>
      <c r="G29" s="151" t="str">
        <f>IF(G26="","",IF(AND(G26="Exterior",G27=""),"",IF(G26="Exterior",'LPD LookUp Tables'!W8,"W/ft2")))</f>
        <v/>
      </c>
      <c r="N29" s="28"/>
    </row>
    <row r="30" spans="2:14">
      <c r="B30" s="57" t="s">
        <v>125</v>
      </c>
      <c r="C30" s="152" t="str">
        <f>IF(C26="","",IF(AND(C26="Exterior",C27=""),"",IF(C26="Exterior",'LPD LookUp Tables'!S9,'LPD LookUp Tables'!G8)))</f>
        <v/>
      </c>
      <c r="D30" s="152" t="str">
        <f>IF(D26="","",IF(AND(D26="Exterior",D27=""),"",IF(D26="Exterior",'LPD LookUp Tables'!T9,'LPD LookUp Tables'!H8)))</f>
        <v/>
      </c>
      <c r="E30" s="152" t="str">
        <f>IF(E26="","",IF(AND(E26="Exterior",E27=""),"",IF(E26="Exterior",'LPD LookUp Tables'!U9,'LPD LookUp Tables'!I8)))</f>
        <v/>
      </c>
      <c r="F30" s="152" t="str">
        <f>IF(F26="","",IF(AND(F26="Exterior",F27=""),"",IF(F26="Exterior",'LPD LookUp Tables'!V9,'LPD LookUp Tables'!J8)))</f>
        <v/>
      </c>
      <c r="G30" s="152" t="str">
        <f>IF(G26="","",IF(AND(G26="Exterior",G27=""),"",IF(G26="Exterior",'LPD LookUp Tables'!W9,'LPD LookUp Tables'!K8)))</f>
        <v/>
      </c>
      <c r="N30" s="28"/>
    </row>
    <row r="31" spans="2:14" ht="15.75">
      <c r="B31" s="252" t="s">
        <v>2</v>
      </c>
      <c r="C31" s="252"/>
      <c r="D31" s="252"/>
      <c r="E31" s="252"/>
      <c r="F31" s="252"/>
      <c r="G31" s="252"/>
      <c r="N31" s="28"/>
    </row>
    <row r="32" spans="2:14">
      <c r="B32" s="55" t="s">
        <v>2</v>
      </c>
      <c r="C32" s="149">
        <v>1</v>
      </c>
      <c r="D32" s="149">
        <v>2</v>
      </c>
      <c r="E32" s="149">
        <v>3</v>
      </c>
      <c r="F32" s="149">
        <v>4</v>
      </c>
      <c r="G32" s="149">
        <v>5</v>
      </c>
      <c r="M32" s="28"/>
    </row>
    <row r="33" spans="1:15">
      <c r="B33" s="53" t="s">
        <v>83</v>
      </c>
      <c r="C33" s="156"/>
      <c r="D33" s="156"/>
      <c r="E33" s="156"/>
      <c r="F33" s="156"/>
      <c r="G33" s="156"/>
      <c r="I33" s="29"/>
      <c r="M33" s="28"/>
    </row>
    <row r="34" spans="1:15">
      <c r="B34" s="53" t="s">
        <v>128</v>
      </c>
      <c r="C34" s="150"/>
      <c r="D34" s="150"/>
      <c r="E34" s="150"/>
      <c r="F34" s="150"/>
      <c r="G34" s="150"/>
      <c r="M34" s="28"/>
    </row>
    <row r="35" spans="1:15">
      <c r="B35" s="53" t="s">
        <v>84</v>
      </c>
      <c r="C35" s="150"/>
      <c r="D35" s="150"/>
      <c r="E35" s="150"/>
      <c r="F35" s="150"/>
      <c r="G35" s="150"/>
      <c r="I35" s="29"/>
      <c r="M35" s="28"/>
    </row>
    <row r="36" spans="1:15" ht="30">
      <c r="B36" s="157" t="s">
        <v>126</v>
      </c>
      <c r="C36" s="150"/>
      <c r="D36" s="150"/>
      <c r="E36" s="150"/>
      <c r="F36" s="150"/>
      <c r="G36" s="150"/>
      <c r="I36" s="29"/>
      <c r="M36" s="28"/>
    </row>
    <row r="37" spans="1:15" ht="30">
      <c r="B37" s="157" t="s">
        <v>117</v>
      </c>
      <c r="C37" s="150"/>
      <c r="D37" s="150"/>
      <c r="E37" s="150"/>
      <c r="F37" s="150"/>
      <c r="G37" s="150"/>
      <c r="I37" s="29"/>
      <c r="N37" s="28"/>
    </row>
    <row r="38" spans="1:15" ht="15.75" hidden="1">
      <c r="A38" s="30"/>
      <c r="B38" s="58" t="s">
        <v>187</v>
      </c>
      <c r="C38" s="59" t="str">
        <f>IF(C28="","", C34*C35/C28)</f>
        <v/>
      </c>
      <c r="D38" s="59" t="str">
        <f>IF(D28="","", D34*D35/D28)</f>
        <v/>
      </c>
      <c r="E38" s="59" t="str">
        <f>IF(E28="","", E34*E35/E28)</f>
        <v/>
      </c>
      <c r="F38" s="59" t="str">
        <f>IF(F28="","", F34*F35/F28)</f>
        <v/>
      </c>
      <c r="G38" s="59" t="str">
        <f>IF(G28="","", G34*G35/G28)</f>
        <v/>
      </c>
      <c r="H38" s="31" t="s">
        <v>85</v>
      </c>
      <c r="I38" s="29"/>
      <c r="N38" s="28"/>
    </row>
    <row r="39" spans="1:15" ht="15.75">
      <c r="A39" s="47"/>
      <c r="B39" s="253" t="s">
        <v>118</v>
      </c>
      <c r="C39" s="253"/>
      <c r="D39" s="253"/>
      <c r="E39" s="253"/>
      <c r="F39" s="253"/>
      <c r="G39" s="253"/>
      <c r="H39" s="47"/>
      <c r="I39" s="60"/>
      <c r="J39" s="47"/>
      <c r="K39" s="47"/>
      <c r="L39" s="47"/>
      <c r="M39" s="47"/>
      <c r="N39" s="47"/>
      <c r="O39" s="28"/>
    </row>
    <row r="40" spans="1:15">
      <c r="A40" s="47"/>
      <c r="B40" s="57" t="s">
        <v>470</v>
      </c>
      <c r="C40" s="158" t="str">
        <f>IF(C37="", "", IF(C37="Custom", "N/A", VLOOKUP(C37, 'LookUp Tables'!$G$7:$I$14, 2, FALSE)))</f>
        <v/>
      </c>
      <c r="D40" s="158" t="str">
        <f>IF(D37="", "", IF(D37="Custom", "N/A", VLOOKUP(D37, 'LookUp Tables'!$G$7:$I$14, 2, FALSE)))</f>
        <v/>
      </c>
      <c r="E40" s="158" t="str">
        <f>IF(E37="", "", IF(E37="Custom", "N/A", VLOOKUP(E37, 'LookUp Tables'!$G$7:$I$14, 2, FALSE)))</f>
        <v/>
      </c>
      <c r="F40" s="158" t="str">
        <f>IF(F37="", "", IF(F37="Custom", "N/A", VLOOKUP(F37, 'LookUp Tables'!$G$7:$I$14, 2, FALSE)))</f>
        <v/>
      </c>
      <c r="G40" s="158" t="str">
        <f>IF(G37="", "", IF(G37="Custom", "N/A", VLOOKUP(G37, 'LookUp Tables'!$G$7:$I$14, 2, FALSE)))</f>
        <v/>
      </c>
      <c r="H40" s="47"/>
      <c r="I40" s="60"/>
      <c r="J40" s="47"/>
      <c r="K40" s="47"/>
      <c r="L40" s="47"/>
      <c r="M40" s="47"/>
      <c r="N40" s="47"/>
      <c r="O40" s="28"/>
    </row>
    <row r="41" spans="1:15">
      <c r="A41" s="47"/>
      <c r="B41" s="57" t="s">
        <v>471</v>
      </c>
      <c r="C41" s="159" t="str">
        <f>IF(C37="", "", IF(C37="Custom", "N/A", VLOOKUP(C37, 'LookUp Tables'!$G$7:$I$14, 3, FALSE)))</f>
        <v/>
      </c>
      <c r="D41" s="159" t="str">
        <f>IF(D37="", "", IF(D37="Custom", "N/A", VLOOKUP(D37, 'LookUp Tables'!$G$7:$I$14, 3, FALSE)))</f>
        <v/>
      </c>
      <c r="E41" s="159" t="str">
        <f>IF(E37="", "", IF(E37="Custom", "N/A", VLOOKUP(E37, 'LookUp Tables'!$G$7:$I$14, 3, FALSE)))</f>
        <v/>
      </c>
      <c r="F41" s="159" t="str">
        <f>IF(F37="", "", IF(F37="Custom", "N/A", VLOOKUP(F37, 'LookUp Tables'!$G$7:$I$14, 3, FALSE)))</f>
        <v/>
      </c>
      <c r="G41" s="159" t="str">
        <f>IF(G37="", "", IF(G37="Custom", "N/A", VLOOKUP(G37, 'LookUp Tables'!$G$7:$I$14, 3, FALSE)))</f>
        <v/>
      </c>
      <c r="H41" s="47"/>
      <c r="I41" s="60"/>
      <c r="J41" s="47"/>
      <c r="K41" s="47"/>
      <c r="L41" s="47"/>
      <c r="M41" s="47"/>
      <c r="N41" s="47"/>
      <c r="O41" s="28"/>
    </row>
    <row r="42" spans="1:15">
      <c r="A42" s="47"/>
      <c r="B42" s="57" t="s">
        <v>472</v>
      </c>
      <c r="C42" s="151" t="str">
        <f>IF(C37="", "", IF(C37="Custom","Customer","Program Default"))</f>
        <v/>
      </c>
      <c r="D42" s="151" t="str">
        <f>IF(D37="", "", IF(D37="Custom","Customer","Program Default"))</f>
        <v/>
      </c>
      <c r="E42" s="151" t="str">
        <f>IF(E37="", "", IF(E37="Custom","Customer","Program Default"))</f>
        <v/>
      </c>
      <c r="F42" s="151" t="str">
        <f>IF(F37="", "", IF(F37="Custom","Customer","Program Default"))</f>
        <v/>
      </c>
      <c r="G42" s="151" t="str">
        <f>IF(G37="", "", IF(G37="Custom","Customer","Program Default"))</f>
        <v/>
      </c>
      <c r="H42" s="47"/>
      <c r="I42" s="60"/>
      <c r="J42" s="47"/>
      <c r="K42" s="47"/>
      <c r="L42" s="47"/>
      <c r="M42" s="47"/>
      <c r="N42" s="47"/>
      <c r="O42" s="28"/>
    </row>
    <row r="43" spans="1:15">
      <c r="A43" s="47"/>
      <c r="B43" s="57" t="s">
        <v>473</v>
      </c>
      <c r="C43" s="160"/>
      <c r="D43" s="160"/>
      <c r="E43" s="160"/>
      <c r="F43" s="160"/>
      <c r="G43" s="160"/>
      <c r="H43" s="47"/>
      <c r="I43" s="60"/>
      <c r="J43" s="47"/>
      <c r="K43" s="47"/>
      <c r="L43" s="47"/>
      <c r="M43" s="47"/>
      <c r="N43" s="47"/>
      <c r="O43" s="28"/>
    </row>
    <row r="44" spans="1:15">
      <c r="A44" s="47"/>
      <c r="B44" s="57" t="s">
        <v>474</v>
      </c>
      <c r="C44" s="161"/>
      <c r="D44" s="161"/>
      <c r="E44" s="161"/>
      <c r="F44" s="161"/>
      <c r="G44" s="161"/>
      <c r="H44" s="47"/>
      <c r="I44" s="60"/>
      <c r="J44" s="47"/>
      <c r="K44" s="47"/>
      <c r="L44" s="47"/>
      <c r="M44" s="47"/>
      <c r="N44" s="47"/>
      <c r="O44" s="28"/>
    </row>
    <row r="45" spans="1:15" ht="15.75" hidden="1">
      <c r="A45" s="30"/>
      <c r="B45" s="251" t="s">
        <v>86</v>
      </c>
      <c r="C45" s="251"/>
      <c r="D45" s="251"/>
      <c r="E45" s="251"/>
      <c r="F45" s="251"/>
      <c r="G45" s="251"/>
      <c r="H45" s="31" t="s">
        <v>85</v>
      </c>
      <c r="I45" s="32"/>
      <c r="J45" s="47"/>
      <c r="K45" s="47"/>
      <c r="L45" s="47"/>
      <c r="M45" s="28"/>
      <c r="N45" s="47"/>
    </row>
    <row r="46" spans="1:15" ht="15.75" hidden="1">
      <c r="A46" s="30"/>
      <c r="B46" s="41"/>
      <c r="C46" s="41"/>
      <c r="D46" s="41"/>
      <c r="E46" s="41"/>
      <c r="F46" s="41"/>
      <c r="G46" s="41"/>
      <c r="H46" s="31" t="s">
        <v>85</v>
      </c>
      <c r="I46" s="32"/>
      <c r="M46" s="28"/>
    </row>
    <row r="47" spans="1:15" ht="15.75" hidden="1">
      <c r="A47" s="30"/>
      <c r="B47" s="61" t="s">
        <v>8</v>
      </c>
      <c r="C47" s="62" t="str">
        <f>IF(C26="Exterior", 'LookUp Tables'!$D$24, IF($C$22="Custom",$C$23,$C$20))</f>
        <v/>
      </c>
      <c r="D47" s="62" t="str">
        <f>IF(D26="Exterior", 'LookUp Tables'!$D$24, IF($C$22="Custom",$C$23,$C$20))</f>
        <v/>
      </c>
      <c r="E47" s="62" t="str">
        <f>IF(E26="Exterior", 'LookUp Tables'!$D$24, IF($C$22="Custom",$C$23,$C$20))</f>
        <v/>
      </c>
      <c r="F47" s="62" t="str">
        <f>IF(F26="Exterior", 'LookUp Tables'!$D$24, IF($C$22="Custom",$C$23,$C$20))</f>
        <v/>
      </c>
      <c r="G47" s="62" t="str">
        <f>IF(G26="Exterior", 'LookUp Tables'!$D$24, IF($C$22="Custom",$C$23,$C$20))</f>
        <v/>
      </c>
      <c r="H47" s="31" t="s">
        <v>85</v>
      </c>
      <c r="I47" s="32"/>
      <c r="N47" s="28"/>
    </row>
    <row r="48" spans="1:15" ht="15.75" hidden="1">
      <c r="A48" s="30"/>
      <c r="B48" s="61" t="s">
        <v>46</v>
      </c>
      <c r="C48" s="63" t="str">
        <f>IF(C26="Exterior", 'LookUp Tables'!$E$24, IF($C$15="Custom",$C$23,$C$21))</f>
        <v/>
      </c>
      <c r="D48" s="63" t="str">
        <f>IF(D26="Exterior", 'LookUp Tables'!$E$24, IF($C$15="Custom",$C$23,$C$21))</f>
        <v/>
      </c>
      <c r="E48" s="63" t="str">
        <f>IF(E26="Exterior", 'LookUp Tables'!$E$24, IF($C$15="Custom",$C$23,$C$21))</f>
        <v/>
      </c>
      <c r="F48" s="63" t="str">
        <f>IF(F26="Exterior", 'LookUp Tables'!$E$24, IF($C$15="Custom",$C$23,$C$21))</f>
        <v/>
      </c>
      <c r="G48" s="63" t="str">
        <f>IF(G26="Exterior", 'LookUp Tables'!$E$24, IF($C$15="Custom",$C$23,$C$21))</f>
        <v/>
      </c>
      <c r="H48" s="31" t="s">
        <v>85</v>
      </c>
      <c r="I48" s="32"/>
      <c r="N48" s="28"/>
    </row>
    <row r="49" spans="1:14" ht="15.75" hidden="1">
      <c r="A49" s="30"/>
      <c r="B49" s="61" t="s">
        <v>104</v>
      </c>
      <c r="C49" s="63" t="e">
        <f>IF(C26="Exterior", 0, VLOOKUP($C$16, 'LookUp Tables'!$G$19:$I$23, 2, FALSE))</f>
        <v>#N/A</v>
      </c>
      <c r="D49" s="63" t="e">
        <f>IF(D26="Exterior", 0, VLOOKUP($C$16, 'LookUp Tables'!$G$19:$I$23, 2, FALSE))</f>
        <v>#N/A</v>
      </c>
      <c r="E49" s="63" t="e">
        <f>IF(E26="Exterior", 0, VLOOKUP($C$16, 'LookUp Tables'!$G$19:$I$23, 2, FALSE))</f>
        <v>#N/A</v>
      </c>
      <c r="F49" s="63" t="e">
        <f>IF(F26="Exterior", 0, VLOOKUP($C$16, 'LookUp Tables'!$G$19:$I$23, 2, FALSE))</f>
        <v>#N/A</v>
      </c>
      <c r="G49" s="63" t="e">
        <f>IF(G26="Exterior", 0, VLOOKUP($C$16, 'LookUp Tables'!$G$19:$I$23, 2, FALSE))</f>
        <v>#N/A</v>
      </c>
      <c r="H49" s="31" t="s">
        <v>85</v>
      </c>
      <c r="I49" s="32"/>
      <c r="N49" s="28"/>
    </row>
    <row r="50" spans="1:14" ht="15.75" hidden="1">
      <c r="A50" s="30"/>
      <c r="B50" s="61" t="s">
        <v>105</v>
      </c>
      <c r="C50" s="63" t="e">
        <f>IF(C26="Exterior", 0, VLOOKUP($C$16, 'LookUp Tables'!$G$19:$I$23, 3, FALSE))</f>
        <v>#N/A</v>
      </c>
      <c r="D50" s="63" t="e">
        <f>IF(D26="Exterior", 0, VLOOKUP($C$16, 'LookUp Tables'!$G$19:$I$23, 3, FALSE))</f>
        <v>#N/A</v>
      </c>
      <c r="E50" s="63" t="e">
        <f>IF(E26="Exterior", 0, VLOOKUP($C$16, 'LookUp Tables'!$G$19:$I$23, 3, FALSE))</f>
        <v>#N/A</v>
      </c>
      <c r="F50" s="63" t="e">
        <f>IF(F26="Exterior", 0, VLOOKUP($C$16, 'LookUp Tables'!$G$19:$I$23, 3, FALSE))</f>
        <v>#N/A</v>
      </c>
      <c r="G50" s="63" t="e">
        <f>IF(G26="Exterior", 0, VLOOKUP($C$16, 'LookUp Tables'!$G$19:$I$23, 3, FALSE))</f>
        <v>#N/A</v>
      </c>
      <c r="H50" s="31" t="s">
        <v>85</v>
      </c>
      <c r="I50" s="32"/>
      <c r="N50" s="28"/>
    </row>
    <row r="51" spans="1:14" ht="15.75" hidden="1">
      <c r="A51" s="30"/>
      <c r="B51" s="61" t="s">
        <v>106</v>
      </c>
      <c r="C51" s="64" t="str">
        <f>IF(C36="Yes", 0, IF(C37="Custom", C43, C40))</f>
        <v/>
      </c>
      <c r="D51" s="64" t="str">
        <f>IF(D36="Yes", 0, IF(D37="Custom", D43, D40))</f>
        <v/>
      </c>
      <c r="E51" s="64" t="str">
        <f>IF(E36="Yes", 0, IF(E37="Custom", E43, E40))</f>
        <v/>
      </c>
      <c r="F51" s="64" t="str">
        <f>IF(F36="Yes", 0, IF(F37="Custom", F43, F40))</f>
        <v/>
      </c>
      <c r="G51" s="64" t="str">
        <f>IF(G36="Yes", 0, IF(G37="Custom", G43, G40))</f>
        <v/>
      </c>
      <c r="H51" s="31" t="s">
        <v>85</v>
      </c>
      <c r="I51" s="32"/>
      <c r="N51" s="28"/>
    </row>
    <row r="52" spans="1:14" ht="15.75" hidden="1">
      <c r="A52" s="30"/>
      <c r="B52" s="61" t="s">
        <v>107</v>
      </c>
      <c r="C52" s="63" t="str">
        <f>IF(C37="Custom", C44, C41)</f>
        <v/>
      </c>
      <c r="D52" s="63" t="str">
        <f>IF(D37="Custom", D44, D41)</f>
        <v/>
      </c>
      <c r="E52" s="63" t="str">
        <f>IF(E37="Custom", E44, E41)</f>
        <v/>
      </c>
      <c r="F52" s="63" t="str">
        <f>IF(F37="Custom", F44, F41)</f>
        <v/>
      </c>
      <c r="G52" s="63" t="str">
        <f>IF(G37="Custom", G44, G41)</f>
        <v/>
      </c>
      <c r="H52" s="31" t="s">
        <v>85</v>
      </c>
      <c r="I52" s="32"/>
      <c r="N52" s="28"/>
    </row>
    <row r="53" spans="1:14" ht="15.75" hidden="1">
      <c r="A53" s="30"/>
      <c r="B53" s="61" t="s">
        <v>152</v>
      </c>
      <c r="C53" s="65">
        <f>IF(ISERROR((C30*C28)*C47*(1+C49)/1000),0,(C30*C28)*C47*(1+C49)/1000)</f>
        <v>0</v>
      </c>
      <c r="D53" s="65">
        <f>IF(ISERROR((D30*D28)*D47*(1+D49)/1000),0,(D30*D28)*D47*(1+D49)/1000)</f>
        <v>0</v>
      </c>
      <c r="E53" s="65">
        <f>IF(ISERROR((E30*E28)*E47*(1+E49)/1000),0,(E30*E28)*E47*(1+E49)/1000)</f>
        <v>0</v>
      </c>
      <c r="F53" s="65">
        <f>IF(ISERROR((F30*F28)*F47*(1+F49)/1000),0,(F30*F28)*F47*(1+F49)/1000)</f>
        <v>0</v>
      </c>
      <c r="G53" s="65">
        <f>IF(ISERROR((G30*G28)*G47*(1+G49)/1000),0,(G30*G28)*G47*(1+G49)/1000)</f>
        <v>0</v>
      </c>
      <c r="H53" s="31" t="s">
        <v>85</v>
      </c>
      <c r="I53" s="32"/>
      <c r="N53" s="28"/>
    </row>
    <row r="54" spans="1:14" ht="15.75" hidden="1">
      <c r="A54" s="30"/>
      <c r="B54" s="61" t="s">
        <v>338</v>
      </c>
      <c r="C54" s="65">
        <v>0</v>
      </c>
      <c r="D54" s="65">
        <v>0</v>
      </c>
      <c r="E54" s="65">
        <v>0</v>
      </c>
      <c r="F54" s="65">
        <v>0</v>
      </c>
      <c r="G54" s="65">
        <v>0</v>
      </c>
      <c r="H54" s="31" t="s">
        <v>85</v>
      </c>
      <c r="I54" s="32"/>
      <c r="N54" s="28"/>
    </row>
    <row r="55" spans="1:14" ht="15.75" hidden="1">
      <c r="A55" s="30"/>
      <c r="B55" s="61" t="s">
        <v>340</v>
      </c>
      <c r="C55" s="66">
        <f>IF(ISERROR((C30*C28)*C48*(1+C50)/1000), 0, (C30*C28)*C48*(1+C50)/1000)</f>
        <v>0</v>
      </c>
      <c r="D55" s="66">
        <f>IF(ISERROR((D30*D28)*D48*(1+D50)/1000), 0, (D30*D28)*D48*(1+D50)/1000)</f>
        <v>0</v>
      </c>
      <c r="E55" s="66">
        <f>IF(ISERROR((E30*E28)*E48*(1+E50)/1000), 0, (E30*E28)*E48*(1+E50)/1000)</f>
        <v>0</v>
      </c>
      <c r="F55" s="66">
        <f>IF(ISERROR((F30*F28)*F48*(1+F50)/1000), 0, (F30*F28)*F48*(1+F50)/1000)</f>
        <v>0</v>
      </c>
      <c r="G55" s="66">
        <f>IF(ISERROR((G30*G28)*G48*(1+G50)/1000), 0, (G30*G28)*G48*(1+G50)/1000)</f>
        <v>0</v>
      </c>
      <c r="H55" s="31" t="s">
        <v>85</v>
      </c>
      <c r="I55" s="32"/>
      <c r="N55" s="28"/>
    </row>
    <row r="56" spans="1:14" ht="15.75" hidden="1">
      <c r="A56" s="30"/>
      <c r="B56" s="61" t="s">
        <v>153</v>
      </c>
      <c r="C56" s="65">
        <f>IF(ISERROR((C34*C35)*C47*(1+C49)/1000),0,(C34*C35)*C47*(1+C49)/1000)</f>
        <v>0</v>
      </c>
      <c r="D56" s="65">
        <f>IF(ISERROR((D34*D35)*D47*(1+D49)/1000),0,(D34*D35)*D47*(1+D49)/1000)</f>
        <v>0</v>
      </c>
      <c r="E56" s="65">
        <f>IF(ISERROR((E34*E35)*E47*(1+E49)/1000),0,(E34*E35)*E47*(1+E49)/1000)</f>
        <v>0</v>
      </c>
      <c r="F56" s="65">
        <f>IF(ISERROR((F34*F35)*F47*(1+F49)/1000),0,(F34*F35)*F47*(1+F49)/1000)</f>
        <v>0</v>
      </c>
      <c r="G56" s="65">
        <f>IF(ISERROR((G34*G35)*G47*(1+G49)/1000),0,(G34*G35)*G47*(1+G49)/1000)</f>
        <v>0</v>
      </c>
      <c r="H56" s="31" t="s">
        <v>85</v>
      </c>
      <c r="I56" s="32"/>
      <c r="N56" s="28"/>
    </row>
    <row r="57" spans="1:14" ht="15.75" hidden="1">
      <c r="A57" s="30"/>
      <c r="B57" s="61" t="s">
        <v>337</v>
      </c>
      <c r="C57" s="65">
        <f>IFERROR(C34*C35*C47*(1+C49)*C51/1000, 0)</f>
        <v>0</v>
      </c>
      <c r="D57" s="65">
        <f>IFERROR(D34*D35*D47*(1+D49)*D51/1000, 0)</f>
        <v>0</v>
      </c>
      <c r="E57" s="65">
        <f>IFERROR(E34*E35*E47*(1+E49)*E51/1000, 0)</f>
        <v>0</v>
      </c>
      <c r="F57" s="65">
        <f>IFERROR(F34*F35*F47*(1+F49)*F51/1000, 0)</f>
        <v>0</v>
      </c>
      <c r="G57" s="65">
        <f>IFERROR(G34*G35*G47*(1+G49)*G51/1000, 0)</f>
        <v>0</v>
      </c>
      <c r="H57" s="31" t="s">
        <v>85</v>
      </c>
      <c r="I57" s="32"/>
      <c r="N57" s="28"/>
    </row>
    <row r="58" spans="1:14" ht="15.75" hidden="1">
      <c r="A58" s="30"/>
      <c r="B58" s="61" t="s">
        <v>341</v>
      </c>
      <c r="C58" s="66">
        <f>IF(ISERROR((C34*C35)*C48*(1+C50)/1000), 0, (C34*C35)*C48*(1+C50)/1000)</f>
        <v>0</v>
      </c>
      <c r="D58" s="66">
        <f>IF(ISERROR((D34*D35)*D48*(1+D50)/1000), 0, (D34*D35)*D48*(1+D50)/1000)</f>
        <v>0</v>
      </c>
      <c r="E58" s="66">
        <f>IF(ISERROR((E34*E35)*E48*(1+E50)/1000), 0, (E34*E35)*E48*(1+E50)/1000)</f>
        <v>0</v>
      </c>
      <c r="F58" s="66">
        <f>IF(ISERROR((F34*F35)*F48*(1+F50)/1000), 0, (F34*F35)*F48*(1+F50)/1000)</f>
        <v>0</v>
      </c>
      <c r="G58" s="66">
        <f>IF(ISERROR((G34*G35)*G48*(1+G50)/1000), 0, (G34*G35)*G48*(1+G50)/1000)</f>
        <v>0</v>
      </c>
      <c r="H58" s="31" t="s">
        <v>85</v>
      </c>
      <c r="I58" s="32"/>
      <c r="N58" s="28"/>
    </row>
    <row r="59" spans="1:14" ht="15.75" hidden="1">
      <c r="A59" s="30"/>
      <c r="B59" s="67" t="s">
        <v>108</v>
      </c>
      <c r="C59" s="68">
        <f>IFERROR(C53-C56, 0)</f>
        <v>0</v>
      </c>
      <c r="D59" s="68">
        <f>IFERROR(D53-D56, 0)</f>
        <v>0</v>
      </c>
      <c r="E59" s="68">
        <f t="shared" ref="E59:G59" si="0">IFERROR(E53-E56, 0)</f>
        <v>0</v>
      </c>
      <c r="F59" s="68">
        <f t="shared" si="0"/>
        <v>0</v>
      </c>
      <c r="G59" s="68">
        <f t="shared" si="0"/>
        <v>0</v>
      </c>
      <c r="H59" s="31" t="s">
        <v>85</v>
      </c>
      <c r="I59" s="32"/>
      <c r="N59" s="28"/>
    </row>
    <row r="60" spans="1:14" ht="15.75" hidden="1">
      <c r="A60" s="30"/>
      <c r="B60" s="67" t="s">
        <v>109</v>
      </c>
      <c r="C60" s="68">
        <f>IFERROR(C57-C54, 0)</f>
        <v>0</v>
      </c>
      <c r="D60" s="68">
        <f t="shared" ref="D60:G60" si="1">IFERROR(D57-D54, 0)</f>
        <v>0</v>
      </c>
      <c r="E60" s="68">
        <f t="shared" si="1"/>
        <v>0</v>
      </c>
      <c r="F60" s="68">
        <f t="shared" si="1"/>
        <v>0</v>
      </c>
      <c r="G60" s="68">
        <f t="shared" si="1"/>
        <v>0</v>
      </c>
      <c r="H60" s="31" t="s">
        <v>85</v>
      </c>
      <c r="I60" s="32"/>
      <c r="N60" s="28"/>
    </row>
    <row r="61" spans="1:14" ht="15.75" hidden="1">
      <c r="A61" s="30"/>
      <c r="B61" s="67" t="s">
        <v>366</v>
      </c>
      <c r="C61" s="68">
        <f>IFERROR(C59+C60, 0)</f>
        <v>0</v>
      </c>
      <c r="D61" s="68">
        <f t="shared" ref="D61:G61" si="2">IFERROR(D59+D60, 0)</f>
        <v>0</v>
      </c>
      <c r="E61" s="68">
        <f t="shared" si="2"/>
        <v>0</v>
      </c>
      <c r="F61" s="68">
        <f t="shared" si="2"/>
        <v>0</v>
      </c>
      <c r="G61" s="68">
        <f t="shared" si="2"/>
        <v>0</v>
      </c>
      <c r="H61" s="31"/>
      <c r="I61" s="32"/>
      <c r="N61" s="28"/>
    </row>
    <row r="62" spans="1:14" ht="15.75" hidden="1">
      <c r="A62" s="30"/>
      <c r="B62" s="67" t="s">
        <v>110</v>
      </c>
      <c r="C62" s="69">
        <f>C55-C58</f>
        <v>0</v>
      </c>
      <c r="D62" s="69">
        <f t="shared" ref="D62:G62" si="3">D55-D58</f>
        <v>0</v>
      </c>
      <c r="E62" s="69">
        <f t="shared" si="3"/>
        <v>0</v>
      </c>
      <c r="F62" s="69">
        <f t="shared" si="3"/>
        <v>0</v>
      </c>
      <c r="G62" s="69">
        <f t="shared" si="3"/>
        <v>0</v>
      </c>
      <c r="H62" s="31" t="s">
        <v>85</v>
      </c>
      <c r="I62" s="32"/>
      <c r="N62" s="28"/>
    </row>
    <row r="63" spans="1:14" ht="15.75" hidden="1">
      <c r="A63" s="30"/>
      <c r="B63" s="67" t="s">
        <v>111</v>
      </c>
      <c r="C63" s="69">
        <f>IF(ISERROR(C34*C35*C52*C51*(1+C50)/1000), 0, IF(C26="Exterior", 0, C34*C35*C52*C51*(1+C50)/1000))</f>
        <v>0</v>
      </c>
      <c r="D63" s="69">
        <f>IF(ISERROR(D34*D35*D52*D51*(1+D50)/1000), 0, IF(D26="Exterior", 0, D34*D35*D52*D51*(1+D50)/1000))</f>
        <v>0</v>
      </c>
      <c r="E63" s="69">
        <f>IF(ISERROR(E34*E35*E52*E51*(1+E50)/1000), 0, IF(E26="Exterior", 0, E34*E35*E52*E51*(1+E50)/1000))</f>
        <v>0</v>
      </c>
      <c r="F63" s="69">
        <f>IF(ISERROR(F34*F35*F52*F51*(1+F50)/1000), 0, IF(F26="Exterior", 0, F34*F35*F52*F51*(1+F50)/1000))</f>
        <v>0</v>
      </c>
      <c r="G63" s="69">
        <f>IF(ISERROR(G34*G35*G52*G51*(1+G50)/1000), 0, IF(G26="Exterior", 0, G34*G35*G52*G51*(1+G50)/1000))</f>
        <v>0</v>
      </c>
      <c r="H63" s="31" t="s">
        <v>85</v>
      </c>
      <c r="I63" s="32"/>
      <c r="N63" s="28"/>
    </row>
    <row r="64" spans="1:14" ht="15.75" hidden="1">
      <c r="A64" s="30"/>
      <c r="B64" s="67" t="s">
        <v>365</v>
      </c>
      <c r="C64" s="69">
        <f>IFERROR(C62+C63, 0)</f>
        <v>0</v>
      </c>
      <c r="D64" s="69">
        <f t="shared" ref="D64:G64" si="4">IFERROR(D62+D63, 0)</f>
        <v>0</v>
      </c>
      <c r="E64" s="69">
        <f t="shared" si="4"/>
        <v>0</v>
      </c>
      <c r="F64" s="69">
        <f t="shared" si="4"/>
        <v>0</v>
      </c>
      <c r="G64" s="69">
        <f t="shared" si="4"/>
        <v>0</v>
      </c>
      <c r="H64" s="31"/>
      <c r="I64" s="32"/>
      <c r="N64" s="28"/>
    </row>
    <row r="65" spans="1:15" ht="15.75" hidden="1">
      <c r="A65" s="30"/>
      <c r="B65" s="41"/>
      <c r="C65" s="41"/>
      <c r="D65" s="41"/>
      <c r="E65" s="41"/>
      <c r="F65" s="41"/>
      <c r="G65" s="41"/>
      <c r="H65" s="31" t="s">
        <v>85</v>
      </c>
      <c r="I65" s="32"/>
      <c r="M65" s="28"/>
    </row>
    <row r="66" spans="1:15" ht="15.75" hidden="1">
      <c r="A66" s="30"/>
      <c r="B66" s="251" t="s">
        <v>112</v>
      </c>
      <c r="C66" s="251"/>
      <c r="D66" s="251"/>
      <c r="E66" s="251"/>
      <c r="F66" s="251"/>
      <c r="G66" s="251"/>
      <c r="H66" s="31" t="s">
        <v>85</v>
      </c>
      <c r="I66" s="32"/>
      <c r="J66" s="47"/>
      <c r="K66" s="47"/>
      <c r="L66" s="47"/>
      <c r="M66" s="47"/>
      <c r="N66" s="28"/>
      <c r="O66" s="47"/>
    </row>
    <row r="67" spans="1:15" ht="15.75" hidden="1">
      <c r="A67" s="30"/>
      <c r="B67" s="41"/>
      <c r="C67" s="41"/>
      <c r="D67" s="41"/>
      <c r="E67" s="41"/>
      <c r="F67" s="41"/>
      <c r="G67" s="41"/>
      <c r="H67" s="31" t="s">
        <v>85</v>
      </c>
      <c r="I67" s="32"/>
      <c r="M67" s="28"/>
    </row>
    <row r="68" spans="1:15" ht="15.75" hidden="1">
      <c r="A68" s="30"/>
      <c r="B68" s="70" t="s">
        <v>119</v>
      </c>
      <c r="C68" s="42">
        <f>MIN(1000000, C18*0.5)</f>
        <v>0</v>
      </c>
      <c r="D68" s="43"/>
      <c r="E68" s="43"/>
      <c r="F68" s="43"/>
      <c r="G68" s="43"/>
      <c r="H68" s="31" t="s">
        <v>85</v>
      </c>
      <c r="I68" s="32"/>
      <c r="J68" s="33"/>
      <c r="K68" s="47"/>
      <c r="L68" s="47"/>
      <c r="M68" s="47"/>
      <c r="N68" s="47"/>
      <c r="O68" s="28"/>
    </row>
    <row r="69" spans="1:15" ht="15.75" hidden="1">
      <c r="A69" s="30"/>
      <c r="B69" s="70" t="s">
        <v>370</v>
      </c>
      <c r="C69" s="44">
        <f>C75*0.07</f>
        <v>0</v>
      </c>
      <c r="D69" s="45"/>
      <c r="E69" s="45"/>
      <c r="F69" s="45"/>
      <c r="G69" s="45"/>
      <c r="H69" s="31" t="s">
        <v>85</v>
      </c>
      <c r="I69" s="32"/>
      <c r="J69" s="28"/>
      <c r="K69" s="47"/>
      <c r="L69" s="47"/>
      <c r="M69" s="47"/>
      <c r="N69" s="47"/>
      <c r="O69" s="28"/>
    </row>
    <row r="70" spans="1:15" ht="15.75" hidden="1">
      <c r="A70" s="30"/>
      <c r="B70" s="70" t="s">
        <v>113</v>
      </c>
      <c r="C70" s="42">
        <f>MIN(C68:C69)</f>
        <v>0</v>
      </c>
      <c r="D70" s="45"/>
      <c r="E70" s="45"/>
      <c r="F70" s="45"/>
      <c r="G70" s="45"/>
      <c r="H70" s="31" t="s">
        <v>85</v>
      </c>
      <c r="I70" s="32"/>
      <c r="J70" s="28"/>
      <c r="K70" s="47"/>
      <c r="L70" s="47"/>
      <c r="M70" s="47"/>
      <c r="N70" s="47"/>
      <c r="O70" s="28"/>
    </row>
    <row r="71" spans="1:15" ht="15.75">
      <c r="A71" s="30"/>
      <c r="B71" s="46"/>
      <c r="C71" s="46"/>
      <c r="D71" s="46"/>
      <c r="E71" s="46"/>
      <c r="F71" s="46"/>
      <c r="G71" s="46"/>
      <c r="H71" s="31" t="s">
        <v>85</v>
      </c>
      <c r="I71" s="32"/>
      <c r="M71" s="28"/>
    </row>
    <row r="72" spans="1:15" ht="15.75">
      <c r="B72" s="252" t="s">
        <v>0</v>
      </c>
      <c r="C72" s="252"/>
      <c r="D72" s="252"/>
      <c r="E72" s="252"/>
      <c r="F72" s="252"/>
      <c r="G72" s="252"/>
      <c r="H72" s="47"/>
      <c r="I72" s="60"/>
      <c r="J72" s="47"/>
      <c r="K72" s="47"/>
      <c r="L72" s="47"/>
      <c r="M72" s="47"/>
      <c r="N72" s="47"/>
      <c r="O72" s="28"/>
    </row>
    <row r="73" spans="1:15">
      <c r="B73" s="51" t="s">
        <v>144</v>
      </c>
      <c r="C73" s="233">
        <f>SUMIF(C53:G53, "&lt;&gt;#N/A")-SUMIF(C54:G54, "&lt;&gt;#N/A")</f>
        <v>0</v>
      </c>
      <c r="D73" s="234"/>
      <c r="E73" s="234"/>
      <c r="F73" s="234"/>
      <c r="G73" s="235"/>
      <c r="M73" s="28"/>
    </row>
    <row r="74" spans="1:15">
      <c r="B74" s="51" t="s">
        <v>145</v>
      </c>
      <c r="C74" s="233">
        <f>SUMIF(C56:G56, "&lt;&gt;#N/A")-SUMIF(C57:G57, "&lt;&gt;#N/A")</f>
        <v>0</v>
      </c>
      <c r="D74" s="234"/>
      <c r="E74" s="234"/>
      <c r="F74" s="234"/>
      <c r="G74" s="235"/>
      <c r="M74" s="28"/>
    </row>
    <row r="75" spans="1:15" ht="15.75">
      <c r="B75" s="71" t="s">
        <v>146</v>
      </c>
      <c r="C75" s="248">
        <f>C73-C74</f>
        <v>0</v>
      </c>
      <c r="D75" s="249"/>
      <c r="E75" s="249"/>
      <c r="F75" s="249"/>
      <c r="G75" s="250"/>
      <c r="M75" s="28"/>
    </row>
    <row r="76" spans="1:15" ht="15.75">
      <c r="B76" s="71" t="s">
        <v>147</v>
      </c>
      <c r="C76" s="236">
        <f>SUMIF(C62:G63, "&lt;&gt;#N/A")</f>
        <v>0</v>
      </c>
      <c r="D76" s="237"/>
      <c r="E76" s="237"/>
      <c r="F76" s="237"/>
      <c r="G76" s="238"/>
      <c r="M76" s="28"/>
    </row>
    <row r="77" spans="1:15" ht="15.75">
      <c r="B77" s="71" t="s">
        <v>148</v>
      </c>
      <c r="C77" s="239" t="str">
        <f>IF(C17=0,"Need Electricity Rate",IF(C18=0, "Need Project Cost", IF(C75=0,"Need Total Annual kWh Saved",C70)))</f>
        <v>Need Project Cost</v>
      </c>
      <c r="D77" s="240"/>
      <c r="E77" s="240"/>
      <c r="F77" s="240"/>
      <c r="G77" s="241"/>
      <c r="H77" s="47"/>
      <c r="I77" s="60"/>
      <c r="J77" s="47"/>
      <c r="K77" s="47"/>
      <c r="L77" s="47"/>
      <c r="M77" s="47"/>
      <c r="N77" s="47"/>
      <c r="O77" s="28"/>
    </row>
    <row r="78" spans="1:15" ht="15.75">
      <c r="B78" s="71" t="s">
        <v>315</v>
      </c>
      <c r="C78" s="239" t="str">
        <f>IF(C70=0, "", IF(C77=1000000, "$1,000,000 Project Cost Cap", IF(C77=C68, "50% of Project Cost Cap", "$0.07 per annual kWh Saved")))</f>
        <v/>
      </c>
      <c r="D78" s="240"/>
      <c r="E78" s="240"/>
      <c r="F78" s="240"/>
      <c r="G78" s="241"/>
      <c r="H78" s="47"/>
      <c r="I78" s="60"/>
      <c r="J78" s="47"/>
      <c r="K78" s="47"/>
      <c r="L78" s="47"/>
      <c r="M78" s="47"/>
      <c r="N78" s="47"/>
      <c r="O78" s="28"/>
    </row>
    <row r="79" spans="1:15" ht="15.75">
      <c r="B79" s="71" t="s">
        <v>149</v>
      </c>
      <c r="C79" s="239" t="str">
        <f>IF(C17=0,"Need Electricity Rate",IF(C75=0,"Need Total Annual kWh Saved",C17*C75))</f>
        <v>Need Total Annual kWh Saved</v>
      </c>
      <c r="D79" s="240"/>
      <c r="E79" s="240"/>
      <c r="F79" s="240"/>
      <c r="G79" s="241"/>
      <c r="H79" s="47"/>
      <c r="I79" s="60"/>
      <c r="J79" s="33"/>
      <c r="K79" s="33"/>
      <c r="L79" s="33"/>
      <c r="M79" s="33"/>
      <c r="N79" s="33"/>
      <c r="O79" s="28"/>
    </row>
    <row r="80" spans="1:15" ht="15.75">
      <c r="B80" s="71" t="s">
        <v>150</v>
      </c>
      <c r="C80" s="245" t="str">
        <f>IF(C18=0,"Need Project Cost",(C18)/C79)</f>
        <v>Need Project Cost</v>
      </c>
      <c r="D80" s="246"/>
      <c r="E80" s="246"/>
      <c r="F80" s="246"/>
      <c r="G80" s="247"/>
      <c r="H80" s="47"/>
      <c r="I80" s="60"/>
      <c r="J80" s="34"/>
      <c r="K80" s="34"/>
      <c r="L80" s="34"/>
      <c r="M80" s="34"/>
      <c r="N80" s="34"/>
      <c r="O80" s="28"/>
    </row>
    <row r="81" spans="2:15" ht="15.75">
      <c r="B81" s="71" t="s">
        <v>151</v>
      </c>
      <c r="C81" s="242" t="str">
        <f>IF(C18=0,"Need Project Cost",(C18-C70)/C79)</f>
        <v>Need Project Cost</v>
      </c>
      <c r="D81" s="243"/>
      <c r="E81" s="243"/>
      <c r="F81" s="243"/>
      <c r="G81" s="244"/>
      <c r="H81" s="47"/>
      <c r="I81" s="60"/>
      <c r="J81" s="47"/>
      <c r="K81" s="47"/>
      <c r="L81" s="47"/>
      <c r="M81" s="47"/>
      <c r="N81" s="47"/>
      <c r="O81" s="28"/>
    </row>
    <row r="82" spans="2:15">
      <c r="I82" s="35"/>
      <c r="N82" s="36"/>
      <c r="O82" s="37"/>
    </row>
    <row r="84" spans="2:15">
      <c r="J84" s="28"/>
    </row>
    <row r="85" spans="2:15">
      <c r="J85" s="28"/>
    </row>
    <row r="86" spans="2:15">
      <c r="J86" s="28"/>
    </row>
    <row r="87" spans="2:15">
      <c r="J87" s="28"/>
    </row>
    <row r="88" spans="2:15">
      <c r="J88" s="28"/>
    </row>
    <row r="89" spans="2:15">
      <c r="J89" s="28"/>
    </row>
    <row r="90" spans="2:15">
      <c r="J90" s="28"/>
      <c r="K90" s="37"/>
    </row>
    <row r="91" spans="2:15">
      <c r="J91" s="28"/>
    </row>
    <row r="92" spans="2:15">
      <c r="J92" s="28"/>
    </row>
    <row r="93" spans="2:15">
      <c r="J93" s="28"/>
      <c r="K93" s="38"/>
    </row>
    <row r="94" spans="2:15">
      <c r="J94" s="28"/>
    </row>
    <row r="95" spans="2:15">
      <c r="J95" s="28"/>
    </row>
    <row r="96" spans="2:15">
      <c r="J96" s="28"/>
    </row>
    <row r="97" spans="10:10">
      <c r="J97" s="28"/>
    </row>
    <row r="98" spans="10:10">
      <c r="J98" s="28"/>
    </row>
    <row r="99" spans="10:10">
      <c r="J99" s="28"/>
    </row>
    <row r="100" spans="10:10">
      <c r="J100" s="28"/>
    </row>
    <row r="101" spans="10:10">
      <c r="J101" s="28"/>
    </row>
    <row r="102" spans="10:10">
      <c r="J102" s="28"/>
    </row>
    <row r="103" spans="10:10">
      <c r="J103" s="28"/>
    </row>
    <row r="104" spans="10:10">
      <c r="J104" s="28"/>
    </row>
  </sheetData>
  <sheetProtection algorithmName="SHA-512" hashValue="nxW6Re0M9wt7bsj5XhSwfNuWBrfGReL7qHmmULAbtXaj9alwSKkxayRhmEfRh37MgI0r55MjT5iGxKUUIg/d2A==" saltValue="z452Ac6zkPd3GEn0FfUzyQ==" spinCount="100000" sheet="1" objects="1" scenarios="1"/>
  <protectedRanges>
    <protectedRange sqref="C23:G23 C43:G44 C13:G18 C26:G28 C33:G37" name="Range1"/>
  </protectedRanges>
  <mergeCells count="29">
    <mergeCell ref="C21:G21"/>
    <mergeCell ref="C23:G23"/>
    <mergeCell ref="B19:G19"/>
    <mergeCell ref="C15:G15"/>
    <mergeCell ref="C20:G20"/>
    <mergeCell ref="C22:G22"/>
    <mergeCell ref="C16:G16"/>
    <mergeCell ref="C17:G17"/>
    <mergeCell ref="C18:G18"/>
    <mergeCell ref="C13:G13"/>
    <mergeCell ref="C14:G14"/>
    <mergeCell ref="B12:G12"/>
    <mergeCell ref="B2:G3"/>
    <mergeCell ref="B4:G5"/>
    <mergeCell ref="B45:G45"/>
    <mergeCell ref="B72:G72"/>
    <mergeCell ref="B66:G66"/>
    <mergeCell ref="B24:G24"/>
    <mergeCell ref="B39:G39"/>
    <mergeCell ref="B31:G31"/>
    <mergeCell ref="C73:G73"/>
    <mergeCell ref="C76:G76"/>
    <mergeCell ref="C77:G77"/>
    <mergeCell ref="C79:G79"/>
    <mergeCell ref="C81:G81"/>
    <mergeCell ref="C80:G80"/>
    <mergeCell ref="C75:G75"/>
    <mergeCell ref="C74:G74"/>
    <mergeCell ref="C78:G78"/>
  </mergeCells>
  <conditionalFormatting sqref="D45">
    <cfRule type="expression" dxfId="74" priority="206">
      <formula>OR($C$33=0,$C$34=0,$C$35=0,$C$36=0,$C$37=0)</formula>
    </cfRule>
    <cfRule type="expression" dxfId="73" priority="268">
      <formula>AND($D$37="")</formula>
    </cfRule>
  </conditionalFormatting>
  <conditionalFormatting sqref="E45">
    <cfRule type="expression" dxfId="72" priority="201">
      <formula>OR($D$33=0,$D$34=0,$D$35=0,$D$36=0,$D$37=0)</formula>
    </cfRule>
    <cfRule type="expression" dxfId="71" priority="252">
      <formula>AND($E$37="")</formula>
    </cfRule>
  </conditionalFormatting>
  <conditionalFormatting sqref="F45">
    <cfRule type="expression" dxfId="70" priority="196">
      <formula>OR($E$33=0,$E$34=0,$E$35=0,$E$36=0,$E$37=0)</formula>
    </cfRule>
    <cfRule type="expression" dxfId="69" priority="241">
      <formula>AND($F$37="")</formula>
    </cfRule>
  </conditionalFormatting>
  <conditionalFormatting sqref="G45">
    <cfRule type="expression" dxfId="68" priority="191">
      <formula>OR($F$33=0,$F$34=0,$F$35=0,$F$36=0,$F$37=0)</formula>
    </cfRule>
    <cfRule type="expression" dxfId="67" priority="232">
      <formula>AND($G$37="")</formula>
    </cfRule>
  </conditionalFormatting>
  <conditionalFormatting sqref="C27">
    <cfRule type="expression" dxfId="66" priority="34">
      <formula>NOT(C27=0)</formula>
    </cfRule>
    <cfRule type="expression" dxfId="65" priority="149">
      <formula>AND(C26="Exterior")</formula>
    </cfRule>
  </conditionalFormatting>
  <conditionalFormatting sqref="B20:G21">
    <cfRule type="expression" dxfId="64" priority="130">
      <formula>$C$15="Custom"</formula>
    </cfRule>
  </conditionalFormatting>
  <conditionalFormatting sqref="C34:G34">
    <cfRule type="expression" dxfId="63" priority="108">
      <formula>NOT(C34="")</formula>
    </cfRule>
    <cfRule type="expression" dxfId="62" priority="109">
      <formula>NOT(C$33="")</formula>
    </cfRule>
  </conditionalFormatting>
  <conditionalFormatting sqref="C35:G35">
    <cfRule type="expression" dxfId="61" priority="102">
      <formula>NOT(C35="")</formula>
    </cfRule>
    <cfRule type="expression" dxfId="60" priority="103">
      <formula>NOT(C$33="")</formula>
    </cfRule>
  </conditionalFormatting>
  <conditionalFormatting sqref="C36">
    <cfRule type="expression" dxfId="59" priority="100">
      <formula>NOT(C36="")</formula>
    </cfRule>
    <cfRule type="expression" dxfId="58" priority="101">
      <formula>NOT(C$33="")</formula>
    </cfRule>
  </conditionalFormatting>
  <conditionalFormatting sqref="C37">
    <cfRule type="expression" dxfId="57" priority="98">
      <formula>NOT(C37="")</formula>
    </cfRule>
    <cfRule type="expression" dxfId="56" priority="99">
      <formula>NOT(C$33="")</formula>
    </cfRule>
  </conditionalFormatting>
  <conditionalFormatting sqref="B40:G42">
    <cfRule type="expression" dxfId="55" priority="64">
      <formula>AND($C$37="custom",$D$37="custom",$E$37="custom",$F$37="custom",$G$37="custom")</formula>
    </cfRule>
  </conditionalFormatting>
  <conditionalFormatting sqref="C43:C44">
    <cfRule type="expression" dxfId="54" priority="54">
      <formula>$C$37="Custom"</formula>
    </cfRule>
  </conditionalFormatting>
  <conditionalFormatting sqref="C43">
    <cfRule type="expression" dxfId="53" priority="53">
      <formula>NOT(C43="")</formula>
    </cfRule>
  </conditionalFormatting>
  <conditionalFormatting sqref="C44">
    <cfRule type="expression" dxfId="52" priority="52">
      <formula>NOT(C44="")</formula>
    </cfRule>
  </conditionalFormatting>
  <conditionalFormatting sqref="D43:D44">
    <cfRule type="expression" dxfId="51" priority="51">
      <formula>$D$37="Custom"</formula>
    </cfRule>
  </conditionalFormatting>
  <conditionalFormatting sqref="D43">
    <cfRule type="expression" dxfId="50" priority="50">
      <formula>NOT(D43="")</formula>
    </cfRule>
  </conditionalFormatting>
  <conditionalFormatting sqref="D44">
    <cfRule type="expression" dxfId="49" priority="49">
      <formula>NOT(D44="")</formula>
    </cfRule>
  </conditionalFormatting>
  <conditionalFormatting sqref="E43:E44">
    <cfRule type="expression" dxfId="48" priority="48">
      <formula>$E$37="Custom"</formula>
    </cfRule>
  </conditionalFormatting>
  <conditionalFormatting sqref="E43">
    <cfRule type="expression" dxfId="47" priority="47">
      <formula>NOT(E43="")</formula>
    </cfRule>
  </conditionalFormatting>
  <conditionalFormatting sqref="E44">
    <cfRule type="expression" dxfId="46" priority="46">
      <formula>NOT(E44="")</formula>
    </cfRule>
  </conditionalFormatting>
  <conditionalFormatting sqref="F43:F44">
    <cfRule type="expression" dxfId="45" priority="45">
      <formula>$F$37="Custom"</formula>
    </cfRule>
  </conditionalFormatting>
  <conditionalFormatting sqref="F43">
    <cfRule type="expression" dxfId="44" priority="44">
      <formula>NOT(F43="")</formula>
    </cfRule>
  </conditionalFormatting>
  <conditionalFormatting sqref="F44">
    <cfRule type="expression" dxfId="43" priority="43">
      <formula>NOT(F44="")</formula>
    </cfRule>
  </conditionalFormatting>
  <conditionalFormatting sqref="G43:G44">
    <cfRule type="expression" dxfId="42" priority="42">
      <formula>$G$37="Custom"</formula>
    </cfRule>
  </conditionalFormatting>
  <conditionalFormatting sqref="G43">
    <cfRule type="expression" dxfId="41" priority="41">
      <formula>NOT(G43="")</formula>
    </cfRule>
  </conditionalFormatting>
  <conditionalFormatting sqref="G44">
    <cfRule type="expression" dxfId="40" priority="40">
      <formula>NOT(G44="")</formula>
    </cfRule>
  </conditionalFormatting>
  <conditionalFormatting sqref="B22">
    <cfRule type="expression" dxfId="39" priority="39">
      <formula>$C$14="Custom"</formula>
    </cfRule>
  </conditionalFormatting>
  <conditionalFormatting sqref="D27">
    <cfRule type="expression" dxfId="38" priority="32">
      <formula>NOT($D$27 =0)</formula>
    </cfRule>
    <cfRule type="expression" dxfId="37" priority="33">
      <formula>AND(D26="Exterior")</formula>
    </cfRule>
  </conditionalFormatting>
  <conditionalFormatting sqref="E27:G27">
    <cfRule type="expression" dxfId="36" priority="30">
      <formula>NOT(E27=0)</formula>
    </cfRule>
    <cfRule type="expression" dxfId="35" priority="31">
      <formula>AND(E26="Exterior")</formula>
    </cfRule>
  </conditionalFormatting>
  <conditionalFormatting sqref="D36:G36">
    <cfRule type="expression" dxfId="34" priority="7">
      <formula>NOT(D36="")</formula>
    </cfRule>
    <cfRule type="expression" dxfId="33" priority="8">
      <formula>NOT(D$33="")</formula>
    </cfRule>
  </conditionalFormatting>
  <conditionalFormatting sqref="D37:G37">
    <cfRule type="expression" dxfId="32" priority="5">
      <formula>NOT(D37="")</formula>
    </cfRule>
    <cfRule type="expression" dxfId="31" priority="6">
      <formula>NOT(D$33="")</formula>
    </cfRule>
  </conditionalFormatting>
  <conditionalFormatting sqref="B23:G23">
    <cfRule type="expression" dxfId="30" priority="3">
      <formula>$C$22="Custom"</formula>
    </cfRule>
  </conditionalFormatting>
  <conditionalFormatting sqref="B43">
    <cfRule type="expression" dxfId="29" priority="2">
      <formula>AND($C$37="custom",$D$37="custom",$E$37="custom",$F$37="custom",$G$37="custom")</formula>
    </cfRule>
  </conditionalFormatting>
  <conditionalFormatting sqref="B44">
    <cfRule type="expression" dxfId="28" priority="1">
      <formula>AND($C$37="custom",$D$37="custom",$E$37="custom",$F$37="custom",$G$37="custom")</formula>
    </cfRule>
  </conditionalFormatting>
  <dataValidations count="4">
    <dataValidation allowBlank="1" showInputMessage="1" showErrorMessage="1" errorTitle="Value Error" error="Percent of load is less than the boiler's low fire percentage." sqref="C46:G46 C65:G65 C67:G67 C71:G71 C31:G32 C73:C74" xr:uid="{00000000-0002-0000-0200-000000000000}"/>
    <dataValidation type="list" allowBlank="1" showInputMessage="1" showErrorMessage="1" sqref="C45:G45" xr:uid="{00000000-0002-0000-0200-000001000000}">
      <formula1>#REF!</formula1>
    </dataValidation>
    <dataValidation allowBlank="1" showInputMessage="1" showErrorMessage="1" prompt="Total connected wattage including ballast factor" sqref="C35:G35" xr:uid="{00000000-0002-0000-0200-000002000000}"/>
    <dataValidation type="list" allowBlank="1" showInputMessage="1" showErrorMessage="1" sqref="C22:G22" xr:uid="{00000000-0002-0000-0200-000003000000}">
      <formula1>"Program Default, Custom"</formula1>
    </dataValidation>
  </dataValidations>
  <pageMargins left="0.7" right="0.7" top="0.75" bottom="0.75" header="0.3" footer="0.3"/>
  <pageSetup scale="10" fitToHeight="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4000000}">
          <x14:formula1>
            <xm:f>'LPD LookUp Tables'!$N$7:$N$21</xm:f>
          </x14:formula1>
          <xm:sqref>C27:G27</xm:sqref>
        </x14:dataValidation>
        <x14:dataValidation type="list" allowBlank="1" showInputMessage="1" showErrorMessage="1" xr:uid="{00000000-0002-0000-0200-000005000000}">
          <x14:formula1>
            <xm:f>'LPD LookUp Tables'!$C$7:$C$39</xm:f>
          </x14:formula1>
          <xm:sqref>C26:G26</xm:sqref>
        </x14:dataValidation>
        <x14:dataValidation type="list" allowBlank="1" showInputMessage="1" showErrorMessage="1" xr:uid="{00000000-0002-0000-0200-000006000000}">
          <x14:formula1>
            <xm:f>'LookUp Tables'!$O$6:$O$7</xm:f>
          </x14:formula1>
          <xm:sqref>C36:G36</xm:sqref>
        </x14:dataValidation>
        <x14:dataValidation type="list" allowBlank="1" showInputMessage="1" showErrorMessage="1" xr:uid="{00000000-0002-0000-0200-000007000000}">
          <x14:formula1>
            <xm:f>'LookUp Tables'!$G$7:$G$14</xm:f>
          </x14:formula1>
          <xm:sqref>C39:G39 C37:G37</xm:sqref>
        </x14:dataValidation>
        <x14:dataValidation type="list" allowBlank="1" showInputMessage="1" showErrorMessage="1" xr:uid="{00000000-0002-0000-0200-000008000000}">
          <x14:formula1>
            <xm:f>'LookUp Tables'!$P$7:$P$21</xm:f>
          </x14:formula1>
          <xm:sqref>C33:G33</xm:sqref>
        </x14:dataValidation>
        <x14:dataValidation type="list" allowBlank="1" showInputMessage="1" showErrorMessage="1" xr:uid="{00000000-0002-0000-0200-000009000000}">
          <x14:formula1>
            <xm:f>'LookUp Tables'!$B$7:$B$23</xm:f>
          </x14:formula1>
          <xm:sqref>C15:G15</xm:sqref>
        </x14:dataValidation>
        <x14:dataValidation type="list" allowBlank="1" showInputMessage="1" showErrorMessage="1" xr:uid="{00000000-0002-0000-0200-00000A000000}">
          <x14:formula1>
            <xm:f>'LookUp Tables'!$G$19:$G$23</xm:f>
          </x14:formula1>
          <xm:sqref>C16:G16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FBA79-3E58-4646-96CD-2FA842F1BF25}">
  <dimension ref="A1:K2"/>
  <sheetViews>
    <sheetView workbookViewId="0">
      <selection activeCell="I22" sqref="I22"/>
    </sheetView>
  </sheetViews>
  <sheetFormatPr defaultColWidth="10.42578125" defaultRowHeight="15"/>
  <cols>
    <col min="1" max="16384" width="10.42578125" style="7"/>
  </cols>
  <sheetData>
    <row r="1" spans="1:11">
      <c r="A1" s="266" t="s">
        <v>371</v>
      </c>
      <c r="B1" s="266"/>
      <c r="C1" s="266"/>
      <c r="D1" s="266"/>
      <c r="E1" s="266"/>
      <c r="F1" s="266"/>
      <c r="G1" s="266"/>
      <c r="H1" s="266"/>
      <c r="I1" s="266"/>
      <c r="J1" s="266"/>
      <c r="K1" s="266"/>
    </row>
    <row r="2" spans="1:11">
      <c r="A2" s="266"/>
      <c r="B2" s="266"/>
      <c r="C2" s="266"/>
      <c r="D2" s="266"/>
      <c r="E2" s="266"/>
      <c r="F2" s="266"/>
      <c r="G2" s="266"/>
      <c r="H2" s="266"/>
      <c r="I2" s="266"/>
      <c r="J2" s="266"/>
      <c r="K2" s="266"/>
    </row>
  </sheetData>
  <mergeCells count="1">
    <mergeCell ref="A1: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topLeftCell="A7" zoomScaleNormal="100" workbookViewId="0">
      <selection activeCell="C16" sqref="C16"/>
    </sheetView>
  </sheetViews>
  <sheetFormatPr defaultRowHeight="14.25"/>
  <cols>
    <col min="1" max="1" width="11.85546875" style="81" bestFit="1" customWidth="1"/>
    <col min="2" max="2" width="25.28515625" style="81" bestFit="1" customWidth="1"/>
    <col min="3" max="3" width="10.7109375" style="81" customWidth="1"/>
    <col min="4" max="4" width="12.42578125" style="81" customWidth="1"/>
    <col min="5" max="5" width="16.140625" style="81" bestFit="1" customWidth="1"/>
    <col min="6" max="6" width="12.140625" style="81" customWidth="1"/>
    <col min="7" max="7" width="17.85546875" style="81" customWidth="1"/>
    <col min="8" max="8" width="11.140625" style="81" customWidth="1"/>
    <col min="9" max="9" width="18.28515625" style="81" bestFit="1" customWidth="1"/>
    <col min="10" max="16" width="11.28515625" style="81" customWidth="1"/>
    <col min="17" max="16384" width="9.140625" style="81"/>
  </cols>
  <sheetData>
    <row r="1" spans="1:9" ht="15" customHeight="1">
      <c r="A1" s="267" t="s">
        <v>357</v>
      </c>
      <c r="B1" s="267"/>
      <c r="C1" s="267"/>
      <c r="D1" s="267"/>
      <c r="E1" s="267"/>
      <c r="F1" s="267"/>
      <c r="G1" s="267"/>
      <c r="H1" s="267"/>
      <c r="I1" s="267"/>
    </row>
    <row r="2" spans="1:9">
      <c r="A2" s="267"/>
      <c r="B2" s="267"/>
      <c r="C2" s="267"/>
      <c r="D2" s="267"/>
      <c r="E2" s="267"/>
      <c r="F2" s="267"/>
      <c r="G2" s="267"/>
      <c r="H2" s="267"/>
      <c r="I2" s="267"/>
    </row>
    <row r="3" spans="1:9">
      <c r="A3" s="267"/>
      <c r="B3" s="267"/>
      <c r="C3" s="267"/>
      <c r="D3" s="267"/>
      <c r="E3" s="267"/>
      <c r="F3" s="267"/>
      <c r="G3" s="267"/>
      <c r="H3" s="267"/>
      <c r="I3" s="267"/>
    </row>
    <row r="4" spans="1:9">
      <c r="A4" s="72"/>
      <c r="B4" s="72"/>
      <c r="C4" s="72"/>
      <c r="D4" s="72"/>
      <c r="E4" s="72"/>
      <c r="F4" s="72"/>
      <c r="G4" s="72"/>
      <c r="H4" s="72"/>
      <c r="I4" s="72"/>
    </row>
    <row r="5" spans="1:9" ht="28.5">
      <c r="A5" s="268" t="s">
        <v>358</v>
      </c>
      <c r="B5" s="73" t="s">
        <v>362</v>
      </c>
      <c r="C5" s="82">
        <v>25000</v>
      </c>
      <c r="H5" s="74" t="s">
        <v>356</v>
      </c>
      <c r="I5" s="74" t="s">
        <v>356</v>
      </c>
    </row>
    <row r="6" spans="1:9">
      <c r="A6" s="268"/>
      <c r="B6" s="74" t="s">
        <v>363</v>
      </c>
      <c r="C6" s="80">
        <f>I6/H6*C5</f>
        <v>13923.076923076924</v>
      </c>
      <c r="G6" s="83"/>
      <c r="H6" s="84">
        <f>SUM(Table1[Total LPD Watts])</f>
        <v>16250</v>
      </c>
      <c r="I6" s="84">
        <f>SUM(Table1[Custom LPD Watts])</f>
        <v>9050</v>
      </c>
    </row>
    <row r="8" spans="1:9" s="89" customFormat="1" ht="42.75">
      <c r="A8" s="85" t="s">
        <v>342</v>
      </c>
      <c r="B8" s="86" t="s">
        <v>343</v>
      </c>
      <c r="C8" s="86" t="s">
        <v>344</v>
      </c>
      <c r="D8" s="86" t="s">
        <v>345</v>
      </c>
      <c r="E8" s="86" t="s">
        <v>346</v>
      </c>
      <c r="F8" s="86" t="s">
        <v>347</v>
      </c>
      <c r="G8" s="86" t="s">
        <v>348</v>
      </c>
      <c r="H8" s="87" t="s">
        <v>350</v>
      </c>
      <c r="I8" s="88" t="s">
        <v>349</v>
      </c>
    </row>
    <row r="9" spans="1:9">
      <c r="A9" s="90" t="s">
        <v>359</v>
      </c>
      <c r="B9" s="75" t="s">
        <v>354</v>
      </c>
      <c r="C9" s="75">
        <v>200</v>
      </c>
      <c r="D9" s="75">
        <v>36</v>
      </c>
      <c r="E9" s="75" t="s">
        <v>352</v>
      </c>
      <c r="F9" s="75" t="s">
        <v>355</v>
      </c>
      <c r="G9" s="75" t="s">
        <v>41</v>
      </c>
      <c r="H9" s="75">
        <f>IF(Table1[[#This Row],[Is this fixture part of the interior LPD Calculation?]]="Yes", Table1[[#This Row],[Fixture Qty.]]*Table1[[#This Row],[Fixture Wattage]], 0)</f>
        <v>7200</v>
      </c>
      <c r="I9" s="91">
        <f>IF(Table1[[#This Row],[Incentive Category]]="Custom", Table1[[#This Row],[Total LPD Watts]], 0)</f>
        <v>0</v>
      </c>
    </row>
    <row r="10" spans="1:9">
      <c r="A10" s="92" t="s">
        <v>360</v>
      </c>
      <c r="B10" s="76" t="s">
        <v>291</v>
      </c>
      <c r="C10" s="76">
        <v>10</v>
      </c>
      <c r="D10" s="76">
        <v>458</v>
      </c>
      <c r="E10" s="76" t="s">
        <v>353</v>
      </c>
      <c r="F10" s="76" t="s">
        <v>39</v>
      </c>
      <c r="G10" s="76" t="s">
        <v>42</v>
      </c>
      <c r="H10" s="76">
        <f>IF(Table1[[#This Row],[Is this fixture part of the interior LPD Calculation?]]="Yes", Table1[[#This Row],[Fixture Qty.]]*Table1[[#This Row],[Fixture Wattage]], 0)</f>
        <v>0</v>
      </c>
      <c r="I10" s="93">
        <f>IF(Table1[[#This Row],[Incentive Category]]="Custom", Table1[[#This Row],[Total LPD Watts]], 0)</f>
        <v>0</v>
      </c>
    </row>
    <row r="11" spans="1:9">
      <c r="A11" s="94" t="s">
        <v>361</v>
      </c>
      <c r="B11" s="77" t="s">
        <v>351</v>
      </c>
      <c r="C11" s="77">
        <v>50</v>
      </c>
      <c r="D11" s="77">
        <v>181</v>
      </c>
      <c r="E11" s="77" t="s">
        <v>9</v>
      </c>
      <c r="F11" s="77" t="s">
        <v>355</v>
      </c>
      <c r="G11" s="77" t="s">
        <v>41</v>
      </c>
      <c r="H11" s="77">
        <f>IF(Table1[[#This Row],[Is this fixture part of the interior LPD Calculation?]]="Yes", Table1[[#This Row],[Fixture Qty.]]*Table1[[#This Row],[Fixture Wattage]], 0)</f>
        <v>9050</v>
      </c>
      <c r="I11" s="95">
        <f>IF(Table1[[#This Row],[Incentive Category]]="Custom", Table1[[#This Row],[Total LPD Watts]], 0)</f>
        <v>9050</v>
      </c>
    </row>
    <row r="13" spans="1:9" ht="15.75">
      <c r="A13" s="269" t="s">
        <v>364</v>
      </c>
      <c r="B13" s="269"/>
      <c r="C13" s="269"/>
      <c r="D13" s="269"/>
      <c r="E13" s="269"/>
      <c r="F13" s="269"/>
      <c r="G13" s="269"/>
      <c r="H13" s="269"/>
      <c r="I13" s="269"/>
    </row>
    <row r="14" spans="1:9" ht="28.5">
      <c r="B14" s="73" t="s">
        <v>362</v>
      </c>
      <c r="C14" s="96"/>
      <c r="H14" s="97" t="s">
        <v>356</v>
      </c>
      <c r="I14" s="97" t="s">
        <v>356</v>
      </c>
    </row>
    <row r="15" spans="1:9">
      <c r="B15" s="74" t="s">
        <v>363</v>
      </c>
      <c r="C15" s="80" t="e">
        <f>I15/H15*C14</f>
        <v>#DIV/0!</v>
      </c>
      <c r="G15" s="83"/>
      <c r="H15" s="80">
        <f>SUM(Table13[Total LPD Watts])</f>
        <v>0</v>
      </c>
      <c r="I15" s="80">
        <f>SUM(Table13[Custom LPD Watts])</f>
        <v>0</v>
      </c>
    </row>
    <row r="17" spans="1:9" ht="42.75">
      <c r="A17" s="98" t="s">
        <v>342</v>
      </c>
      <c r="B17" s="99" t="s">
        <v>343</v>
      </c>
      <c r="C17" s="99" t="s">
        <v>344</v>
      </c>
      <c r="D17" s="99" t="s">
        <v>345</v>
      </c>
      <c r="E17" s="99" t="s">
        <v>346</v>
      </c>
      <c r="F17" s="99" t="s">
        <v>347</v>
      </c>
      <c r="G17" s="99" t="s">
        <v>348</v>
      </c>
      <c r="H17" s="87" t="s">
        <v>350</v>
      </c>
      <c r="I17" s="88" t="s">
        <v>349</v>
      </c>
    </row>
    <row r="18" spans="1:9">
      <c r="A18" s="100"/>
      <c r="B18" s="78"/>
      <c r="C18" s="78"/>
      <c r="D18" s="78"/>
      <c r="E18" s="78"/>
      <c r="F18" s="78"/>
      <c r="G18" s="78"/>
      <c r="H18" s="78">
        <f>IF(Table13[[#This Row],[Is this fixture part of the interior LPD Calculation?]]="Yes", Table13[[#This Row],[Fixture Qty.]]*Table13[[#This Row],[Fixture Wattage]], 0)</f>
        <v>0</v>
      </c>
      <c r="I18" s="101">
        <f>IF(Table13[[#This Row],[Incentive Category]]="Custom", Table13[[#This Row],[Total LPD Watts]], 0)</f>
        <v>0</v>
      </c>
    </row>
    <row r="19" spans="1:9">
      <c r="A19" s="102"/>
      <c r="B19" s="74"/>
      <c r="C19" s="74"/>
      <c r="D19" s="74"/>
      <c r="E19" s="74"/>
      <c r="F19" s="74"/>
      <c r="G19" s="74"/>
      <c r="H19" s="74">
        <f>IF(Table13[[#This Row],[Is this fixture part of the interior LPD Calculation?]]="Yes", Table13[[#This Row],[Fixture Qty.]]*Table13[[#This Row],[Fixture Wattage]], 0)</f>
        <v>0</v>
      </c>
      <c r="I19" s="103">
        <f>IF(Table13[[#This Row],[Incentive Category]]="Custom", Table13[[#This Row],[Total LPD Watts]], 0)</f>
        <v>0</v>
      </c>
    </row>
    <row r="20" spans="1:9">
      <c r="A20" s="100"/>
      <c r="B20" s="78"/>
      <c r="C20" s="78"/>
      <c r="D20" s="78"/>
      <c r="E20" s="78"/>
      <c r="F20" s="78"/>
      <c r="G20" s="78"/>
      <c r="H20" s="78">
        <f>IF(Table13[[#This Row],[Is this fixture part of the interior LPD Calculation?]]="Yes", Table13[[#This Row],[Fixture Qty.]]*Table13[[#This Row],[Fixture Wattage]], 0)</f>
        <v>0</v>
      </c>
      <c r="I20" s="101">
        <f>IF(Table13[[#This Row],[Incentive Category]]="Custom", Table13[[#This Row],[Total LPD Watts]], 0)</f>
        <v>0</v>
      </c>
    </row>
    <row r="21" spans="1:9">
      <c r="A21" s="102"/>
      <c r="B21" s="74"/>
      <c r="C21" s="74"/>
      <c r="D21" s="74"/>
      <c r="E21" s="74"/>
      <c r="F21" s="74"/>
      <c r="G21" s="74"/>
      <c r="H21" s="74">
        <f>IF(Table13[[#This Row],[Is this fixture part of the interior LPD Calculation?]]="Yes", Table13[[#This Row],[Fixture Qty.]]*Table13[[#This Row],[Fixture Wattage]], 0)</f>
        <v>0</v>
      </c>
      <c r="I21" s="103">
        <f>IF(Table13[[#This Row],[Incentive Category]]="Custom", Table13[[#This Row],[Total LPD Watts]], 0)</f>
        <v>0</v>
      </c>
    </row>
    <row r="22" spans="1:9">
      <c r="A22" s="100"/>
      <c r="B22" s="78"/>
      <c r="C22" s="78"/>
      <c r="D22" s="78"/>
      <c r="E22" s="78"/>
      <c r="F22" s="78"/>
      <c r="G22" s="78"/>
      <c r="H22" s="78">
        <f>IF(Table13[[#This Row],[Is this fixture part of the interior LPD Calculation?]]="Yes", Table13[[#This Row],[Fixture Qty.]]*Table13[[#This Row],[Fixture Wattage]], 0)</f>
        <v>0</v>
      </c>
      <c r="I22" s="101">
        <f>IF(Table13[[#This Row],[Incentive Category]]="Custom", Table13[[#This Row],[Total LPD Watts]], 0)</f>
        <v>0</v>
      </c>
    </row>
    <row r="23" spans="1:9">
      <c r="A23" s="102"/>
      <c r="B23" s="74"/>
      <c r="C23" s="74"/>
      <c r="D23" s="74"/>
      <c r="E23" s="74"/>
      <c r="F23" s="74"/>
      <c r="G23" s="74"/>
      <c r="H23" s="74">
        <f>IF(Table13[[#This Row],[Is this fixture part of the interior LPD Calculation?]]="Yes", Table13[[#This Row],[Fixture Qty.]]*Table13[[#This Row],[Fixture Wattage]], 0)</f>
        <v>0</v>
      </c>
      <c r="I23" s="103">
        <f>IF(Table13[[#This Row],[Incentive Category]]="Custom", Table13[[#This Row],[Total LPD Watts]], 0)</f>
        <v>0</v>
      </c>
    </row>
    <row r="24" spans="1:9">
      <c r="A24" s="100"/>
      <c r="B24" s="78"/>
      <c r="C24" s="78"/>
      <c r="D24" s="78"/>
      <c r="E24" s="78"/>
      <c r="F24" s="78"/>
      <c r="G24" s="78"/>
      <c r="H24" s="78">
        <f>IF(Table13[[#This Row],[Is this fixture part of the interior LPD Calculation?]]="Yes", Table13[[#This Row],[Fixture Qty.]]*Table13[[#This Row],[Fixture Wattage]], 0)</f>
        <v>0</v>
      </c>
      <c r="I24" s="101">
        <f>IF(Table13[[#This Row],[Incentive Category]]="Custom", Table13[[#This Row],[Total LPD Watts]], 0)</f>
        <v>0</v>
      </c>
    </row>
    <row r="25" spans="1:9">
      <c r="A25" s="102"/>
      <c r="B25" s="74"/>
      <c r="C25" s="74"/>
      <c r="D25" s="74"/>
      <c r="E25" s="74"/>
      <c r="F25" s="74"/>
      <c r="G25" s="74"/>
      <c r="H25" s="74">
        <f>IF(Table13[[#This Row],[Is this fixture part of the interior LPD Calculation?]]="Yes", Table13[[#This Row],[Fixture Qty.]]*Table13[[#This Row],[Fixture Wattage]], 0)</f>
        <v>0</v>
      </c>
      <c r="I25" s="103">
        <f>IF(Table13[[#This Row],[Incentive Category]]="Custom", Table13[[#This Row],[Total LPD Watts]], 0)</f>
        <v>0</v>
      </c>
    </row>
    <row r="26" spans="1:9">
      <c r="A26" s="100"/>
      <c r="B26" s="78"/>
      <c r="C26" s="78"/>
      <c r="D26" s="78"/>
      <c r="E26" s="78"/>
      <c r="F26" s="78"/>
      <c r="G26" s="78"/>
      <c r="H26" s="78">
        <f>IF(Table13[[#This Row],[Is this fixture part of the interior LPD Calculation?]]="Yes", Table13[[#This Row],[Fixture Qty.]]*Table13[[#This Row],[Fixture Wattage]], 0)</f>
        <v>0</v>
      </c>
      <c r="I26" s="101">
        <f>IF(Table13[[#This Row],[Incentive Category]]="Custom", Table13[[#This Row],[Total LPD Watts]], 0)</f>
        <v>0</v>
      </c>
    </row>
    <row r="27" spans="1:9">
      <c r="A27" s="102"/>
      <c r="B27" s="74"/>
      <c r="C27" s="74"/>
      <c r="D27" s="74"/>
      <c r="E27" s="74"/>
      <c r="F27" s="74"/>
      <c r="G27" s="74"/>
      <c r="H27" s="74">
        <f>IF(Table13[[#This Row],[Is this fixture part of the interior LPD Calculation?]]="Yes", Table13[[#This Row],[Fixture Qty.]]*Table13[[#This Row],[Fixture Wattage]], 0)</f>
        <v>0</v>
      </c>
      <c r="I27" s="103">
        <f>IF(Table13[[#This Row],[Incentive Category]]="Custom", Table13[[#This Row],[Total LPD Watts]], 0)</f>
        <v>0</v>
      </c>
    </row>
    <row r="28" spans="1:9">
      <c r="A28" s="100"/>
      <c r="B28" s="78"/>
      <c r="C28" s="78"/>
      <c r="D28" s="78"/>
      <c r="E28" s="78"/>
      <c r="F28" s="78"/>
      <c r="G28" s="78"/>
      <c r="H28" s="78">
        <f>IF(Table13[[#This Row],[Is this fixture part of the interior LPD Calculation?]]="Yes", Table13[[#This Row],[Fixture Qty.]]*Table13[[#This Row],[Fixture Wattage]], 0)</f>
        <v>0</v>
      </c>
      <c r="I28" s="101">
        <f>IF(Table13[[#This Row],[Incentive Category]]="Custom", Table13[[#This Row],[Total LPD Watts]], 0)</f>
        <v>0</v>
      </c>
    </row>
    <row r="29" spans="1:9">
      <c r="A29" s="102"/>
      <c r="B29" s="74"/>
      <c r="C29" s="74"/>
      <c r="D29" s="74"/>
      <c r="E29" s="74"/>
      <c r="F29" s="74"/>
      <c r="G29" s="74"/>
      <c r="H29" s="74">
        <f>IF(Table13[[#This Row],[Is this fixture part of the interior LPD Calculation?]]="Yes", Table13[[#This Row],[Fixture Qty.]]*Table13[[#This Row],[Fixture Wattage]], 0)</f>
        <v>0</v>
      </c>
      <c r="I29" s="103">
        <f>IF(Table13[[#This Row],[Incentive Category]]="Custom", Table13[[#This Row],[Total LPD Watts]], 0)</f>
        <v>0</v>
      </c>
    </row>
    <row r="30" spans="1:9">
      <c r="A30" s="100"/>
      <c r="B30" s="78"/>
      <c r="C30" s="78"/>
      <c r="D30" s="78"/>
      <c r="E30" s="78"/>
      <c r="F30" s="78"/>
      <c r="G30" s="78"/>
      <c r="H30" s="78">
        <f>IF(Table13[[#This Row],[Is this fixture part of the interior LPD Calculation?]]="Yes", Table13[[#This Row],[Fixture Qty.]]*Table13[[#This Row],[Fixture Wattage]], 0)</f>
        <v>0</v>
      </c>
      <c r="I30" s="101">
        <f>IF(Table13[[#This Row],[Incentive Category]]="Custom", Table13[[#This Row],[Total LPD Watts]], 0)</f>
        <v>0</v>
      </c>
    </row>
    <row r="31" spans="1:9">
      <c r="A31" s="102"/>
      <c r="B31" s="74"/>
      <c r="C31" s="74"/>
      <c r="D31" s="74"/>
      <c r="E31" s="74"/>
      <c r="F31" s="74"/>
      <c r="G31" s="74"/>
      <c r="H31" s="74">
        <f>IF(Table13[[#This Row],[Is this fixture part of the interior LPD Calculation?]]="Yes", Table13[[#This Row],[Fixture Qty.]]*Table13[[#This Row],[Fixture Wattage]], 0)</f>
        <v>0</v>
      </c>
      <c r="I31" s="103">
        <f>IF(Table13[[#This Row],[Incentive Category]]="Custom", Table13[[#This Row],[Total LPD Watts]], 0)</f>
        <v>0</v>
      </c>
    </row>
    <row r="32" spans="1:9">
      <c r="A32" s="100"/>
      <c r="B32" s="78"/>
      <c r="C32" s="78"/>
      <c r="D32" s="78"/>
      <c r="E32" s="78"/>
      <c r="F32" s="78"/>
      <c r="G32" s="78"/>
      <c r="H32" s="78">
        <f>IF(Table13[[#This Row],[Is this fixture part of the interior LPD Calculation?]]="Yes", Table13[[#This Row],[Fixture Qty.]]*Table13[[#This Row],[Fixture Wattage]], 0)</f>
        <v>0</v>
      </c>
      <c r="I32" s="101">
        <f>IF(Table13[[#This Row],[Incentive Category]]="Custom", Table13[[#This Row],[Total LPD Watts]], 0)</f>
        <v>0</v>
      </c>
    </row>
    <row r="33" spans="1:9">
      <c r="A33" s="102"/>
      <c r="B33" s="74"/>
      <c r="C33" s="74"/>
      <c r="D33" s="74"/>
      <c r="E33" s="74"/>
      <c r="F33" s="74"/>
      <c r="G33" s="74"/>
      <c r="H33" s="74">
        <f>IF(Table13[[#This Row],[Is this fixture part of the interior LPD Calculation?]]="Yes", Table13[[#This Row],[Fixture Qty.]]*Table13[[#This Row],[Fixture Wattage]], 0)</f>
        <v>0</v>
      </c>
      <c r="I33" s="103">
        <f>IF(Table13[[#This Row],[Incentive Category]]="Custom", Table13[[#This Row],[Total LPD Watts]], 0)</f>
        <v>0</v>
      </c>
    </row>
    <row r="34" spans="1:9">
      <c r="A34" s="100"/>
      <c r="B34" s="78"/>
      <c r="C34" s="78"/>
      <c r="D34" s="78"/>
      <c r="E34" s="78"/>
      <c r="F34" s="78"/>
      <c r="G34" s="78"/>
      <c r="H34" s="78">
        <f>IF(Table13[[#This Row],[Is this fixture part of the interior LPD Calculation?]]="Yes", Table13[[#This Row],[Fixture Qty.]]*Table13[[#This Row],[Fixture Wattage]], 0)</f>
        <v>0</v>
      </c>
      <c r="I34" s="101">
        <f>IF(Table13[[#This Row],[Incentive Category]]="Custom", Table13[[#This Row],[Total LPD Watts]], 0)</f>
        <v>0</v>
      </c>
    </row>
    <row r="35" spans="1:9">
      <c r="A35" s="102"/>
      <c r="B35" s="74"/>
      <c r="C35" s="74"/>
      <c r="D35" s="74"/>
      <c r="E35" s="74"/>
      <c r="F35" s="74"/>
      <c r="G35" s="74"/>
      <c r="H35" s="74">
        <f>IF(Table13[[#This Row],[Is this fixture part of the interior LPD Calculation?]]="Yes", Table13[[#This Row],[Fixture Qty.]]*Table13[[#This Row],[Fixture Wattage]], 0)</f>
        <v>0</v>
      </c>
      <c r="I35" s="103">
        <f>IF(Table13[[#This Row],[Incentive Category]]="Custom", Table13[[#This Row],[Total LPD Watts]], 0)</f>
        <v>0</v>
      </c>
    </row>
    <row r="36" spans="1:9">
      <c r="A36" s="100"/>
      <c r="B36" s="78"/>
      <c r="C36" s="78"/>
      <c r="D36" s="78"/>
      <c r="E36" s="78"/>
      <c r="F36" s="78"/>
      <c r="G36" s="78"/>
      <c r="H36" s="78">
        <f>IF(Table13[[#This Row],[Is this fixture part of the interior LPD Calculation?]]="Yes", Table13[[#This Row],[Fixture Qty.]]*Table13[[#This Row],[Fixture Wattage]], 0)</f>
        <v>0</v>
      </c>
      <c r="I36" s="101">
        <f>IF(Table13[[#This Row],[Incentive Category]]="Custom", Table13[[#This Row],[Total LPD Watts]], 0)</f>
        <v>0</v>
      </c>
    </row>
    <row r="37" spans="1:9">
      <c r="A37" s="102"/>
      <c r="B37" s="74"/>
      <c r="C37" s="74"/>
      <c r="D37" s="74"/>
      <c r="E37" s="74"/>
      <c r="F37" s="74"/>
      <c r="G37" s="74"/>
      <c r="H37" s="74">
        <f>IF(Table13[[#This Row],[Is this fixture part of the interior LPD Calculation?]]="Yes", Table13[[#This Row],[Fixture Qty.]]*Table13[[#This Row],[Fixture Wattage]], 0)</f>
        <v>0</v>
      </c>
      <c r="I37" s="103">
        <f>IF(Table13[[#This Row],[Incentive Category]]="Custom", Table13[[#This Row],[Total LPD Watts]], 0)</f>
        <v>0</v>
      </c>
    </row>
    <row r="38" spans="1:9">
      <c r="A38" s="100"/>
      <c r="B38" s="78"/>
      <c r="C38" s="78"/>
      <c r="D38" s="78"/>
      <c r="E38" s="78"/>
      <c r="F38" s="78"/>
      <c r="G38" s="78"/>
      <c r="H38" s="78">
        <f>IF(Table13[[#This Row],[Is this fixture part of the interior LPD Calculation?]]="Yes", Table13[[#This Row],[Fixture Qty.]]*Table13[[#This Row],[Fixture Wattage]], 0)</f>
        <v>0</v>
      </c>
      <c r="I38" s="101">
        <f>IF(Table13[[#This Row],[Incentive Category]]="Custom", Table13[[#This Row],[Total LPD Watts]], 0)</f>
        <v>0</v>
      </c>
    </row>
    <row r="39" spans="1:9">
      <c r="A39" s="102"/>
      <c r="B39" s="74"/>
      <c r="C39" s="74"/>
      <c r="D39" s="74"/>
      <c r="E39" s="74"/>
      <c r="F39" s="74"/>
      <c r="G39" s="74"/>
      <c r="H39" s="74">
        <f>IF(Table13[[#This Row],[Is this fixture part of the interior LPD Calculation?]]="Yes", Table13[[#This Row],[Fixture Qty.]]*Table13[[#This Row],[Fixture Wattage]], 0)</f>
        <v>0</v>
      </c>
      <c r="I39" s="103">
        <f>IF(Table13[[#This Row],[Incentive Category]]="Custom", Table13[[#This Row],[Total LPD Watts]], 0)</f>
        <v>0</v>
      </c>
    </row>
    <row r="40" spans="1:9">
      <c r="A40" s="100"/>
      <c r="B40" s="78"/>
      <c r="C40" s="78"/>
      <c r="D40" s="78"/>
      <c r="E40" s="78"/>
      <c r="F40" s="78"/>
      <c r="G40" s="78"/>
      <c r="H40" s="78">
        <f>IF(Table13[[#This Row],[Is this fixture part of the interior LPD Calculation?]]="Yes", Table13[[#This Row],[Fixture Qty.]]*Table13[[#This Row],[Fixture Wattage]], 0)</f>
        <v>0</v>
      </c>
      <c r="I40" s="101">
        <f>IF(Table13[[#This Row],[Incentive Category]]="Custom", Table13[[#This Row],[Total LPD Watts]], 0)</f>
        <v>0</v>
      </c>
    </row>
    <row r="41" spans="1:9">
      <c r="A41" s="102"/>
      <c r="B41" s="74"/>
      <c r="C41" s="74"/>
      <c r="D41" s="74"/>
      <c r="E41" s="74"/>
      <c r="F41" s="74"/>
      <c r="G41" s="74"/>
      <c r="H41" s="74">
        <f>IF(Table13[[#This Row],[Is this fixture part of the interior LPD Calculation?]]="Yes", Table13[[#This Row],[Fixture Qty.]]*Table13[[#This Row],[Fixture Wattage]], 0)</f>
        <v>0</v>
      </c>
      <c r="I41" s="103">
        <f>IF(Table13[[#This Row],[Incentive Category]]="Custom", Table13[[#This Row],[Total LPD Watts]], 0)</f>
        <v>0</v>
      </c>
    </row>
    <row r="42" spans="1:9">
      <c r="A42" s="100"/>
      <c r="B42" s="78"/>
      <c r="C42" s="78"/>
      <c r="D42" s="78"/>
      <c r="E42" s="78"/>
      <c r="F42" s="78"/>
      <c r="G42" s="78"/>
      <c r="H42" s="78">
        <f>IF(Table13[[#This Row],[Is this fixture part of the interior LPD Calculation?]]="Yes", Table13[[#This Row],[Fixture Qty.]]*Table13[[#This Row],[Fixture Wattage]], 0)</f>
        <v>0</v>
      </c>
      <c r="I42" s="101">
        <f>IF(Table13[[#This Row],[Incentive Category]]="Custom", Table13[[#This Row],[Total LPD Watts]], 0)</f>
        <v>0</v>
      </c>
    </row>
    <row r="43" spans="1:9">
      <c r="A43" s="102"/>
      <c r="B43" s="74"/>
      <c r="C43" s="74"/>
      <c r="D43" s="74"/>
      <c r="E43" s="74"/>
      <c r="F43" s="74"/>
      <c r="G43" s="74"/>
      <c r="H43" s="74">
        <f>IF(Table13[[#This Row],[Is this fixture part of the interior LPD Calculation?]]="Yes", Table13[[#This Row],[Fixture Qty.]]*Table13[[#This Row],[Fixture Wattage]], 0)</f>
        <v>0</v>
      </c>
      <c r="I43" s="103">
        <f>IF(Table13[[#This Row],[Incentive Category]]="Custom", Table13[[#This Row],[Total LPD Watts]], 0)</f>
        <v>0</v>
      </c>
    </row>
    <row r="44" spans="1:9">
      <c r="A44" s="100"/>
      <c r="B44" s="78"/>
      <c r="C44" s="78"/>
      <c r="D44" s="78"/>
      <c r="E44" s="78"/>
      <c r="F44" s="78"/>
      <c r="G44" s="78"/>
      <c r="H44" s="78">
        <f>IF(Table13[[#This Row],[Is this fixture part of the interior LPD Calculation?]]="Yes", Table13[[#This Row],[Fixture Qty.]]*Table13[[#This Row],[Fixture Wattage]], 0)</f>
        <v>0</v>
      </c>
      <c r="I44" s="101">
        <f>IF(Table13[[#This Row],[Incentive Category]]="Custom", Table13[[#This Row],[Total LPD Watts]], 0)</f>
        <v>0</v>
      </c>
    </row>
    <row r="45" spans="1:9">
      <c r="A45" s="102"/>
      <c r="B45" s="74"/>
      <c r="C45" s="74"/>
      <c r="D45" s="74"/>
      <c r="E45" s="74"/>
      <c r="F45" s="74"/>
      <c r="G45" s="74"/>
      <c r="H45" s="74">
        <f>IF(Table13[[#This Row],[Is this fixture part of the interior LPD Calculation?]]="Yes", Table13[[#This Row],[Fixture Qty.]]*Table13[[#This Row],[Fixture Wattage]], 0)</f>
        <v>0</v>
      </c>
      <c r="I45" s="103">
        <f>IF(Table13[[#This Row],[Incentive Category]]="Custom", Table13[[#This Row],[Total LPD Watts]], 0)</f>
        <v>0</v>
      </c>
    </row>
    <row r="46" spans="1:9">
      <c r="A46" s="100"/>
      <c r="B46" s="78"/>
      <c r="C46" s="78"/>
      <c r="D46" s="78"/>
      <c r="E46" s="78"/>
      <c r="F46" s="78"/>
      <c r="G46" s="78"/>
      <c r="H46" s="78">
        <f>IF(Table13[[#This Row],[Is this fixture part of the interior LPD Calculation?]]="Yes", Table13[[#This Row],[Fixture Qty.]]*Table13[[#This Row],[Fixture Wattage]], 0)</f>
        <v>0</v>
      </c>
      <c r="I46" s="101">
        <f>IF(Table13[[#This Row],[Incentive Category]]="Custom", Table13[[#This Row],[Total LPD Watts]], 0)</f>
        <v>0</v>
      </c>
    </row>
    <row r="47" spans="1:9">
      <c r="A47" s="102"/>
      <c r="B47" s="74"/>
      <c r="C47" s="74"/>
      <c r="D47" s="74"/>
      <c r="E47" s="74"/>
      <c r="F47" s="74"/>
      <c r="G47" s="74"/>
      <c r="H47" s="74">
        <f>IF(Table13[[#This Row],[Is this fixture part of the interior LPD Calculation?]]="Yes", Table13[[#This Row],[Fixture Qty.]]*Table13[[#This Row],[Fixture Wattage]], 0)</f>
        <v>0</v>
      </c>
      <c r="I47" s="103">
        <f>IF(Table13[[#This Row],[Incentive Category]]="Custom", Table13[[#This Row],[Total LPD Watts]], 0)</f>
        <v>0</v>
      </c>
    </row>
    <row r="48" spans="1:9">
      <c r="A48" s="104"/>
      <c r="B48" s="79"/>
      <c r="C48" s="79"/>
      <c r="D48" s="79"/>
      <c r="E48" s="79"/>
      <c r="F48" s="79"/>
      <c r="G48" s="79"/>
      <c r="H48" s="79">
        <f>IF(Table13[[#This Row],[Is this fixture part of the interior LPD Calculation?]]="Yes", Table13[[#This Row],[Fixture Qty.]]*Table13[[#This Row],[Fixture Wattage]], 0)</f>
        <v>0</v>
      </c>
      <c r="I48" s="105">
        <f>IF(Table13[[#This Row],[Incentive Category]]="Custom", Table13[[#This Row],[Total LPD Watts]], 0)</f>
        <v>0</v>
      </c>
    </row>
  </sheetData>
  <mergeCells count="3">
    <mergeCell ref="A1:I3"/>
    <mergeCell ref="A5:A6"/>
    <mergeCell ref="A13:I13"/>
  </mergeCells>
  <dataValidations count="3">
    <dataValidation type="list" allowBlank="1" showInputMessage="1" showErrorMessage="1" sqref="E9:E11 E18:E48" xr:uid="{00000000-0002-0000-0300-000000000000}">
      <formula1>"Custom, Prescriptive, Does not Qualify"</formula1>
    </dataValidation>
    <dataValidation type="list" allowBlank="1" showInputMessage="1" showErrorMessage="1" sqref="F9:F11 F18:F48" xr:uid="{00000000-0002-0000-0300-000001000000}">
      <formula1>"Interior, Exterior"</formula1>
    </dataValidation>
    <dataValidation type="list" allowBlank="1" showInputMessage="1" showErrorMessage="1" sqref="G9:G11 G18:G48" xr:uid="{00000000-0002-0000-0300-000002000000}">
      <formula1>"Yes, No"</formula1>
    </dataValidation>
  </dataValidations>
  <pageMargins left="0.25" right="0.25" top="0.75" bottom="0.75" header="0.3" footer="0.3"/>
  <pageSetup orientation="landscape" r:id="rId1"/>
  <headerFooter>
    <oddHeader>&amp;LNew Construction LPD Calculation SF Estimator</oddHeader>
    <oddFooter>&amp;C&amp;P</oddFooter>
  </headerFooter>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W39"/>
  <sheetViews>
    <sheetView zoomScaleNormal="100" workbookViewId="0">
      <selection activeCell="B2" sqref="B2"/>
    </sheetView>
  </sheetViews>
  <sheetFormatPr defaultColWidth="8.85546875" defaultRowHeight="15"/>
  <cols>
    <col min="1" max="1" width="4.140625" style="106" customWidth="1"/>
    <col min="2" max="2" width="3.42578125" style="106" customWidth="1"/>
    <col min="3" max="3" width="29.5703125" style="106" bestFit="1" customWidth="1"/>
    <col min="4" max="4" width="13.5703125" style="106" bestFit="1" customWidth="1"/>
    <col min="5" max="5" width="3.28515625" style="106" customWidth="1"/>
    <col min="6" max="6" width="9.42578125" style="106" hidden="1" customWidth="1"/>
    <col min="7" max="11" width="8.140625" style="106" hidden="1" customWidth="1"/>
    <col min="12" max="12" width="0" style="106" hidden="1" customWidth="1"/>
    <col min="13" max="13" width="4.42578125" style="106" customWidth="1"/>
    <col min="14" max="14" width="62.7109375" style="106" bestFit="1" customWidth="1"/>
    <col min="15" max="15" width="27.5703125" style="106" bestFit="1" customWidth="1"/>
    <col min="16" max="16" width="12.42578125" style="106" bestFit="1" customWidth="1"/>
    <col min="17" max="17" width="8.85546875" style="106"/>
    <col min="18" max="18" width="9.85546875" style="106" hidden="1" customWidth="1"/>
    <col min="19" max="19" width="6.140625" style="106" hidden="1" customWidth="1"/>
    <col min="20" max="23" width="5.5703125" style="106" hidden="1" customWidth="1"/>
    <col min="24" max="16384" width="8.85546875" style="106"/>
  </cols>
  <sheetData>
    <row r="2" spans="2:23" ht="15" customHeight="1">
      <c r="B2" s="109" t="s">
        <v>373</v>
      </c>
    </row>
    <row r="3" spans="2:23" ht="30">
      <c r="B3" s="110" t="s">
        <v>89</v>
      </c>
    </row>
    <row r="5" spans="2:23" ht="52.5" customHeight="1">
      <c r="B5" s="271" t="s">
        <v>88</v>
      </c>
      <c r="C5" s="271"/>
      <c r="D5" s="271"/>
      <c r="F5" s="107"/>
      <c r="M5" s="271" t="s">
        <v>156</v>
      </c>
      <c r="N5" s="271"/>
      <c r="O5" s="271"/>
      <c r="P5" s="271"/>
    </row>
    <row r="6" spans="2:23" ht="15.75">
      <c r="B6" s="270" t="s">
        <v>79</v>
      </c>
      <c r="C6" s="270"/>
      <c r="D6" s="108" t="s">
        <v>80</v>
      </c>
      <c r="F6" s="111"/>
      <c r="G6" s="111">
        <v>1</v>
      </c>
      <c r="H6" s="111">
        <v>2</v>
      </c>
      <c r="I6" s="111">
        <v>3</v>
      </c>
      <c r="J6" s="111">
        <v>4</v>
      </c>
      <c r="K6" s="111">
        <v>5</v>
      </c>
      <c r="M6" s="270" t="s">
        <v>79</v>
      </c>
      <c r="N6" s="270"/>
      <c r="O6" s="108" t="s">
        <v>90</v>
      </c>
      <c r="P6" s="108" t="s">
        <v>91</v>
      </c>
      <c r="R6" s="111"/>
      <c r="S6" s="111">
        <v>1</v>
      </c>
      <c r="T6" s="111">
        <v>2</v>
      </c>
      <c r="U6" s="111">
        <v>3</v>
      </c>
      <c r="V6" s="111">
        <v>4</v>
      </c>
      <c r="W6" s="111">
        <v>5</v>
      </c>
    </row>
    <row r="7" spans="2:23">
      <c r="B7" s="112">
        <v>1</v>
      </c>
      <c r="C7" s="112" t="s">
        <v>157</v>
      </c>
      <c r="D7" s="16">
        <v>0.9</v>
      </c>
      <c r="F7" s="111" t="s">
        <v>79</v>
      </c>
      <c r="G7" s="17" t="e">
        <f>MATCH('Lighting Calculator'!C26,'LPD LookUp Tables'!$C$7:$C$38,0)</f>
        <v>#N/A</v>
      </c>
      <c r="H7" s="17" t="e">
        <f>MATCH('Lighting Calculator'!D26,'LPD LookUp Tables'!$C$7:$C$38,0)</f>
        <v>#N/A</v>
      </c>
      <c r="I7" s="17" t="e">
        <f>MATCH('Lighting Calculator'!E26,'LPD LookUp Tables'!$C$7:$C$38,0)</f>
        <v>#N/A</v>
      </c>
      <c r="J7" s="17" t="e">
        <f>MATCH('Lighting Calculator'!F26,'LPD LookUp Tables'!$C$7:$C$38,0)</f>
        <v>#N/A</v>
      </c>
      <c r="K7" s="17" t="e">
        <f>MATCH('Lighting Calculator'!G26,'LPD LookUp Tables'!$C$7:$C$38,0)</f>
        <v>#N/A</v>
      </c>
      <c r="M7" s="112">
        <v>1</v>
      </c>
      <c r="N7" s="112" t="s">
        <v>92</v>
      </c>
      <c r="O7" s="112" t="s">
        <v>74</v>
      </c>
      <c r="P7" s="21">
        <v>0.15</v>
      </c>
      <c r="R7" s="111" t="s">
        <v>79</v>
      </c>
      <c r="S7" s="17" t="e">
        <f>MATCH('Lighting Calculator'!C27,$N$7:$N$21,0)</f>
        <v>#N/A</v>
      </c>
      <c r="T7" s="17" t="e">
        <f>MATCH('Lighting Calculator'!D27,$N$7:$N$21,0)</f>
        <v>#N/A</v>
      </c>
      <c r="U7" s="17" t="e">
        <f>MATCH('Lighting Calculator'!E27,$N$7:$N$21,0)</f>
        <v>#N/A</v>
      </c>
      <c r="V7" s="17" t="e">
        <f>MATCH('Lighting Calculator'!F27,$N$7:$N$21,0)</f>
        <v>#N/A</v>
      </c>
      <c r="W7" s="17" t="e">
        <f>MATCH('Lighting Calculator'!G27,$N$7:$N$21,0)</f>
        <v>#N/A</v>
      </c>
    </row>
    <row r="8" spans="2:23">
      <c r="B8" s="112">
        <v>2</v>
      </c>
      <c r="C8" s="112" t="s">
        <v>14</v>
      </c>
      <c r="D8" s="16">
        <v>1.2</v>
      </c>
      <c r="F8" s="111" t="s">
        <v>73</v>
      </c>
      <c r="G8" s="17" t="e">
        <f>LOOKUP(G7,'LPD LookUp Tables'!$B$7:$B$38,'LPD LookUp Tables'!$D$7:$D$38)</f>
        <v>#N/A</v>
      </c>
      <c r="H8" s="17" t="e">
        <f>LOOKUP(H7,'LPD LookUp Tables'!$B$7:$B$38,'LPD LookUp Tables'!$D$7:$D$38)</f>
        <v>#N/A</v>
      </c>
      <c r="I8" s="17" t="e">
        <f>LOOKUP(I7,'LPD LookUp Tables'!$B$7:$B$38,'LPD LookUp Tables'!$D$7:$D$38)</f>
        <v>#N/A</v>
      </c>
      <c r="J8" s="17" t="e">
        <f>LOOKUP(J7,'LPD LookUp Tables'!$B$7:$B$38,'LPD LookUp Tables'!$D$7:$D$38)</f>
        <v>#N/A</v>
      </c>
      <c r="K8" s="17" t="e">
        <f>LOOKUP(K7,'LPD LookUp Tables'!$B$7:$B$38,'LPD LookUp Tables'!$D$7:$D$38)</f>
        <v>#N/A</v>
      </c>
      <c r="M8" s="112">
        <v>2</v>
      </c>
      <c r="N8" s="112" t="s">
        <v>468</v>
      </c>
      <c r="O8" s="112" t="s">
        <v>75</v>
      </c>
      <c r="P8" s="21">
        <v>1</v>
      </c>
      <c r="R8" s="111" t="s">
        <v>90</v>
      </c>
      <c r="S8" s="17" t="e">
        <f>LOOKUP(S7,$M$7:$M$21,$O$7:$O$21)</f>
        <v>#N/A</v>
      </c>
      <c r="T8" s="17" t="e">
        <f t="shared" ref="T8:W8" si="0">LOOKUP(T7,$M$7:$M$21,$O$7:$O$21)</f>
        <v>#N/A</v>
      </c>
      <c r="U8" s="17" t="e">
        <f t="shared" si="0"/>
        <v>#N/A</v>
      </c>
      <c r="V8" s="17" t="e">
        <f t="shared" si="0"/>
        <v>#N/A</v>
      </c>
      <c r="W8" s="17" t="e">
        <f t="shared" si="0"/>
        <v>#N/A</v>
      </c>
    </row>
    <row r="9" spans="2:23">
      <c r="B9" s="112">
        <v>3</v>
      </c>
      <c r="C9" s="112" t="s">
        <v>15</v>
      </c>
      <c r="D9" s="16">
        <v>1.2</v>
      </c>
      <c r="M9" s="112">
        <v>3</v>
      </c>
      <c r="N9" s="112" t="s">
        <v>469</v>
      </c>
      <c r="O9" s="112" t="s">
        <v>74</v>
      </c>
      <c r="P9" s="21">
        <v>0.2</v>
      </c>
      <c r="R9" s="111" t="s">
        <v>73</v>
      </c>
      <c r="S9" s="17" t="e">
        <f>LOOKUP(S7,$M$7:$M$21,$P$7:$P$21)</f>
        <v>#N/A</v>
      </c>
      <c r="T9" s="17" t="e">
        <f t="shared" ref="T9:W9" si="1">LOOKUP(T7,$M$7:$M$21,$P$7:$P$21)</f>
        <v>#N/A</v>
      </c>
      <c r="U9" s="17" t="e">
        <f t="shared" si="1"/>
        <v>#N/A</v>
      </c>
      <c r="V9" s="17" t="e">
        <f t="shared" si="1"/>
        <v>#N/A</v>
      </c>
      <c r="W9" s="17" t="e">
        <f t="shared" si="1"/>
        <v>#N/A</v>
      </c>
    </row>
    <row r="10" spans="2:23">
      <c r="B10" s="112">
        <v>4</v>
      </c>
      <c r="C10" s="112" t="s">
        <v>16</v>
      </c>
      <c r="D10" s="16">
        <v>1.3</v>
      </c>
      <c r="M10" s="112">
        <v>4</v>
      </c>
      <c r="N10" s="112" t="s">
        <v>40</v>
      </c>
      <c r="O10" s="112" t="s">
        <v>74</v>
      </c>
      <c r="P10" s="21">
        <v>1</v>
      </c>
    </row>
    <row r="11" spans="2:23">
      <c r="B11" s="112">
        <v>5</v>
      </c>
      <c r="C11" s="112" t="s">
        <v>17</v>
      </c>
      <c r="D11" s="16">
        <v>1.4</v>
      </c>
      <c r="M11" s="112">
        <v>5</v>
      </c>
      <c r="N11" s="112" t="s">
        <v>76</v>
      </c>
      <c r="O11" s="112" t="s">
        <v>77</v>
      </c>
      <c r="P11" s="113">
        <v>30</v>
      </c>
    </row>
    <row r="12" spans="2:23">
      <c r="B12" s="112">
        <v>6</v>
      </c>
      <c r="C12" s="112" t="s">
        <v>18</v>
      </c>
      <c r="D12" s="16">
        <v>1.6</v>
      </c>
      <c r="M12" s="112">
        <v>6</v>
      </c>
      <c r="N12" s="112" t="s">
        <v>93</v>
      </c>
      <c r="O12" s="112" t="s">
        <v>77</v>
      </c>
      <c r="P12" s="113">
        <v>20</v>
      </c>
    </row>
    <row r="13" spans="2:23">
      <c r="B13" s="112">
        <v>7</v>
      </c>
      <c r="C13" s="112" t="s">
        <v>19</v>
      </c>
      <c r="D13" s="16">
        <v>1</v>
      </c>
      <c r="M13" s="112">
        <v>7</v>
      </c>
      <c r="N13" s="112" t="s">
        <v>94</v>
      </c>
      <c r="O13" s="112" t="s">
        <v>74</v>
      </c>
      <c r="P13" s="21">
        <v>1.25</v>
      </c>
    </row>
    <row r="14" spans="2:23">
      <c r="B14" s="112">
        <v>8</v>
      </c>
      <c r="C14" s="112" t="s">
        <v>158</v>
      </c>
      <c r="D14" s="16">
        <v>1</v>
      </c>
      <c r="M14" s="112">
        <v>8</v>
      </c>
      <c r="N14" s="112" t="s">
        <v>95</v>
      </c>
      <c r="O14" s="112" t="s">
        <v>74</v>
      </c>
      <c r="P14" s="21">
        <v>0.5</v>
      </c>
    </row>
    <row r="15" spans="2:23">
      <c r="B15" s="112">
        <v>9</v>
      </c>
      <c r="C15" s="112" t="s">
        <v>20</v>
      </c>
      <c r="D15" s="16">
        <v>1.1000000000000001</v>
      </c>
      <c r="M15" s="112">
        <v>9</v>
      </c>
      <c r="N15" s="112" t="s">
        <v>78</v>
      </c>
      <c r="O15" s="112" t="s">
        <v>75</v>
      </c>
      <c r="P15" s="113">
        <v>20</v>
      </c>
    </row>
    <row r="16" spans="2:23">
      <c r="B16" s="112">
        <v>10</v>
      </c>
      <c r="C16" s="112" t="s">
        <v>21</v>
      </c>
      <c r="D16" s="16">
        <v>1</v>
      </c>
      <c r="M16" s="112">
        <v>10</v>
      </c>
      <c r="N16" s="112" t="s">
        <v>81</v>
      </c>
      <c r="O16" s="112" t="s">
        <v>74</v>
      </c>
      <c r="P16" s="21">
        <v>0.2</v>
      </c>
    </row>
    <row r="17" spans="2:16">
      <c r="B17" s="112">
        <v>11</v>
      </c>
      <c r="C17" s="112" t="s">
        <v>5</v>
      </c>
      <c r="D17" s="16">
        <v>1.2</v>
      </c>
      <c r="M17" s="112">
        <v>11</v>
      </c>
      <c r="N17" s="112" t="s">
        <v>96</v>
      </c>
      <c r="O17" s="112" t="s">
        <v>97</v>
      </c>
      <c r="P17" s="113">
        <v>270</v>
      </c>
    </row>
    <row r="18" spans="2:16">
      <c r="B18" s="112">
        <v>12</v>
      </c>
      <c r="C18" s="112" t="s">
        <v>6</v>
      </c>
      <c r="D18" s="16">
        <v>1</v>
      </c>
      <c r="M18" s="112">
        <v>12</v>
      </c>
      <c r="N18" s="112" t="s">
        <v>98</v>
      </c>
      <c r="O18" s="112" t="s">
        <v>74</v>
      </c>
      <c r="P18" s="21">
        <v>1.25</v>
      </c>
    </row>
    <row r="19" spans="2:16">
      <c r="B19" s="112">
        <v>13</v>
      </c>
      <c r="C19" s="112" t="s">
        <v>22</v>
      </c>
      <c r="D19" s="16">
        <v>1.3</v>
      </c>
      <c r="M19" s="112">
        <v>13</v>
      </c>
      <c r="N19" s="112" t="s">
        <v>99</v>
      </c>
      <c r="O19" s="112" t="s">
        <v>74</v>
      </c>
      <c r="P19" s="21">
        <v>0.5</v>
      </c>
    </row>
    <row r="20" spans="2:16">
      <c r="B20" s="112">
        <v>14</v>
      </c>
      <c r="C20" s="112" t="s">
        <v>23</v>
      </c>
      <c r="D20" s="16">
        <v>1.3</v>
      </c>
      <c r="M20" s="112">
        <v>14</v>
      </c>
      <c r="N20" s="112" t="s">
        <v>100</v>
      </c>
      <c r="O20" s="112" t="s">
        <v>101</v>
      </c>
      <c r="P20" s="113">
        <v>400</v>
      </c>
    </row>
    <row r="21" spans="2:16">
      <c r="B21" s="112">
        <v>15</v>
      </c>
      <c r="C21" s="112" t="s">
        <v>24</v>
      </c>
      <c r="D21" s="16">
        <v>1</v>
      </c>
      <c r="M21" s="112">
        <v>15</v>
      </c>
      <c r="N21" s="112" t="s">
        <v>102</v>
      </c>
      <c r="O21" s="112" t="s">
        <v>103</v>
      </c>
      <c r="P21" s="113">
        <v>800</v>
      </c>
    </row>
    <row r="22" spans="2:16">
      <c r="B22" s="112">
        <v>16</v>
      </c>
      <c r="C22" s="112" t="s">
        <v>25</v>
      </c>
      <c r="D22" s="16">
        <v>1.2</v>
      </c>
    </row>
    <row r="23" spans="2:16">
      <c r="B23" s="112">
        <v>17</v>
      </c>
      <c r="C23" s="112" t="s">
        <v>26</v>
      </c>
      <c r="D23" s="16">
        <v>0.7</v>
      </c>
    </row>
    <row r="24" spans="2:16">
      <c r="B24" s="112">
        <v>18</v>
      </c>
      <c r="C24" s="112" t="s">
        <v>27</v>
      </c>
      <c r="D24" s="16">
        <v>1.1000000000000001</v>
      </c>
    </row>
    <row r="25" spans="2:16">
      <c r="B25" s="112">
        <v>19</v>
      </c>
      <c r="C25" s="112" t="s">
        <v>28</v>
      </c>
      <c r="D25" s="16">
        <v>1</v>
      </c>
    </row>
    <row r="26" spans="2:16">
      <c r="B26" s="112">
        <v>20</v>
      </c>
      <c r="C26" s="112" t="s">
        <v>29</v>
      </c>
      <c r="D26" s="16">
        <v>0.3</v>
      </c>
    </row>
    <row r="27" spans="2:16">
      <c r="B27" s="112">
        <v>21</v>
      </c>
      <c r="C27" s="112" t="s">
        <v>30</v>
      </c>
      <c r="D27" s="16">
        <v>1</v>
      </c>
    </row>
    <row r="28" spans="2:16">
      <c r="B28" s="112">
        <v>22</v>
      </c>
      <c r="C28" s="112" t="s">
        <v>87</v>
      </c>
      <c r="D28" s="16">
        <v>1.6</v>
      </c>
    </row>
    <row r="29" spans="2:16">
      <c r="B29" s="112">
        <v>23</v>
      </c>
      <c r="C29" s="112" t="s">
        <v>13</v>
      </c>
      <c r="D29" s="16">
        <v>1</v>
      </c>
    </row>
    <row r="30" spans="2:16">
      <c r="B30" s="112">
        <v>24</v>
      </c>
      <c r="C30" s="112" t="s">
        <v>31</v>
      </c>
      <c r="D30" s="16">
        <v>1.1000000000000001</v>
      </c>
    </row>
    <row r="31" spans="2:16">
      <c r="B31" s="112">
        <v>25</v>
      </c>
      <c r="C31" s="112" t="s">
        <v>32</v>
      </c>
      <c r="D31" s="16">
        <v>1.3</v>
      </c>
    </row>
    <row r="32" spans="2:16">
      <c r="B32" s="112">
        <v>26</v>
      </c>
      <c r="C32" s="112" t="s">
        <v>33</v>
      </c>
      <c r="D32" s="16">
        <v>1.5</v>
      </c>
    </row>
    <row r="33" spans="2:4">
      <c r="B33" s="112">
        <v>27</v>
      </c>
      <c r="C33" s="112" t="s">
        <v>34</v>
      </c>
      <c r="D33" s="16">
        <v>1.2</v>
      </c>
    </row>
    <row r="34" spans="2:4">
      <c r="B34" s="112">
        <v>28</v>
      </c>
      <c r="C34" s="112" t="s">
        <v>35</v>
      </c>
      <c r="D34" s="16">
        <v>1.1000000000000001</v>
      </c>
    </row>
    <row r="35" spans="2:4">
      <c r="B35" s="112">
        <v>29</v>
      </c>
      <c r="C35" s="112" t="s">
        <v>36</v>
      </c>
      <c r="D35" s="16">
        <v>1.1000000000000001</v>
      </c>
    </row>
    <row r="36" spans="2:4">
      <c r="B36" s="112">
        <v>30</v>
      </c>
      <c r="C36" s="112" t="s">
        <v>37</v>
      </c>
      <c r="D36" s="16">
        <v>1</v>
      </c>
    </row>
    <row r="37" spans="2:4">
      <c r="B37" s="112">
        <v>31</v>
      </c>
      <c r="C37" s="112" t="s">
        <v>7</v>
      </c>
      <c r="D37" s="16">
        <v>0.8</v>
      </c>
    </row>
    <row r="38" spans="2:4">
      <c r="B38" s="112">
        <v>32</v>
      </c>
      <c r="C38" s="112" t="s">
        <v>38</v>
      </c>
      <c r="D38" s="16">
        <v>1.4</v>
      </c>
    </row>
    <row r="39" spans="2:4">
      <c r="B39" s="112"/>
      <c r="C39" s="112" t="s">
        <v>39</v>
      </c>
      <c r="D39" s="17"/>
    </row>
  </sheetData>
  <sheetProtection algorithmName="SHA-512" hashValue="qQNlx2iPzAZRZv8xX4OIYvAz3uVT28Lvy2b90skcrnTQb4XyV9I4XyNMseoYux0d/+AsZd6hIH4/7ra3Cy+xjQ==" saltValue="uzhrOj9MDPoG4keJAZ2+0Q==" spinCount="100000" sheet="1" objects="1" scenarios="1"/>
  <mergeCells count="4">
    <mergeCell ref="B6:C6"/>
    <mergeCell ref="M6:N6"/>
    <mergeCell ref="B5:D5"/>
    <mergeCell ref="M5:P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52"/>
  <sheetViews>
    <sheetView topLeftCell="A2" zoomScaleNormal="100" workbookViewId="0">
      <selection activeCell="G3" sqref="G3"/>
    </sheetView>
  </sheetViews>
  <sheetFormatPr defaultColWidth="8.85546875" defaultRowHeight="14.25"/>
  <cols>
    <col min="1" max="1" width="4.140625" style="114" customWidth="1"/>
    <col min="2" max="2" width="30.7109375" style="114" customWidth="1"/>
    <col min="3" max="3" width="24.7109375" style="114" hidden="1" customWidth="1"/>
    <col min="4" max="4" width="10.7109375" style="114" customWidth="1"/>
    <col min="5" max="5" width="9" style="114" customWidth="1"/>
    <col min="6" max="6" width="7.85546875" style="114" bestFit="1" customWidth="1"/>
    <col min="7" max="7" width="45.42578125" style="114" bestFit="1" customWidth="1"/>
    <col min="8" max="8" width="7.7109375" style="114" bestFit="1" customWidth="1"/>
    <col min="9" max="9" width="13.42578125" style="114" bestFit="1" customWidth="1"/>
    <col min="10" max="10" width="6.85546875" style="114" bestFit="1" customWidth="1"/>
    <col min="11" max="11" width="19.5703125" style="114" hidden="1" customWidth="1"/>
    <col min="12" max="13" width="0" style="114" hidden="1" customWidth="1"/>
    <col min="14" max="14" width="6.42578125" style="114" hidden="1" customWidth="1"/>
    <col min="15" max="15" width="0" style="114" hidden="1" customWidth="1"/>
    <col min="16" max="16" width="20.5703125" style="114" hidden="1" customWidth="1"/>
    <col min="17" max="17" width="0" style="114" hidden="1" customWidth="1"/>
    <col min="18" max="18" width="9" style="114" bestFit="1" customWidth="1"/>
    <col min="19" max="20" width="8.85546875" style="114"/>
    <col min="21" max="21" width="19.5703125" style="114" hidden="1" customWidth="1"/>
    <col min="22" max="24" width="0" style="114" hidden="1" customWidth="1"/>
    <col min="25" max="16384" width="8.85546875" style="114"/>
  </cols>
  <sheetData>
    <row r="3" spans="2:16" ht="18">
      <c r="B3" s="115" t="s">
        <v>373</v>
      </c>
    </row>
    <row r="4" spans="2:16" ht="33.75">
      <c r="B4" s="274" t="s">
        <v>44</v>
      </c>
      <c r="C4" s="274"/>
      <c r="D4" s="274"/>
      <c r="E4" s="274"/>
      <c r="F4" s="274"/>
      <c r="G4" s="274"/>
      <c r="H4" s="274"/>
      <c r="I4" s="274"/>
    </row>
    <row r="5" spans="2:16" ht="6" customHeight="1"/>
    <row r="6" spans="2:16" ht="15.75">
      <c r="B6" s="116" t="s">
        <v>4</v>
      </c>
      <c r="C6" s="116" t="s">
        <v>159</v>
      </c>
      <c r="D6" s="116" t="s">
        <v>45</v>
      </c>
      <c r="E6" s="116" t="s">
        <v>46</v>
      </c>
      <c r="F6" s="117"/>
      <c r="G6" s="116" t="s">
        <v>47</v>
      </c>
      <c r="H6" s="116" t="s">
        <v>48</v>
      </c>
      <c r="I6" s="116" t="s">
        <v>49</v>
      </c>
      <c r="O6" s="114" t="s">
        <v>41</v>
      </c>
      <c r="P6" s="118" t="s">
        <v>129</v>
      </c>
    </row>
    <row r="7" spans="2:16" ht="15">
      <c r="B7" s="119" t="s">
        <v>160</v>
      </c>
      <c r="C7" s="120" t="s">
        <v>53</v>
      </c>
      <c r="D7" s="121">
        <v>5544</v>
      </c>
      <c r="E7" s="122">
        <v>0.92</v>
      </c>
      <c r="F7" s="117"/>
      <c r="G7" s="119" t="s">
        <v>54</v>
      </c>
      <c r="H7" s="123">
        <v>0.3</v>
      </c>
      <c r="I7" s="122">
        <v>0.15</v>
      </c>
      <c r="O7" s="114" t="s">
        <v>42</v>
      </c>
      <c r="P7" s="124" t="s">
        <v>135</v>
      </c>
    </row>
    <row r="8" spans="2:16" ht="15">
      <c r="B8" s="119" t="s">
        <v>161</v>
      </c>
      <c r="C8" s="120" t="s">
        <v>56</v>
      </c>
      <c r="D8" s="121">
        <v>3357</v>
      </c>
      <c r="E8" s="122">
        <v>0.83</v>
      </c>
      <c r="F8" s="117"/>
      <c r="G8" s="119" t="s">
        <v>57</v>
      </c>
      <c r="H8" s="123">
        <v>0.3</v>
      </c>
      <c r="I8" s="122">
        <v>0.15</v>
      </c>
      <c r="P8" s="124" t="s">
        <v>130</v>
      </c>
    </row>
    <row r="9" spans="2:16" ht="15">
      <c r="B9" s="119" t="s">
        <v>162</v>
      </c>
      <c r="C9" s="120" t="s">
        <v>56</v>
      </c>
      <c r="D9" s="121">
        <v>3357</v>
      </c>
      <c r="E9" s="122">
        <v>0.83</v>
      </c>
      <c r="F9" s="117"/>
      <c r="G9" s="119" t="s">
        <v>60</v>
      </c>
      <c r="H9" s="123">
        <v>0.3</v>
      </c>
      <c r="I9" s="122">
        <v>0.9</v>
      </c>
      <c r="P9" s="124" t="s">
        <v>131</v>
      </c>
    </row>
    <row r="10" spans="2:16" ht="15">
      <c r="B10" s="119" t="s">
        <v>59</v>
      </c>
      <c r="C10" s="120" t="s">
        <v>59</v>
      </c>
      <c r="D10" s="121">
        <v>6802</v>
      </c>
      <c r="E10" s="122">
        <v>0.78</v>
      </c>
      <c r="F10" s="117"/>
      <c r="G10" s="119" t="s">
        <v>62</v>
      </c>
      <c r="H10" s="123">
        <v>0.3</v>
      </c>
      <c r="I10" s="122">
        <v>0.9</v>
      </c>
      <c r="P10" s="124" t="s">
        <v>132</v>
      </c>
    </row>
    <row r="11" spans="2:16" ht="15">
      <c r="B11" s="119" t="s">
        <v>163</v>
      </c>
      <c r="C11" s="120" t="s">
        <v>163</v>
      </c>
      <c r="D11" s="121">
        <v>3754</v>
      </c>
      <c r="E11" s="122">
        <v>0.37</v>
      </c>
      <c r="F11" s="117"/>
      <c r="G11" s="119" t="s">
        <v>64</v>
      </c>
      <c r="H11" s="123">
        <v>0.3</v>
      </c>
      <c r="I11" s="122">
        <v>0.77</v>
      </c>
      <c r="P11" s="124" t="s">
        <v>133</v>
      </c>
    </row>
    <row r="12" spans="2:16" ht="15">
      <c r="B12" s="119" t="s">
        <v>28</v>
      </c>
      <c r="C12" s="120" t="s">
        <v>28</v>
      </c>
      <c r="D12" s="121">
        <v>3253</v>
      </c>
      <c r="E12" s="122">
        <v>0.76</v>
      </c>
      <c r="F12" s="117"/>
      <c r="G12" s="119" t="s">
        <v>66</v>
      </c>
      <c r="H12" s="123">
        <v>0.1</v>
      </c>
      <c r="I12" s="122">
        <v>0</v>
      </c>
      <c r="P12" s="124" t="s">
        <v>134</v>
      </c>
    </row>
    <row r="13" spans="2:16" ht="15">
      <c r="B13" s="119" t="s">
        <v>67</v>
      </c>
      <c r="C13" s="120" t="s">
        <v>67</v>
      </c>
      <c r="D13" s="121">
        <v>2867</v>
      </c>
      <c r="E13" s="122">
        <v>0.65</v>
      </c>
      <c r="F13" s="117"/>
      <c r="G13" s="119" t="s">
        <v>9</v>
      </c>
      <c r="H13" s="123"/>
      <c r="I13" s="122"/>
      <c r="P13" s="124" t="s">
        <v>136</v>
      </c>
    </row>
    <row r="14" spans="2:16" ht="15">
      <c r="B14" s="119" t="s">
        <v>69</v>
      </c>
      <c r="C14" s="120" t="s">
        <v>69</v>
      </c>
      <c r="D14" s="121">
        <v>3299</v>
      </c>
      <c r="E14" s="122">
        <v>0.64</v>
      </c>
      <c r="F14" s="117"/>
      <c r="G14" s="119" t="s">
        <v>68</v>
      </c>
      <c r="H14" s="123">
        <v>0</v>
      </c>
      <c r="I14" s="122">
        <v>0</v>
      </c>
      <c r="P14" s="124" t="s">
        <v>137</v>
      </c>
    </row>
    <row r="15" spans="2:16" ht="15">
      <c r="B15" s="119" t="s">
        <v>164</v>
      </c>
      <c r="C15" s="120" t="s">
        <v>33</v>
      </c>
      <c r="D15" s="121">
        <v>4984</v>
      </c>
      <c r="E15" s="122">
        <v>0.84</v>
      </c>
      <c r="F15" s="117"/>
      <c r="G15" s="117"/>
      <c r="H15" s="117"/>
      <c r="I15" s="117"/>
      <c r="P15" s="124" t="s">
        <v>138</v>
      </c>
    </row>
    <row r="16" spans="2:16" ht="15">
      <c r="B16" s="119" t="s">
        <v>165</v>
      </c>
      <c r="C16" s="120" t="s">
        <v>33</v>
      </c>
      <c r="D16" s="121">
        <v>4984</v>
      </c>
      <c r="E16" s="122">
        <v>0.84</v>
      </c>
      <c r="F16" s="117"/>
      <c r="G16" s="117"/>
      <c r="H16" s="117"/>
      <c r="I16" s="117"/>
      <c r="P16" s="124" t="s">
        <v>139</v>
      </c>
    </row>
    <row r="17" spans="2:24" ht="15">
      <c r="B17" s="119" t="s">
        <v>7</v>
      </c>
      <c r="C17" s="120" t="s">
        <v>7</v>
      </c>
      <c r="D17" s="121">
        <v>3824</v>
      </c>
      <c r="E17" s="122">
        <v>0.79</v>
      </c>
      <c r="F17" s="117"/>
      <c r="G17" s="117"/>
      <c r="H17" s="117"/>
      <c r="I17" s="117"/>
      <c r="P17" s="124" t="s">
        <v>140</v>
      </c>
    </row>
    <row r="18" spans="2:24" ht="15.75">
      <c r="B18" s="119" t="s">
        <v>70</v>
      </c>
      <c r="C18" s="120" t="s">
        <v>70</v>
      </c>
      <c r="D18" s="121">
        <v>2379</v>
      </c>
      <c r="E18" s="122">
        <v>0.5</v>
      </c>
      <c r="F18" s="117"/>
      <c r="G18" s="116" t="s">
        <v>50</v>
      </c>
      <c r="H18" s="116" t="s">
        <v>51</v>
      </c>
      <c r="I18" s="116" t="s">
        <v>52</v>
      </c>
      <c r="P18" s="124" t="s">
        <v>141</v>
      </c>
    </row>
    <row r="19" spans="2:24" ht="15">
      <c r="B19" s="119" t="s">
        <v>71</v>
      </c>
      <c r="C19" s="120" t="s">
        <v>71</v>
      </c>
      <c r="D19" s="121">
        <v>3749</v>
      </c>
      <c r="E19" s="122">
        <v>0.68</v>
      </c>
      <c r="F19" s="117"/>
      <c r="G19" s="119" t="s">
        <v>55</v>
      </c>
      <c r="H19" s="125">
        <f>IF(OR('Lighting Calculator'!$C$15=0), V33, INDEX($B$32:$R$51, MATCH('Lighting Calculator'!$C$15,$B$32:$B$51, 0), 3*X33))</f>
        <v>0.115</v>
      </c>
      <c r="I19" s="125">
        <f>IF(OR('Lighting Calculator'!$C$15=0), W33, INDEX($B$32:$R$51, MATCH('Lighting Calculator'!$C$15,$B$32:$B$51, 0), 3*X33+1))</f>
        <v>0.2</v>
      </c>
      <c r="P19" s="124" t="s">
        <v>142</v>
      </c>
    </row>
    <row r="20" spans="2:24" ht="15">
      <c r="B20" s="119" t="s">
        <v>166</v>
      </c>
      <c r="C20" s="120" t="s">
        <v>166</v>
      </c>
      <c r="D20" s="121">
        <v>2857</v>
      </c>
      <c r="E20" s="122">
        <v>0.76</v>
      </c>
      <c r="F20" s="117"/>
      <c r="G20" s="119" t="s">
        <v>58</v>
      </c>
      <c r="H20" s="125">
        <f>IF(OR('Lighting Calculator'!$C$15=0), V34, INDEX($B$32:$R$51, MATCH('Lighting Calculator'!$C$15,$B$32:$B$51, 0), 3*X34))</f>
        <v>-0.15</v>
      </c>
      <c r="I20" s="125">
        <f>IF(OR('Lighting Calculator'!$C$15=0), W34, INDEX($B$32:$R$51, MATCH('Lighting Calculator'!$C$15,$B$32:$B$51, 0), 3*X34+1))</f>
        <v>0.2</v>
      </c>
      <c r="P20" s="124" t="s">
        <v>143</v>
      </c>
    </row>
    <row r="21" spans="2:24" ht="15">
      <c r="B21" s="119" t="s">
        <v>185</v>
      </c>
      <c r="C21" s="120" t="s">
        <v>167</v>
      </c>
      <c r="D21" s="121">
        <v>4730</v>
      </c>
      <c r="E21" s="122">
        <v>0.76</v>
      </c>
      <c r="F21" s="117"/>
      <c r="G21" s="119" t="s">
        <v>61</v>
      </c>
      <c r="H21" s="125">
        <f>IF(OR('Lighting Calculator'!$C$15=0), V35, INDEX($B$32:$R$51, MATCH('Lighting Calculator'!$C$15,$B$32:$B$51, 0), 3*X35))</f>
        <v>-0.35699999999999998</v>
      </c>
      <c r="I21" s="125">
        <f>IF(OR('Lighting Calculator'!$C$15=0), W35, INDEX($B$32:$R$51, MATCH('Lighting Calculator'!$C$15,$B$32:$B$51, 0), 3*X35+1))</f>
        <v>0.185</v>
      </c>
      <c r="P21" s="124" t="s">
        <v>9</v>
      </c>
    </row>
    <row r="22" spans="2:24" ht="15">
      <c r="B22" s="119" t="s">
        <v>186</v>
      </c>
      <c r="C22" s="120" t="s">
        <v>168</v>
      </c>
      <c r="D22" s="121">
        <v>6631</v>
      </c>
      <c r="E22" s="122">
        <v>0.76</v>
      </c>
      <c r="F22" s="117"/>
      <c r="G22" s="119" t="s">
        <v>63</v>
      </c>
      <c r="H22" s="125">
        <f>IF(OR('Lighting Calculator'!$C$15=0), V36, INDEX($B$32:$R$51, MATCH('Lighting Calculator'!$C$15,$B$32:$B$51, 0), 3*X36))</f>
        <v>-0.48699999999999999</v>
      </c>
      <c r="I22" s="125">
        <f>IF(OR('Lighting Calculator'!$C$15=0), W36, INDEX($B$32:$R$51, MATCH('Lighting Calculator'!$C$15,$B$32:$B$51, 0), 3*X36+1))</f>
        <v>0</v>
      </c>
    </row>
    <row r="23" spans="2:24" ht="15">
      <c r="B23" s="119" t="s">
        <v>72</v>
      </c>
      <c r="C23" s="120" t="s">
        <v>72</v>
      </c>
      <c r="D23" s="121">
        <v>4408</v>
      </c>
      <c r="E23" s="122">
        <v>0.65</v>
      </c>
      <c r="F23" s="117"/>
      <c r="G23" s="119" t="s">
        <v>65</v>
      </c>
      <c r="H23" s="125">
        <f>IF(OR('Lighting Calculator'!$C$15=0), V37, INDEX($B$32:$R$51, MATCH('Lighting Calculator'!$C$15,$B$32:$B$51, 0), 3*X37))</f>
        <v>0</v>
      </c>
      <c r="I23" s="125">
        <f>IF(OR('Lighting Calculator'!$C$15=0), W37, INDEX($B$32:$R$51, MATCH('Lighting Calculator'!$C$15,$B$32:$B$51, 0), 3*X37+1))</f>
        <v>0</v>
      </c>
    </row>
    <row r="24" spans="2:24" ht="15">
      <c r="B24" s="119" t="s">
        <v>39</v>
      </c>
      <c r="C24" s="120" t="s">
        <v>39</v>
      </c>
      <c r="D24" s="121">
        <v>4300</v>
      </c>
      <c r="E24" s="122">
        <v>0</v>
      </c>
      <c r="F24" s="117"/>
      <c r="G24" s="117"/>
      <c r="H24" s="117"/>
      <c r="I24" s="117"/>
    </row>
    <row r="25" spans="2:24" ht="15">
      <c r="B25" s="126" t="s">
        <v>9</v>
      </c>
      <c r="C25" s="126" t="s">
        <v>9</v>
      </c>
      <c r="D25" s="126"/>
      <c r="E25" s="122"/>
      <c r="F25" s="117"/>
      <c r="G25" s="117"/>
      <c r="H25" s="117"/>
      <c r="I25" s="117"/>
    </row>
    <row r="26" spans="2:24" ht="15">
      <c r="B26" s="126" t="s">
        <v>169</v>
      </c>
      <c r="C26" s="126" t="s">
        <v>169</v>
      </c>
      <c r="D26" s="127">
        <v>8760</v>
      </c>
      <c r="E26" s="128">
        <v>1</v>
      </c>
      <c r="F26" s="117"/>
      <c r="G26" s="117"/>
      <c r="H26" s="117"/>
      <c r="I26" s="117"/>
    </row>
    <row r="29" spans="2:24" hidden="1"/>
    <row r="30" spans="2:24" hidden="1">
      <c r="B30" s="129" t="s">
        <v>170</v>
      </c>
      <c r="C30" s="129" t="s">
        <v>171</v>
      </c>
      <c r="G30" s="114" t="s">
        <v>316</v>
      </c>
    </row>
    <row r="31" spans="2:24" hidden="1">
      <c r="B31" s="129"/>
      <c r="C31" s="129"/>
      <c r="D31" s="275" t="s">
        <v>55</v>
      </c>
      <c r="E31" s="272"/>
      <c r="F31" s="272"/>
      <c r="G31" s="272" t="s">
        <v>58</v>
      </c>
      <c r="H31" s="272"/>
      <c r="I31" s="272"/>
      <c r="J31" s="272" t="s">
        <v>61</v>
      </c>
      <c r="K31" s="272"/>
      <c r="L31" s="272"/>
      <c r="M31" s="272" t="s">
        <v>63</v>
      </c>
      <c r="N31" s="272"/>
      <c r="O31" s="272"/>
      <c r="P31" s="272" t="s">
        <v>65</v>
      </c>
      <c r="Q31" s="272"/>
      <c r="R31" s="272"/>
      <c r="U31" s="273" t="s">
        <v>184</v>
      </c>
      <c r="V31" s="273"/>
      <c r="W31" s="273"/>
    </row>
    <row r="32" spans="2:24" ht="15" hidden="1">
      <c r="B32" s="130" t="s">
        <v>172</v>
      </c>
      <c r="C32" s="130" t="s">
        <v>159</v>
      </c>
      <c r="D32" s="131" t="s">
        <v>173</v>
      </c>
      <c r="E32" s="130" t="s">
        <v>174</v>
      </c>
      <c r="F32" s="130" t="s">
        <v>175</v>
      </c>
      <c r="G32" s="130" t="s">
        <v>173</v>
      </c>
      <c r="H32" s="130" t="s">
        <v>174</v>
      </c>
      <c r="I32" s="130" t="s">
        <v>175</v>
      </c>
      <c r="J32" s="130" t="s">
        <v>173</v>
      </c>
      <c r="K32" s="130" t="s">
        <v>174</v>
      </c>
      <c r="L32" s="130" t="s">
        <v>175</v>
      </c>
      <c r="M32" s="130" t="s">
        <v>173</v>
      </c>
      <c r="N32" s="130" t="s">
        <v>174</v>
      </c>
      <c r="O32" s="130" t="s">
        <v>175</v>
      </c>
      <c r="P32" s="130" t="s">
        <v>173</v>
      </c>
      <c r="Q32" s="130" t="s">
        <v>174</v>
      </c>
      <c r="R32" s="130" t="s">
        <v>175</v>
      </c>
      <c r="U32" s="118" t="s">
        <v>50</v>
      </c>
      <c r="V32" s="118" t="s">
        <v>51</v>
      </c>
      <c r="W32" s="118" t="s">
        <v>52</v>
      </c>
      <c r="X32" s="118"/>
    </row>
    <row r="33" spans="2:24" hidden="1">
      <c r="B33" s="129" t="s">
        <v>67</v>
      </c>
      <c r="C33" s="129" t="s">
        <v>176</v>
      </c>
      <c r="D33" s="132">
        <v>0.155</v>
      </c>
      <c r="E33" s="129">
        <v>0.2</v>
      </c>
      <c r="F33" s="129">
        <v>-2.8999999999999998E-3</v>
      </c>
      <c r="G33" s="133">
        <v>-0.17399999999999999</v>
      </c>
      <c r="H33" s="129">
        <v>0.2</v>
      </c>
      <c r="I33" s="129">
        <v>0</v>
      </c>
      <c r="J33" s="133">
        <v>-0.434</v>
      </c>
      <c r="K33" s="129">
        <v>0.2</v>
      </c>
      <c r="L33" s="129">
        <v>0</v>
      </c>
      <c r="M33" s="133">
        <v>-0.59099999999999997</v>
      </c>
      <c r="N33" s="129">
        <v>0</v>
      </c>
      <c r="O33" s="134">
        <v>0</v>
      </c>
      <c r="P33" s="129">
        <v>0</v>
      </c>
      <c r="Q33" s="129">
        <v>0</v>
      </c>
      <c r="R33" s="135">
        <v>-2.8999999999999998E-3</v>
      </c>
      <c r="U33" s="124" t="s">
        <v>55</v>
      </c>
      <c r="V33" s="136">
        <f>D46</f>
        <v>0.115</v>
      </c>
      <c r="W33" s="136">
        <f>E46</f>
        <v>0.2</v>
      </c>
      <c r="X33" s="137">
        <v>1</v>
      </c>
    </row>
    <row r="34" spans="2:24" hidden="1">
      <c r="B34" s="129" t="s">
        <v>164</v>
      </c>
      <c r="C34" s="129" t="s">
        <v>177</v>
      </c>
      <c r="D34" s="132">
        <v>0.14599999999999999</v>
      </c>
      <c r="E34" s="129">
        <v>0.2</v>
      </c>
      <c r="F34" s="129">
        <v>-1.6999999999999999E-3</v>
      </c>
      <c r="G34" s="133">
        <v>-8.5999999999999993E-2</v>
      </c>
      <c r="H34" s="129">
        <v>0.2</v>
      </c>
      <c r="I34" s="129">
        <v>0</v>
      </c>
      <c r="J34" s="133">
        <v>-0.193</v>
      </c>
      <c r="K34" s="129">
        <v>0.2</v>
      </c>
      <c r="L34" s="129">
        <v>0</v>
      </c>
      <c r="M34" s="133">
        <v>-0.60399999999999998</v>
      </c>
      <c r="N34" s="129">
        <v>0</v>
      </c>
      <c r="O34" s="134">
        <v>0</v>
      </c>
      <c r="P34" s="129">
        <v>0</v>
      </c>
      <c r="Q34" s="129">
        <v>0</v>
      </c>
      <c r="R34" s="135">
        <v>-1.6999999999999999E-3</v>
      </c>
      <c r="U34" s="124" t="s">
        <v>58</v>
      </c>
      <c r="V34" s="136">
        <f>G46</f>
        <v>-0.15</v>
      </c>
      <c r="W34" s="136">
        <f>H46</f>
        <v>0.2</v>
      </c>
      <c r="X34" s="137">
        <v>2</v>
      </c>
    </row>
    <row r="35" spans="2:24" hidden="1">
      <c r="B35" s="129" t="s">
        <v>70</v>
      </c>
      <c r="C35" s="129" t="s">
        <v>178</v>
      </c>
      <c r="D35" s="132">
        <v>9.6000000000000002E-2</v>
      </c>
      <c r="E35" s="129">
        <v>0.2</v>
      </c>
      <c r="F35" s="129">
        <v>-3.3E-3</v>
      </c>
      <c r="G35" s="133">
        <v>-0.27800000000000002</v>
      </c>
      <c r="H35" s="129">
        <v>0.2</v>
      </c>
      <c r="I35" s="129">
        <v>0</v>
      </c>
      <c r="J35" s="133">
        <v>-0.60499999999999998</v>
      </c>
      <c r="K35" s="129">
        <v>0.2</v>
      </c>
      <c r="L35" s="129">
        <v>0</v>
      </c>
      <c r="M35" s="133">
        <v>-0.74299999999999999</v>
      </c>
      <c r="N35" s="129">
        <v>0</v>
      </c>
      <c r="O35" s="134">
        <v>0</v>
      </c>
      <c r="P35" s="129">
        <v>0</v>
      </c>
      <c r="Q35" s="129">
        <v>0</v>
      </c>
      <c r="R35" s="135">
        <v>-3.3E-3</v>
      </c>
      <c r="U35" s="124" t="s">
        <v>61</v>
      </c>
      <c r="V35" s="136">
        <f>J46</f>
        <v>-0.35699999999999998</v>
      </c>
      <c r="W35" s="136">
        <f>K46</f>
        <v>0.185</v>
      </c>
      <c r="X35" s="137">
        <v>3</v>
      </c>
    </row>
    <row r="36" spans="2:24" hidden="1">
      <c r="B36" s="129" t="s">
        <v>71</v>
      </c>
      <c r="C36" s="129" t="s">
        <v>72</v>
      </c>
      <c r="D36" s="132">
        <v>0.115</v>
      </c>
      <c r="E36" s="129">
        <v>0.2</v>
      </c>
      <c r="F36" s="129">
        <v>-2.3E-3</v>
      </c>
      <c r="G36" s="133">
        <v>-0.15</v>
      </c>
      <c r="H36" s="129">
        <v>0.2</v>
      </c>
      <c r="I36" s="129">
        <v>0</v>
      </c>
      <c r="J36" s="133">
        <v>-0.35699999999999998</v>
      </c>
      <c r="K36" s="129">
        <v>0.185</v>
      </c>
      <c r="L36" s="129">
        <v>0</v>
      </c>
      <c r="M36" s="133">
        <v>-0.48699999999999999</v>
      </c>
      <c r="N36" s="129">
        <v>0</v>
      </c>
      <c r="O36" s="134">
        <v>0</v>
      </c>
      <c r="P36" s="129">
        <v>0</v>
      </c>
      <c r="Q36" s="129">
        <v>0</v>
      </c>
      <c r="R36" s="135">
        <v>-2.2000000000000001E-3</v>
      </c>
      <c r="U36" s="124" t="s">
        <v>63</v>
      </c>
      <c r="V36" s="136">
        <f>M46</f>
        <v>-0.48699999999999999</v>
      </c>
      <c r="W36" s="136">
        <f>N46</f>
        <v>0</v>
      </c>
      <c r="X36" s="137">
        <v>4</v>
      </c>
    </row>
    <row r="37" spans="2:24" hidden="1">
      <c r="B37" s="129" t="s">
        <v>161</v>
      </c>
      <c r="C37" s="129" t="s">
        <v>179</v>
      </c>
      <c r="D37" s="132">
        <v>0.109</v>
      </c>
      <c r="E37" s="129">
        <v>0.2</v>
      </c>
      <c r="F37" s="129">
        <v>-2.8999999999999998E-3</v>
      </c>
      <c r="G37" s="133">
        <v>-2.3E-2</v>
      </c>
      <c r="H37" s="129">
        <v>0.2</v>
      </c>
      <c r="I37" s="129">
        <v>0</v>
      </c>
      <c r="J37" s="133">
        <v>-0.53</v>
      </c>
      <c r="K37" s="129">
        <v>0.2</v>
      </c>
      <c r="L37" s="129">
        <v>0</v>
      </c>
      <c r="M37" s="133">
        <v>-0.66100000000000003</v>
      </c>
      <c r="N37" s="129">
        <v>0</v>
      </c>
      <c r="O37" s="134">
        <v>0</v>
      </c>
      <c r="P37" s="129">
        <v>0</v>
      </c>
      <c r="Q37" s="129">
        <v>0</v>
      </c>
      <c r="R37" s="135">
        <v>-3.2000000000000002E-3</v>
      </c>
      <c r="U37" s="124" t="s">
        <v>65</v>
      </c>
      <c r="V37" s="136">
        <f>P46</f>
        <v>0</v>
      </c>
      <c r="W37" s="136">
        <f>Q46</f>
        <v>0</v>
      </c>
      <c r="X37" s="137">
        <v>5</v>
      </c>
    </row>
    <row r="38" spans="2:24" hidden="1">
      <c r="B38" s="129" t="s">
        <v>162</v>
      </c>
      <c r="C38" s="129" t="s">
        <v>180</v>
      </c>
      <c r="D38" s="132">
        <v>0.108</v>
      </c>
      <c r="E38" s="129">
        <v>0.2</v>
      </c>
      <c r="F38" s="129">
        <v>-3.3E-3</v>
      </c>
      <c r="G38" s="133">
        <v>-2.3E-2</v>
      </c>
      <c r="H38" s="129">
        <v>0.2</v>
      </c>
      <c r="I38" s="129">
        <v>0</v>
      </c>
      <c r="J38" s="133">
        <v>-0.55600000000000005</v>
      </c>
      <c r="K38" s="129">
        <v>0</v>
      </c>
      <c r="L38" s="129">
        <v>0</v>
      </c>
      <c r="M38" s="133">
        <v>-0.872</v>
      </c>
      <c r="N38" s="129">
        <v>0</v>
      </c>
      <c r="O38" s="134">
        <v>0</v>
      </c>
      <c r="P38" s="129">
        <v>0</v>
      </c>
      <c r="Q38" s="129">
        <v>0</v>
      </c>
      <c r="R38" s="135">
        <v>-4.1999999999999997E-3</v>
      </c>
    </row>
    <row r="39" spans="2:24" hidden="1">
      <c r="B39" s="129" t="s">
        <v>160</v>
      </c>
      <c r="C39" s="129" t="s">
        <v>181</v>
      </c>
      <c r="D39" s="132">
        <v>0.14599999999999999</v>
      </c>
      <c r="E39" s="129">
        <v>0.2</v>
      </c>
      <c r="F39" s="129">
        <v>-1.6999999999999999E-3</v>
      </c>
      <c r="G39" s="133">
        <v>-8.5999999999999993E-2</v>
      </c>
      <c r="H39" s="129">
        <v>0.2</v>
      </c>
      <c r="I39" s="129">
        <v>0</v>
      </c>
      <c r="J39" s="133">
        <v>-0.193</v>
      </c>
      <c r="K39" s="129">
        <v>0.2</v>
      </c>
      <c r="L39" s="129">
        <v>0</v>
      </c>
      <c r="M39" s="133">
        <v>-0.318</v>
      </c>
      <c r="N39" s="129">
        <v>0</v>
      </c>
      <c r="O39" s="134">
        <v>0</v>
      </c>
      <c r="P39" s="129">
        <v>0</v>
      </c>
      <c r="Q39" s="129">
        <v>0</v>
      </c>
      <c r="R39" s="135">
        <v>-1.6999999999999999E-3</v>
      </c>
    </row>
    <row r="40" spans="2:24" hidden="1">
      <c r="B40" s="129" t="s">
        <v>166</v>
      </c>
      <c r="C40" s="129" t="s">
        <v>182</v>
      </c>
      <c r="D40" s="132">
        <v>9.6000000000000002E-2</v>
      </c>
      <c r="E40" s="129">
        <v>0.2</v>
      </c>
      <c r="F40" s="129">
        <v>-2.2000000000000001E-3</v>
      </c>
      <c r="G40" s="133">
        <v>-0.14499999999999999</v>
      </c>
      <c r="H40" s="129">
        <v>0.2</v>
      </c>
      <c r="I40" s="129">
        <v>0</v>
      </c>
      <c r="J40" s="133">
        <v>-0.33200000000000002</v>
      </c>
      <c r="K40" s="129">
        <v>0.2</v>
      </c>
      <c r="L40" s="129">
        <v>0</v>
      </c>
      <c r="M40" s="133">
        <v>-0.433</v>
      </c>
      <c r="N40" s="129">
        <v>0</v>
      </c>
      <c r="O40" s="134">
        <v>0</v>
      </c>
      <c r="P40" s="129">
        <v>0</v>
      </c>
      <c r="Q40" s="129">
        <v>0</v>
      </c>
      <c r="R40" s="135">
        <v>-2.0999999999999999E-3</v>
      </c>
    </row>
    <row r="41" spans="2:24" hidden="1">
      <c r="B41" s="129" t="s">
        <v>185</v>
      </c>
      <c r="C41" s="129" t="s">
        <v>182</v>
      </c>
      <c r="D41" s="132">
        <v>9.6000000000000002E-2</v>
      </c>
      <c r="E41" s="129">
        <v>0.2</v>
      </c>
      <c r="F41" s="129">
        <v>-2.2000000000000001E-3</v>
      </c>
      <c r="G41" s="133">
        <v>-0.14499999999999999</v>
      </c>
      <c r="H41" s="129">
        <v>0.2</v>
      </c>
      <c r="I41" s="129">
        <v>0</v>
      </c>
      <c r="J41" s="133">
        <v>-0.33200000000000002</v>
      </c>
      <c r="K41" s="129">
        <v>0.2</v>
      </c>
      <c r="L41" s="129">
        <v>0</v>
      </c>
      <c r="M41" s="133">
        <v>-0.433</v>
      </c>
      <c r="N41" s="129">
        <v>0</v>
      </c>
      <c r="O41" s="134">
        <v>0</v>
      </c>
      <c r="P41" s="129">
        <v>0</v>
      </c>
      <c r="Q41" s="129">
        <v>0</v>
      </c>
      <c r="R41" s="135">
        <v>-2.0999999999999999E-3</v>
      </c>
    </row>
    <row r="42" spans="2:24" hidden="1">
      <c r="B42" s="129" t="s">
        <v>186</v>
      </c>
      <c r="C42" s="129" t="s">
        <v>182</v>
      </c>
      <c r="D42" s="132">
        <v>9.6000000000000002E-2</v>
      </c>
      <c r="E42" s="129">
        <v>0.2</v>
      </c>
      <c r="F42" s="129">
        <v>-2.2000000000000001E-3</v>
      </c>
      <c r="G42" s="133">
        <v>-0.14499999999999999</v>
      </c>
      <c r="H42" s="129">
        <v>0.2</v>
      </c>
      <c r="I42" s="129">
        <v>0</v>
      </c>
      <c r="J42" s="133">
        <v>-0.33200000000000002</v>
      </c>
      <c r="K42" s="129">
        <v>0.2</v>
      </c>
      <c r="L42" s="129">
        <v>0</v>
      </c>
      <c r="M42" s="133">
        <v>-0.433</v>
      </c>
      <c r="N42" s="129">
        <v>0</v>
      </c>
      <c r="O42" s="134">
        <v>0</v>
      </c>
      <c r="P42" s="129">
        <v>0</v>
      </c>
      <c r="Q42" s="129">
        <v>0</v>
      </c>
      <c r="R42" s="135">
        <v>-2.0999999999999999E-3</v>
      </c>
    </row>
    <row r="43" spans="2:24" hidden="1">
      <c r="B43" s="138" t="s">
        <v>28</v>
      </c>
      <c r="C43" s="138" t="s">
        <v>183</v>
      </c>
      <c r="D43" s="139">
        <v>0.11899999999999999</v>
      </c>
      <c r="E43" s="138">
        <v>0.2</v>
      </c>
      <c r="F43" s="138">
        <v>-1.6000000000000001E-3</v>
      </c>
      <c r="G43" s="140">
        <v>-2.7E-2</v>
      </c>
      <c r="H43" s="138">
        <v>0.2</v>
      </c>
      <c r="I43" s="138">
        <v>0</v>
      </c>
      <c r="J43" s="140">
        <v>-0.182</v>
      </c>
      <c r="K43" s="138">
        <v>0.2</v>
      </c>
      <c r="L43" s="138">
        <v>0</v>
      </c>
      <c r="M43" s="140">
        <v>-0.182</v>
      </c>
      <c r="N43" s="138">
        <v>0</v>
      </c>
      <c r="O43" s="141">
        <v>0</v>
      </c>
      <c r="P43" s="138">
        <v>0</v>
      </c>
      <c r="Q43" s="138">
        <v>0</v>
      </c>
      <c r="R43" s="142">
        <v>-1.5E-3</v>
      </c>
    </row>
    <row r="44" spans="2:24" hidden="1">
      <c r="B44" s="129" t="s">
        <v>165</v>
      </c>
      <c r="C44" s="129" t="s">
        <v>165</v>
      </c>
      <c r="D44" s="132">
        <v>0.124</v>
      </c>
      <c r="E44" s="129">
        <v>0.2</v>
      </c>
      <c r="F44" s="129">
        <v>-2.3E-3</v>
      </c>
      <c r="G44" s="133">
        <v>-8.3000000000000004E-2</v>
      </c>
      <c r="H44" s="129">
        <v>0.2</v>
      </c>
      <c r="I44" s="129">
        <v>0</v>
      </c>
      <c r="J44" s="133">
        <v>-0.315</v>
      </c>
      <c r="K44" s="129">
        <v>0.2</v>
      </c>
      <c r="L44" s="129">
        <v>0</v>
      </c>
      <c r="M44" s="133">
        <v>-0.437</v>
      </c>
      <c r="N44" s="129">
        <v>0</v>
      </c>
      <c r="O44" s="134">
        <v>0</v>
      </c>
      <c r="P44" s="129">
        <v>0</v>
      </c>
      <c r="Q44" s="129">
        <v>0</v>
      </c>
      <c r="R44" s="135">
        <v>-2.2000000000000001E-3</v>
      </c>
    </row>
    <row r="45" spans="2:24" hidden="1">
      <c r="B45" s="129" t="s">
        <v>7</v>
      </c>
      <c r="C45" s="129" t="s">
        <v>7</v>
      </c>
      <c r="D45" s="132">
        <v>9.6000000000000002E-2</v>
      </c>
      <c r="E45" s="129">
        <v>0.2</v>
      </c>
      <c r="F45" s="129">
        <v>-2.2000000000000001E-3</v>
      </c>
      <c r="G45" s="133">
        <v>-0.14499999999999999</v>
      </c>
      <c r="H45" s="129">
        <v>0.2</v>
      </c>
      <c r="I45" s="129">
        <v>0</v>
      </c>
      <c r="J45" s="133">
        <v>-0.33200000000000002</v>
      </c>
      <c r="K45" s="129">
        <v>0.2</v>
      </c>
      <c r="L45" s="129">
        <v>0</v>
      </c>
      <c r="M45" s="133">
        <v>-0.433</v>
      </c>
      <c r="N45" s="129">
        <v>0</v>
      </c>
      <c r="O45" s="134">
        <v>0</v>
      </c>
      <c r="P45" s="129">
        <v>0</v>
      </c>
      <c r="Q45" s="129">
        <v>0</v>
      </c>
      <c r="R45" s="135">
        <v>-2.0999999999999999E-3</v>
      </c>
    </row>
    <row r="46" spans="2:24" hidden="1">
      <c r="B46" s="129" t="s">
        <v>72</v>
      </c>
      <c r="C46" s="129" t="s">
        <v>72</v>
      </c>
      <c r="D46" s="132">
        <v>0.115</v>
      </c>
      <c r="E46" s="129">
        <v>0.2</v>
      </c>
      <c r="F46" s="129">
        <v>-2.3E-3</v>
      </c>
      <c r="G46" s="133">
        <v>-0.15</v>
      </c>
      <c r="H46" s="129">
        <v>0.2</v>
      </c>
      <c r="I46" s="129">
        <v>0</v>
      </c>
      <c r="J46" s="133">
        <v>-0.35699999999999998</v>
      </c>
      <c r="K46" s="129">
        <v>0.185</v>
      </c>
      <c r="L46" s="129">
        <v>0</v>
      </c>
      <c r="M46" s="133">
        <v>-0.48699999999999999</v>
      </c>
      <c r="N46" s="129">
        <v>0</v>
      </c>
      <c r="O46" s="134">
        <v>0</v>
      </c>
      <c r="P46" s="129">
        <v>0</v>
      </c>
      <c r="Q46" s="129">
        <v>0</v>
      </c>
      <c r="R46" s="135">
        <v>-2.2000000000000001E-3</v>
      </c>
    </row>
    <row r="47" spans="2:24" hidden="1">
      <c r="B47" s="129" t="s">
        <v>69</v>
      </c>
      <c r="C47" s="129" t="s">
        <v>72</v>
      </c>
      <c r="D47" s="132">
        <v>0.115</v>
      </c>
      <c r="E47" s="129">
        <v>0.2</v>
      </c>
      <c r="F47" s="129">
        <v>-2.3E-3</v>
      </c>
      <c r="G47" s="133">
        <v>-0.15</v>
      </c>
      <c r="H47" s="129">
        <v>0.2</v>
      </c>
      <c r="I47" s="129">
        <v>0</v>
      </c>
      <c r="J47" s="133">
        <v>-0.35699999999999998</v>
      </c>
      <c r="K47" s="129">
        <v>0.185</v>
      </c>
      <c r="L47" s="129">
        <v>0</v>
      </c>
      <c r="M47" s="133">
        <v>-0.48699999999999999</v>
      </c>
      <c r="N47" s="129">
        <v>0</v>
      </c>
      <c r="O47" s="134">
        <v>0</v>
      </c>
      <c r="P47" s="129">
        <v>0</v>
      </c>
      <c r="Q47" s="129">
        <v>0</v>
      </c>
      <c r="R47" s="135">
        <v>-2.2000000000000001E-3</v>
      </c>
    </row>
    <row r="48" spans="2:24" hidden="1">
      <c r="B48" s="129" t="s">
        <v>59</v>
      </c>
      <c r="C48" s="129" t="s">
        <v>72</v>
      </c>
      <c r="D48" s="132">
        <v>0.115</v>
      </c>
      <c r="E48" s="129">
        <v>0.2</v>
      </c>
      <c r="F48" s="129">
        <v>-2.3E-3</v>
      </c>
      <c r="G48" s="133">
        <v>-0.15</v>
      </c>
      <c r="H48" s="129">
        <v>0.2</v>
      </c>
      <c r="I48" s="129">
        <v>0</v>
      </c>
      <c r="J48" s="133">
        <v>-0.35699999999999998</v>
      </c>
      <c r="K48" s="129">
        <v>0.185</v>
      </c>
      <c r="L48" s="129">
        <v>0</v>
      </c>
      <c r="M48" s="133">
        <v>-0.48699999999999999</v>
      </c>
      <c r="N48" s="129">
        <v>0</v>
      </c>
      <c r="O48" s="134">
        <v>0</v>
      </c>
      <c r="P48" s="129">
        <v>0</v>
      </c>
      <c r="Q48" s="129">
        <v>0</v>
      </c>
      <c r="R48" s="135">
        <v>-2.2000000000000001E-3</v>
      </c>
    </row>
    <row r="49" spans="2:18" hidden="1">
      <c r="B49" s="129" t="s">
        <v>163</v>
      </c>
      <c r="C49" s="129" t="s">
        <v>72</v>
      </c>
      <c r="D49" s="132">
        <v>0.115</v>
      </c>
      <c r="E49" s="129">
        <v>0.2</v>
      </c>
      <c r="F49" s="129">
        <v>-2.3E-3</v>
      </c>
      <c r="G49" s="133">
        <v>-0.15</v>
      </c>
      <c r="H49" s="129">
        <v>0.2</v>
      </c>
      <c r="I49" s="129">
        <v>0</v>
      </c>
      <c r="J49" s="133">
        <v>-0.35699999999999998</v>
      </c>
      <c r="K49" s="129">
        <v>0.185</v>
      </c>
      <c r="L49" s="129">
        <v>0</v>
      </c>
      <c r="M49" s="133">
        <v>-0.48699999999999999</v>
      </c>
      <c r="N49" s="129">
        <v>0</v>
      </c>
      <c r="O49" s="134">
        <v>0</v>
      </c>
      <c r="P49" s="129">
        <v>0</v>
      </c>
      <c r="Q49" s="129">
        <v>0</v>
      </c>
      <c r="R49" s="135">
        <v>-2.2000000000000001E-3</v>
      </c>
    </row>
    <row r="50" spans="2:18" hidden="1">
      <c r="B50" s="129" t="s">
        <v>39</v>
      </c>
      <c r="C50" s="129" t="s">
        <v>39</v>
      </c>
      <c r="D50" s="132">
        <v>0</v>
      </c>
      <c r="E50" s="132">
        <v>0</v>
      </c>
      <c r="F50" s="132">
        <v>0</v>
      </c>
      <c r="G50" s="132">
        <v>0</v>
      </c>
      <c r="H50" s="132">
        <v>0</v>
      </c>
      <c r="I50" s="132">
        <v>0</v>
      </c>
      <c r="J50" s="132">
        <v>0</v>
      </c>
      <c r="K50" s="132">
        <v>0</v>
      </c>
      <c r="L50" s="132">
        <v>0</v>
      </c>
      <c r="M50" s="132">
        <v>0</v>
      </c>
      <c r="N50" s="132">
        <v>0</v>
      </c>
      <c r="O50" s="132">
        <v>0</v>
      </c>
      <c r="P50" s="132">
        <v>0</v>
      </c>
      <c r="Q50" s="132">
        <v>0</v>
      </c>
      <c r="R50" s="132">
        <v>0</v>
      </c>
    </row>
    <row r="51" spans="2:18" hidden="1">
      <c r="B51" s="129" t="s">
        <v>9</v>
      </c>
      <c r="C51" s="129" t="s">
        <v>72</v>
      </c>
      <c r="D51" s="132">
        <v>0.115</v>
      </c>
      <c r="E51" s="129">
        <v>0.2</v>
      </c>
      <c r="F51" s="129">
        <v>-2.3E-3</v>
      </c>
      <c r="G51" s="133">
        <v>-0.15</v>
      </c>
      <c r="H51" s="129">
        <v>0.2</v>
      </c>
      <c r="I51" s="129">
        <v>0</v>
      </c>
      <c r="J51" s="133">
        <v>-0.35699999999999998</v>
      </c>
      <c r="K51" s="129">
        <v>0.185</v>
      </c>
      <c r="L51" s="129">
        <v>0</v>
      </c>
      <c r="M51" s="133">
        <v>-0.48699999999999999</v>
      </c>
      <c r="N51" s="129">
        <v>0</v>
      </c>
      <c r="O51" s="134">
        <v>0</v>
      </c>
      <c r="P51" s="129">
        <v>0</v>
      </c>
      <c r="Q51" s="129">
        <v>0</v>
      </c>
      <c r="R51" s="135">
        <v>-2.2000000000000001E-3</v>
      </c>
    </row>
    <row r="52" spans="2:18" hidden="1"/>
  </sheetData>
  <sheetProtection algorithmName="SHA-512" hashValue="qrI4BRmWE4zrlznFjPRBmePvomTTP/m9dP7pM9MWngZsm6ourHQ7b0uqyf9VfqqYGC6MdL6dyxu6AmcC2U4lhA==" saltValue="PumbSL9ze6InoPgiwCGRIA==" spinCount="100000" sheet="1" objects="1" scenarios="1"/>
  <mergeCells count="7">
    <mergeCell ref="P31:R31"/>
    <mergeCell ref="U31:W31"/>
    <mergeCell ref="B4:I4"/>
    <mergeCell ref="D31:F31"/>
    <mergeCell ref="G31:I31"/>
    <mergeCell ref="J31:L31"/>
    <mergeCell ref="M31:O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5"/>
  <sheetViews>
    <sheetView zoomScaleNormal="100" workbookViewId="0">
      <selection activeCell="N11" sqref="N11"/>
    </sheetView>
  </sheetViews>
  <sheetFormatPr defaultRowHeight="15"/>
  <cols>
    <col min="1" max="1" width="44.42578125" style="12" bestFit="1" customWidth="1"/>
    <col min="2" max="2" width="9" style="167" bestFit="1" customWidth="1"/>
    <col min="3" max="8" width="10.140625" style="167" bestFit="1" customWidth="1"/>
    <col min="9" max="10" width="11.42578125" style="167" bestFit="1" customWidth="1"/>
    <col min="11" max="11" width="8.140625" style="12" bestFit="1" customWidth="1"/>
    <col min="12" max="16384" width="9.140625" style="12"/>
  </cols>
  <sheetData>
    <row r="1" spans="1:10">
      <c r="A1" s="197" t="s">
        <v>191</v>
      </c>
      <c r="B1" s="197"/>
      <c r="C1" s="197"/>
      <c r="D1" s="197"/>
      <c r="E1" s="197"/>
      <c r="F1" s="197"/>
      <c r="G1" s="197"/>
      <c r="H1" s="197"/>
      <c r="I1" s="197"/>
      <c r="J1" s="197"/>
    </row>
    <row r="2" spans="1:10" ht="15.75">
      <c r="A2" s="277" t="s">
        <v>192</v>
      </c>
      <c r="B2" s="278"/>
      <c r="C2" s="278"/>
      <c r="D2" s="278"/>
      <c r="E2" s="278"/>
      <c r="F2" s="278"/>
      <c r="G2" s="278"/>
      <c r="H2" s="278"/>
      <c r="I2" s="278"/>
      <c r="J2" s="279"/>
    </row>
    <row r="3" spans="1:10">
      <c r="A3" s="112" t="s">
        <v>193</v>
      </c>
      <c r="B3" s="162" t="s">
        <v>194</v>
      </c>
      <c r="C3" s="162" t="s">
        <v>195</v>
      </c>
      <c r="D3" s="162" t="s">
        <v>196</v>
      </c>
      <c r="E3" s="162" t="s">
        <v>197</v>
      </c>
      <c r="F3" s="162" t="s">
        <v>198</v>
      </c>
      <c r="G3" s="162" t="s">
        <v>199</v>
      </c>
      <c r="H3" s="162" t="s">
        <v>200</v>
      </c>
      <c r="I3" s="162" t="s">
        <v>201</v>
      </c>
      <c r="J3" s="162" t="s">
        <v>202</v>
      </c>
    </row>
    <row r="4" spans="1:10">
      <c r="A4" s="112" t="s">
        <v>203</v>
      </c>
      <c r="B4" s="163">
        <v>24</v>
      </c>
      <c r="C4" s="163">
        <v>56</v>
      </c>
      <c r="D4" s="163">
        <v>62</v>
      </c>
      <c r="E4" s="163">
        <v>112</v>
      </c>
      <c r="F4" s="163">
        <v>118</v>
      </c>
      <c r="G4" s="162">
        <v>146</v>
      </c>
      <c r="H4" s="163">
        <v>224</v>
      </c>
      <c r="I4" s="163">
        <v>236</v>
      </c>
      <c r="J4" s="163">
        <v>292</v>
      </c>
    </row>
    <row r="5" spans="1:10">
      <c r="A5" s="112" t="s">
        <v>204</v>
      </c>
      <c r="B5" s="163">
        <v>46</v>
      </c>
      <c r="C5" s="163">
        <v>81</v>
      </c>
      <c r="D5" s="163">
        <v>127</v>
      </c>
      <c r="E5" s="163">
        <v>162</v>
      </c>
      <c r="F5" s="163">
        <v>208</v>
      </c>
      <c r="G5" s="162">
        <v>342</v>
      </c>
      <c r="H5" s="163">
        <v>324</v>
      </c>
      <c r="I5" s="163">
        <v>416</v>
      </c>
      <c r="J5" s="163">
        <v>684</v>
      </c>
    </row>
    <row r="6" spans="1:10">
      <c r="A6" s="112" t="s">
        <v>205</v>
      </c>
      <c r="B6" s="164">
        <v>43</v>
      </c>
      <c r="C6" s="163">
        <v>72</v>
      </c>
      <c r="D6" s="163">
        <v>115</v>
      </c>
      <c r="E6" s="163">
        <v>144</v>
      </c>
      <c r="F6" s="163">
        <v>187</v>
      </c>
      <c r="G6" s="163">
        <v>216</v>
      </c>
      <c r="H6" s="163">
        <v>288</v>
      </c>
      <c r="I6" s="163">
        <v>374</v>
      </c>
      <c r="J6" s="163">
        <v>432</v>
      </c>
    </row>
    <row r="7" spans="1:10">
      <c r="A7" s="112" t="s">
        <v>206</v>
      </c>
      <c r="B7" s="164">
        <v>51</v>
      </c>
      <c r="C7" s="163">
        <v>82</v>
      </c>
      <c r="D7" s="163">
        <v>133</v>
      </c>
      <c r="E7" s="163">
        <v>164</v>
      </c>
      <c r="F7" s="163">
        <v>215</v>
      </c>
      <c r="G7" s="163">
        <v>266</v>
      </c>
      <c r="H7" s="163">
        <v>328</v>
      </c>
      <c r="I7" s="163">
        <v>430</v>
      </c>
      <c r="J7" s="163">
        <v>532</v>
      </c>
    </row>
    <row r="8" spans="1:10">
      <c r="A8" s="145" t="s">
        <v>207</v>
      </c>
      <c r="B8" s="162">
        <v>63</v>
      </c>
      <c r="C8" s="162">
        <v>128</v>
      </c>
      <c r="D8" s="163">
        <v>191</v>
      </c>
      <c r="E8" s="163">
        <v>256</v>
      </c>
      <c r="F8" s="163">
        <v>319</v>
      </c>
      <c r="G8" s="163">
        <v>382</v>
      </c>
      <c r="H8" s="163">
        <v>512</v>
      </c>
      <c r="I8" s="163">
        <v>638</v>
      </c>
      <c r="J8" s="163">
        <v>764</v>
      </c>
    </row>
    <row r="9" spans="1:10">
      <c r="A9" s="112" t="s">
        <v>208</v>
      </c>
      <c r="B9" s="162">
        <v>76</v>
      </c>
      <c r="C9" s="162">
        <v>122</v>
      </c>
      <c r="D9" s="162">
        <v>202</v>
      </c>
      <c r="E9" s="162">
        <v>244</v>
      </c>
      <c r="F9" s="163">
        <v>324</v>
      </c>
      <c r="G9" s="163">
        <v>404</v>
      </c>
      <c r="H9" s="163">
        <v>488</v>
      </c>
      <c r="I9" s="163">
        <v>648</v>
      </c>
      <c r="J9" s="163">
        <v>808</v>
      </c>
    </row>
    <row r="10" spans="1:10">
      <c r="A10" s="112" t="s">
        <v>209</v>
      </c>
      <c r="B10" s="163">
        <v>75</v>
      </c>
      <c r="C10" s="163">
        <v>123</v>
      </c>
      <c r="D10" s="163">
        <v>203</v>
      </c>
      <c r="E10" s="163">
        <v>246</v>
      </c>
      <c r="F10" s="163">
        <v>369</v>
      </c>
      <c r="G10" s="163">
        <v>406</v>
      </c>
      <c r="H10" s="163">
        <v>492</v>
      </c>
      <c r="I10" s="163">
        <v>738</v>
      </c>
      <c r="J10" s="163">
        <v>812</v>
      </c>
    </row>
    <row r="11" spans="1:10">
      <c r="A11" s="112" t="s">
        <v>210</v>
      </c>
      <c r="B11" s="163">
        <v>100</v>
      </c>
      <c r="C11" s="163">
        <v>173</v>
      </c>
      <c r="D11" s="163">
        <v>237</v>
      </c>
      <c r="E11" s="163">
        <v>346</v>
      </c>
      <c r="F11" s="163">
        <v>410</v>
      </c>
      <c r="G11" s="163">
        <v>474</v>
      </c>
      <c r="H11" s="163">
        <v>692</v>
      </c>
      <c r="I11" s="163">
        <v>820</v>
      </c>
      <c r="J11" s="163">
        <v>948</v>
      </c>
    </row>
    <row r="12" spans="1:10">
      <c r="A12" s="112" t="s">
        <v>211</v>
      </c>
      <c r="B12" s="162">
        <v>64</v>
      </c>
      <c r="C12" s="162">
        <v>95</v>
      </c>
      <c r="D12" s="162">
        <v>148</v>
      </c>
      <c r="E12" s="162">
        <v>183</v>
      </c>
      <c r="F12" s="163">
        <v>243</v>
      </c>
      <c r="G12" s="163">
        <v>296</v>
      </c>
      <c r="H12" s="163">
        <v>366</v>
      </c>
      <c r="I12" s="163">
        <v>486</v>
      </c>
      <c r="J12" s="163">
        <v>592</v>
      </c>
    </row>
    <row r="13" spans="1:10">
      <c r="A13" s="112" t="s">
        <v>212</v>
      </c>
      <c r="B13" s="162">
        <v>72</v>
      </c>
      <c r="C13" s="162">
        <v>110</v>
      </c>
      <c r="D13" s="162">
        <v>166</v>
      </c>
      <c r="E13" s="162">
        <v>212</v>
      </c>
      <c r="F13" s="163">
        <v>276</v>
      </c>
      <c r="G13" s="163">
        <v>332</v>
      </c>
      <c r="H13" s="163">
        <v>424</v>
      </c>
      <c r="I13" s="163">
        <v>552</v>
      </c>
      <c r="J13" s="163">
        <v>664</v>
      </c>
    </row>
    <row r="14" spans="1:10">
      <c r="A14" s="112" t="s">
        <v>213</v>
      </c>
      <c r="B14" s="164">
        <v>85</v>
      </c>
      <c r="C14" s="163">
        <v>145</v>
      </c>
      <c r="D14" s="163">
        <v>230</v>
      </c>
      <c r="E14" s="163">
        <v>290</v>
      </c>
      <c r="F14" s="163">
        <v>375</v>
      </c>
      <c r="G14" s="163">
        <v>460</v>
      </c>
      <c r="H14" s="163">
        <v>580</v>
      </c>
      <c r="I14" s="163">
        <v>750</v>
      </c>
      <c r="J14" s="163">
        <v>920</v>
      </c>
    </row>
    <row r="15" spans="1:10">
      <c r="A15" s="112" t="s">
        <v>214</v>
      </c>
      <c r="B15" s="162">
        <v>92</v>
      </c>
      <c r="C15" s="162">
        <v>168</v>
      </c>
      <c r="D15" s="163">
        <v>260</v>
      </c>
      <c r="E15" s="163">
        <v>336</v>
      </c>
      <c r="F15" s="163">
        <v>428</v>
      </c>
      <c r="G15" s="163">
        <v>520</v>
      </c>
      <c r="H15" s="163">
        <v>672</v>
      </c>
      <c r="I15" s="163">
        <v>856</v>
      </c>
      <c r="J15" s="163">
        <v>1040</v>
      </c>
    </row>
    <row r="16" spans="1:10">
      <c r="A16" s="112" t="s">
        <v>215</v>
      </c>
      <c r="B16" s="163">
        <v>120</v>
      </c>
      <c r="C16" s="163">
        <v>194</v>
      </c>
      <c r="D16" s="163">
        <v>314</v>
      </c>
      <c r="E16" s="163">
        <v>388</v>
      </c>
      <c r="F16" s="163">
        <v>508</v>
      </c>
      <c r="G16" s="163">
        <v>628</v>
      </c>
      <c r="H16" s="163">
        <v>776</v>
      </c>
      <c r="I16" s="163">
        <v>1016</v>
      </c>
      <c r="J16" s="163">
        <v>1256</v>
      </c>
    </row>
    <row r="17" spans="1:10">
      <c r="A17" s="112" t="s">
        <v>216</v>
      </c>
      <c r="B17" s="163">
        <v>112</v>
      </c>
      <c r="C17" s="163">
        <v>227</v>
      </c>
      <c r="D17" s="163">
        <v>380</v>
      </c>
      <c r="E17" s="163">
        <v>454</v>
      </c>
      <c r="F17" s="163">
        <v>721</v>
      </c>
      <c r="G17" s="163">
        <v>760</v>
      </c>
      <c r="H17" s="163">
        <v>908</v>
      </c>
      <c r="I17" s="163">
        <v>1442</v>
      </c>
      <c r="J17" s="163">
        <v>1520</v>
      </c>
    </row>
    <row r="18" spans="1:10">
      <c r="A18" s="112" t="s">
        <v>217</v>
      </c>
      <c r="B18" s="163">
        <v>145</v>
      </c>
      <c r="C18" s="163">
        <v>257</v>
      </c>
      <c r="D18" s="163">
        <v>392</v>
      </c>
      <c r="E18" s="163">
        <v>514</v>
      </c>
      <c r="F18" s="163">
        <v>649</v>
      </c>
      <c r="G18" s="163">
        <v>784</v>
      </c>
      <c r="H18" s="163">
        <v>1028</v>
      </c>
      <c r="I18" s="163">
        <v>1298</v>
      </c>
      <c r="J18" s="163">
        <v>1568</v>
      </c>
    </row>
    <row r="19" spans="1:10">
      <c r="A19" s="112" t="s">
        <v>218</v>
      </c>
      <c r="B19" s="163">
        <v>205</v>
      </c>
      <c r="C19" s="163">
        <v>380</v>
      </c>
      <c r="D19" s="163">
        <v>585</v>
      </c>
      <c r="E19" s="163">
        <v>760</v>
      </c>
      <c r="F19" s="163">
        <v>965</v>
      </c>
      <c r="G19" s="163">
        <v>1170</v>
      </c>
      <c r="H19" s="163">
        <v>1520</v>
      </c>
      <c r="I19" s="163">
        <v>1930</v>
      </c>
      <c r="J19" s="163">
        <v>2340</v>
      </c>
    </row>
    <row r="20" spans="1:10">
      <c r="A20" s="112" t="s">
        <v>219</v>
      </c>
      <c r="B20" s="163">
        <v>34</v>
      </c>
      <c r="C20" s="162">
        <v>67</v>
      </c>
      <c r="D20" s="163">
        <v>101</v>
      </c>
      <c r="E20" s="163">
        <v>134</v>
      </c>
      <c r="F20" s="163">
        <v>168</v>
      </c>
      <c r="G20" s="163">
        <v>202</v>
      </c>
      <c r="H20" s="163">
        <v>268</v>
      </c>
      <c r="I20" s="163">
        <v>336</v>
      </c>
      <c r="J20" s="163">
        <v>404</v>
      </c>
    </row>
    <row r="21" spans="1:10">
      <c r="A21" s="112" t="s">
        <v>220</v>
      </c>
      <c r="B21" s="165">
        <v>43</v>
      </c>
      <c r="C21" s="163">
        <v>72</v>
      </c>
      <c r="D21" s="165">
        <v>115</v>
      </c>
      <c r="E21" s="163">
        <v>144</v>
      </c>
      <c r="F21" s="163">
        <v>187</v>
      </c>
      <c r="G21" s="163">
        <v>230</v>
      </c>
      <c r="H21" s="163">
        <v>288</v>
      </c>
      <c r="I21" s="163">
        <v>374</v>
      </c>
      <c r="J21" s="163">
        <v>460</v>
      </c>
    </row>
    <row r="23" spans="1:10" ht="15.75">
      <c r="A23" s="277" t="s">
        <v>221</v>
      </c>
      <c r="B23" s="278"/>
      <c r="C23" s="278"/>
      <c r="D23" s="278"/>
      <c r="E23" s="278"/>
      <c r="F23" s="278"/>
      <c r="G23" s="278"/>
      <c r="H23" s="278"/>
      <c r="I23" s="278"/>
      <c r="J23" s="279"/>
    </row>
    <row r="24" spans="1:10">
      <c r="A24" s="112" t="s">
        <v>193</v>
      </c>
      <c r="B24" s="162" t="s">
        <v>194</v>
      </c>
      <c r="C24" s="162" t="s">
        <v>195</v>
      </c>
      <c r="D24" s="162" t="s">
        <v>196</v>
      </c>
      <c r="E24" s="162" t="s">
        <v>197</v>
      </c>
      <c r="F24" s="162" t="s">
        <v>198</v>
      </c>
      <c r="G24" s="162" t="s">
        <v>199</v>
      </c>
      <c r="H24" s="162" t="s">
        <v>200</v>
      </c>
      <c r="I24" s="162" t="s">
        <v>201</v>
      </c>
      <c r="J24" s="162" t="s">
        <v>202</v>
      </c>
    </row>
    <row r="25" spans="1:10">
      <c r="A25" s="112" t="s">
        <v>320</v>
      </c>
      <c r="B25" s="163">
        <v>16</v>
      </c>
      <c r="C25" s="163">
        <v>28</v>
      </c>
      <c r="D25" s="163">
        <v>44</v>
      </c>
      <c r="E25" s="163">
        <v>57</v>
      </c>
      <c r="F25" s="163">
        <v>72</v>
      </c>
      <c r="G25" s="163">
        <v>88</v>
      </c>
      <c r="H25" s="163">
        <v>115</v>
      </c>
      <c r="I25" s="163">
        <v>145</v>
      </c>
      <c r="J25" s="163">
        <v>176</v>
      </c>
    </row>
    <row r="26" spans="1:10">
      <c r="A26" s="112" t="s">
        <v>222</v>
      </c>
      <c r="B26" s="163">
        <v>18</v>
      </c>
      <c r="C26" s="163">
        <v>32</v>
      </c>
      <c r="D26" s="163">
        <v>50</v>
      </c>
      <c r="E26" s="163">
        <v>65</v>
      </c>
      <c r="F26" s="163">
        <v>82</v>
      </c>
      <c r="G26" s="163">
        <v>100</v>
      </c>
      <c r="H26" s="163">
        <v>130</v>
      </c>
      <c r="I26" s="163">
        <v>164</v>
      </c>
      <c r="J26" s="163">
        <v>200</v>
      </c>
    </row>
    <row r="27" spans="1:10">
      <c r="A27" s="112" t="s">
        <v>223</v>
      </c>
      <c r="B27" s="165">
        <v>25</v>
      </c>
      <c r="C27" s="163">
        <v>46</v>
      </c>
      <c r="D27" s="165">
        <v>70</v>
      </c>
      <c r="E27" s="165">
        <v>88</v>
      </c>
      <c r="F27" s="163">
        <v>116</v>
      </c>
      <c r="G27" s="163">
        <v>140</v>
      </c>
      <c r="H27" s="163">
        <v>176</v>
      </c>
      <c r="I27" s="163">
        <v>232</v>
      </c>
      <c r="J27" s="163">
        <v>280</v>
      </c>
    </row>
    <row r="28" spans="1:10">
      <c r="A28" s="112" t="s">
        <v>224</v>
      </c>
      <c r="B28" s="164">
        <v>22</v>
      </c>
      <c r="C28" s="163">
        <v>41</v>
      </c>
      <c r="D28" s="166">
        <v>61.3</v>
      </c>
      <c r="E28" s="166">
        <v>80.5</v>
      </c>
      <c r="F28" s="163">
        <v>102.3</v>
      </c>
      <c r="G28" s="163">
        <v>122.6</v>
      </c>
      <c r="H28" s="163">
        <v>161</v>
      </c>
      <c r="I28" s="163">
        <v>204.6</v>
      </c>
      <c r="J28" s="163">
        <v>245.2</v>
      </c>
    </row>
    <row r="29" spans="1:10">
      <c r="A29" s="112" t="s">
        <v>225</v>
      </c>
      <c r="B29" s="164">
        <v>23</v>
      </c>
      <c r="C29" s="163">
        <v>47</v>
      </c>
      <c r="D29" s="166">
        <v>69.900000000000006</v>
      </c>
      <c r="E29" s="166">
        <v>92.6</v>
      </c>
      <c r="F29" s="163">
        <v>116.9</v>
      </c>
      <c r="G29" s="163">
        <v>139.80000000000001</v>
      </c>
      <c r="H29" s="163">
        <v>185.2</v>
      </c>
      <c r="I29" s="163">
        <v>233.8</v>
      </c>
      <c r="J29" s="163">
        <v>279.60000000000002</v>
      </c>
    </row>
    <row r="30" spans="1:10">
      <c r="A30" s="112" t="s">
        <v>226</v>
      </c>
      <c r="B30" s="163">
        <v>27</v>
      </c>
      <c r="C30" s="163">
        <v>51</v>
      </c>
      <c r="D30" s="163">
        <v>77</v>
      </c>
      <c r="E30" s="163">
        <v>102</v>
      </c>
      <c r="F30" s="163">
        <v>128</v>
      </c>
      <c r="G30" s="163">
        <v>153</v>
      </c>
      <c r="H30" s="163">
        <v>204</v>
      </c>
      <c r="I30" s="163">
        <v>256</v>
      </c>
      <c r="J30" s="163">
        <v>306</v>
      </c>
    </row>
    <row r="31" spans="1:10">
      <c r="A31" s="112" t="s">
        <v>227</v>
      </c>
      <c r="B31" s="164">
        <v>25</v>
      </c>
      <c r="C31" s="163">
        <v>48</v>
      </c>
      <c r="D31" s="163">
        <v>73</v>
      </c>
      <c r="E31" s="163">
        <v>96</v>
      </c>
      <c r="F31" s="163">
        <v>121</v>
      </c>
      <c r="G31" s="163">
        <v>156</v>
      </c>
      <c r="H31" s="163">
        <v>204</v>
      </c>
      <c r="I31" s="163">
        <v>242</v>
      </c>
      <c r="J31" s="163">
        <v>312</v>
      </c>
    </row>
    <row r="32" spans="1:10">
      <c r="A32" s="112" t="s">
        <v>228</v>
      </c>
      <c r="B32" s="164">
        <v>31</v>
      </c>
      <c r="C32" s="163">
        <v>59</v>
      </c>
      <c r="D32" s="163">
        <v>89</v>
      </c>
      <c r="E32" s="163">
        <v>112</v>
      </c>
      <c r="F32" s="163">
        <v>148</v>
      </c>
      <c r="G32" s="163">
        <v>175</v>
      </c>
      <c r="H32" s="163">
        <v>224</v>
      </c>
      <c r="I32" s="163">
        <v>296</v>
      </c>
      <c r="J32" s="163">
        <v>350</v>
      </c>
    </row>
    <row r="33" spans="1:10">
      <c r="A33" s="145" t="s">
        <v>229</v>
      </c>
      <c r="B33" s="162">
        <v>36</v>
      </c>
      <c r="C33" s="162">
        <v>72</v>
      </c>
      <c r="D33" s="162">
        <v>106</v>
      </c>
      <c r="E33" s="162">
        <v>134</v>
      </c>
      <c r="F33" s="163">
        <v>178</v>
      </c>
      <c r="G33" s="163">
        <v>212</v>
      </c>
      <c r="H33" s="163">
        <v>268</v>
      </c>
      <c r="I33" s="163">
        <v>356</v>
      </c>
      <c r="J33" s="163">
        <v>424</v>
      </c>
    </row>
    <row r="34" spans="1:10">
      <c r="A34" s="112" t="s">
        <v>230</v>
      </c>
      <c r="B34" s="162">
        <v>50</v>
      </c>
      <c r="C34" s="162">
        <v>88</v>
      </c>
      <c r="D34" s="163">
        <v>138</v>
      </c>
      <c r="E34" s="163">
        <v>176</v>
      </c>
      <c r="F34" s="163">
        <v>226</v>
      </c>
      <c r="G34" s="163">
        <v>276</v>
      </c>
      <c r="H34" s="163">
        <v>352</v>
      </c>
      <c r="I34" s="163">
        <v>452</v>
      </c>
      <c r="J34" s="163">
        <v>552</v>
      </c>
    </row>
    <row r="35" spans="1:10">
      <c r="A35" s="112" t="s">
        <v>231</v>
      </c>
      <c r="B35" s="163">
        <v>58</v>
      </c>
      <c r="C35" s="163">
        <v>109</v>
      </c>
      <c r="D35" s="163">
        <v>167</v>
      </c>
      <c r="E35" s="163">
        <v>219</v>
      </c>
      <c r="F35" s="163">
        <v>328</v>
      </c>
      <c r="G35" s="163">
        <v>334</v>
      </c>
      <c r="H35" s="163">
        <v>438</v>
      </c>
      <c r="I35" s="163">
        <v>656</v>
      </c>
      <c r="J35" s="163">
        <v>668</v>
      </c>
    </row>
    <row r="36" spans="1:10">
      <c r="A36" s="112" t="s">
        <v>321</v>
      </c>
      <c r="B36" s="163">
        <v>28</v>
      </c>
      <c r="C36" s="163">
        <v>51</v>
      </c>
      <c r="D36" s="163">
        <v>73</v>
      </c>
      <c r="E36" s="163">
        <v>102</v>
      </c>
      <c r="F36" s="163">
        <v>123</v>
      </c>
      <c r="G36" s="163">
        <v>145</v>
      </c>
      <c r="H36" s="163">
        <v>203</v>
      </c>
      <c r="I36" s="163">
        <v>247</v>
      </c>
      <c r="J36" s="163">
        <v>291</v>
      </c>
    </row>
    <row r="37" spans="1:10">
      <c r="A37" s="112" t="s">
        <v>193</v>
      </c>
      <c r="B37" s="163" t="s">
        <v>194</v>
      </c>
      <c r="C37" s="163" t="s">
        <v>195</v>
      </c>
      <c r="D37" s="163" t="s">
        <v>196</v>
      </c>
      <c r="E37" s="163" t="s">
        <v>197</v>
      </c>
      <c r="F37" s="163" t="s">
        <v>198</v>
      </c>
      <c r="G37" s="163" t="s">
        <v>199</v>
      </c>
      <c r="H37" s="163" t="s">
        <v>200</v>
      </c>
      <c r="I37" s="163" t="s">
        <v>201</v>
      </c>
      <c r="J37" s="163" t="s">
        <v>202</v>
      </c>
    </row>
    <row r="38" spans="1:10">
      <c r="A38" s="112" t="s">
        <v>322</v>
      </c>
      <c r="B38" s="163">
        <f>ROUND(28*B39/32, 0)</f>
        <v>32</v>
      </c>
      <c r="C38" s="163">
        <f t="shared" ref="C38:J38" si="0">ROUND(28*C39/32, 0)</f>
        <v>57</v>
      </c>
      <c r="D38" s="163">
        <f t="shared" si="0"/>
        <v>81</v>
      </c>
      <c r="E38" s="163">
        <f t="shared" si="0"/>
        <v>114</v>
      </c>
      <c r="F38" s="163">
        <f t="shared" si="0"/>
        <v>138</v>
      </c>
      <c r="G38" s="163">
        <f t="shared" si="0"/>
        <v>163</v>
      </c>
      <c r="H38" s="163">
        <f t="shared" si="0"/>
        <v>228</v>
      </c>
      <c r="I38" s="163">
        <f t="shared" si="0"/>
        <v>277</v>
      </c>
      <c r="J38" s="163">
        <f t="shared" si="0"/>
        <v>326</v>
      </c>
    </row>
    <row r="39" spans="1:10">
      <c r="A39" s="112" t="s">
        <v>232</v>
      </c>
      <c r="B39" s="163">
        <v>36</v>
      </c>
      <c r="C39" s="163">
        <v>65</v>
      </c>
      <c r="D39" s="163">
        <v>93</v>
      </c>
      <c r="E39" s="163">
        <v>130</v>
      </c>
      <c r="F39" s="163">
        <v>158</v>
      </c>
      <c r="G39" s="163">
        <v>186</v>
      </c>
      <c r="H39" s="163">
        <v>260</v>
      </c>
      <c r="I39" s="163">
        <v>316</v>
      </c>
      <c r="J39" s="163">
        <v>372</v>
      </c>
    </row>
    <row r="40" spans="1:10">
      <c r="A40" s="112" t="s">
        <v>233</v>
      </c>
      <c r="B40" s="163">
        <v>41</v>
      </c>
      <c r="C40" s="163">
        <v>79</v>
      </c>
      <c r="D40" s="163">
        <v>112</v>
      </c>
      <c r="E40" s="163">
        <v>151</v>
      </c>
      <c r="F40" s="163">
        <v>189</v>
      </c>
      <c r="G40" s="163">
        <v>226</v>
      </c>
      <c r="H40" s="163">
        <v>302</v>
      </c>
      <c r="I40" s="163">
        <v>378</v>
      </c>
      <c r="J40" s="163">
        <v>452</v>
      </c>
    </row>
    <row r="41" spans="1:10">
      <c r="A41" s="112" t="s">
        <v>234</v>
      </c>
      <c r="B41" s="162">
        <v>59</v>
      </c>
      <c r="C41" s="162">
        <v>98</v>
      </c>
      <c r="D41" s="163">
        <v>157</v>
      </c>
      <c r="E41" s="163">
        <v>196</v>
      </c>
      <c r="F41" s="163">
        <v>255</v>
      </c>
      <c r="G41" s="163">
        <v>314</v>
      </c>
      <c r="H41" s="163">
        <v>392</v>
      </c>
      <c r="I41" s="163">
        <v>510</v>
      </c>
      <c r="J41" s="163">
        <v>628</v>
      </c>
    </row>
    <row r="42" spans="1:10">
      <c r="A42" s="112" t="s">
        <v>235</v>
      </c>
      <c r="B42" s="162">
        <v>70</v>
      </c>
      <c r="C42" s="162">
        <v>118</v>
      </c>
      <c r="D42" s="163">
        <v>188</v>
      </c>
      <c r="E42" s="163">
        <v>236</v>
      </c>
      <c r="F42" s="163">
        <v>306</v>
      </c>
      <c r="G42" s="163">
        <v>376</v>
      </c>
      <c r="H42" s="163">
        <v>472</v>
      </c>
      <c r="I42" s="163">
        <v>612</v>
      </c>
      <c r="J42" s="163">
        <v>752</v>
      </c>
    </row>
    <row r="43" spans="1:10">
      <c r="A43" s="112" t="s">
        <v>236</v>
      </c>
      <c r="B43" s="162">
        <v>81</v>
      </c>
      <c r="C43" s="162">
        <v>135</v>
      </c>
      <c r="D43" s="163">
        <v>216</v>
      </c>
      <c r="E43" s="163">
        <v>270</v>
      </c>
      <c r="F43" s="163">
        <v>351</v>
      </c>
      <c r="G43" s="163">
        <v>432</v>
      </c>
      <c r="H43" s="163">
        <v>540</v>
      </c>
      <c r="I43" s="163">
        <v>702</v>
      </c>
      <c r="J43" s="163">
        <v>864</v>
      </c>
    </row>
    <row r="44" spans="1:10">
      <c r="A44" s="112" t="s">
        <v>237</v>
      </c>
      <c r="B44" s="163">
        <v>80</v>
      </c>
      <c r="C44" s="163">
        <v>160</v>
      </c>
      <c r="D44" s="163">
        <v>240</v>
      </c>
      <c r="E44" s="163">
        <v>320</v>
      </c>
      <c r="F44" s="163">
        <v>400</v>
      </c>
      <c r="G44" s="163">
        <v>480</v>
      </c>
      <c r="H44" s="163">
        <v>640</v>
      </c>
      <c r="I44" s="163">
        <v>800</v>
      </c>
      <c r="J44" s="163">
        <v>960</v>
      </c>
    </row>
    <row r="45" spans="1:10">
      <c r="A45" s="112" t="s">
        <v>323</v>
      </c>
      <c r="B45" s="163">
        <f>ROUND(28*B47/32, 0)</f>
        <v>25</v>
      </c>
      <c r="C45" s="163">
        <f t="shared" ref="C45:J45" si="1">ROUND(28*C47/32, 0)</f>
        <v>48</v>
      </c>
      <c r="D45" s="163">
        <f t="shared" si="1"/>
        <v>71</v>
      </c>
      <c r="E45" s="163">
        <f t="shared" si="1"/>
        <v>96</v>
      </c>
      <c r="F45" s="163">
        <f t="shared" si="1"/>
        <v>119</v>
      </c>
      <c r="G45" s="163">
        <f t="shared" si="1"/>
        <v>142</v>
      </c>
      <c r="H45" s="163">
        <f t="shared" si="1"/>
        <v>193</v>
      </c>
      <c r="I45" s="163">
        <f t="shared" si="1"/>
        <v>238</v>
      </c>
      <c r="J45" s="163">
        <f t="shared" si="1"/>
        <v>284</v>
      </c>
    </row>
    <row r="46" spans="1:10">
      <c r="A46" s="112" t="s">
        <v>324</v>
      </c>
      <c r="B46" s="163">
        <f>ROUND(31*B47/32, 0)</f>
        <v>28</v>
      </c>
      <c r="C46" s="163">
        <f t="shared" ref="C46:J46" si="2">ROUND(31*C47/32, 0)</f>
        <v>53</v>
      </c>
      <c r="D46" s="163">
        <f t="shared" si="2"/>
        <v>78</v>
      </c>
      <c r="E46" s="163">
        <f t="shared" si="2"/>
        <v>107</v>
      </c>
      <c r="F46" s="163">
        <f t="shared" si="2"/>
        <v>132</v>
      </c>
      <c r="G46" s="163">
        <f t="shared" si="2"/>
        <v>157</v>
      </c>
      <c r="H46" s="163">
        <f t="shared" si="2"/>
        <v>213</v>
      </c>
      <c r="I46" s="163">
        <f t="shared" si="2"/>
        <v>264</v>
      </c>
      <c r="J46" s="163">
        <f t="shared" si="2"/>
        <v>314</v>
      </c>
    </row>
    <row r="47" spans="1:10">
      <c r="A47" s="112" t="s">
        <v>238</v>
      </c>
      <c r="B47" s="163">
        <v>29</v>
      </c>
      <c r="C47" s="163">
        <v>55</v>
      </c>
      <c r="D47" s="163">
        <v>81</v>
      </c>
      <c r="E47" s="163">
        <v>110</v>
      </c>
      <c r="F47" s="163">
        <v>136</v>
      </c>
      <c r="G47" s="163">
        <v>162</v>
      </c>
      <c r="H47" s="163">
        <v>220</v>
      </c>
      <c r="I47" s="163">
        <v>272</v>
      </c>
      <c r="J47" s="163">
        <v>324</v>
      </c>
    </row>
    <row r="49" spans="1:11" ht="15.75">
      <c r="A49" s="277" t="s">
        <v>239</v>
      </c>
      <c r="B49" s="278"/>
      <c r="C49" s="278"/>
      <c r="D49" s="278"/>
      <c r="E49" s="278"/>
      <c r="F49" s="278"/>
      <c r="G49" s="278"/>
      <c r="H49" s="278"/>
      <c r="I49" s="278"/>
      <c r="J49" s="279"/>
    </row>
    <row r="50" spans="1:11">
      <c r="A50" s="112" t="s">
        <v>193</v>
      </c>
      <c r="B50" s="162" t="s">
        <v>194</v>
      </c>
      <c r="C50" s="162" t="s">
        <v>195</v>
      </c>
      <c r="D50" s="162" t="s">
        <v>196</v>
      </c>
      <c r="E50" s="162" t="s">
        <v>197</v>
      </c>
      <c r="F50" s="162" t="s">
        <v>198</v>
      </c>
      <c r="G50" s="162" t="s">
        <v>199</v>
      </c>
      <c r="H50" s="162" t="s">
        <v>200</v>
      </c>
      <c r="I50" s="162" t="s">
        <v>201</v>
      </c>
      <c r="J50" s="162" t="s">
        <v>202</v>
      </c>
    </row>
    <row r="51" spans="1:11">
      <c r="A51" s="112" t="s">
        <v>240</v>
      </c>
      <c r="B51" s="163">
        <v>18</v>
      </c>
      <c r="C51" s="163">
        <v>33</v>
      </c>
      <c r="D51" s="163">
        <v>50</v>
      </c>
      <c r="E51" s="163">
        <v>66</v>
      </c>
      <c r="F51" s="163">
        <v>83</v>
      </c>
      <c r="G51" s="163">
        <v>100</v>
      </c>
      <c r="H51" s="163">
        <v>132</v>
      </c>
      <c r="I51" s="163">
        <v>166</v>
      </c>
      <c r="J51" s="163">
        <v>200</v>
      </c>
    </row>
    <row r="52" spans="1:11">
      <c r="A52" s="112" t="s">
        <v>241</v>
      </c>
      <c r="B52" s="163">
        <v>27</v>
      </c>
      <c r="C52" s="163">
        <v>52</v>
      </c>
      <c r="D52" s="163">
        <v>79</v>
      </c>
      <c r="E52" s="163">
        <v>104</v>
      </c>
      <c r="F52" s="163">
        <v>131</v>
      </c>
      <c r="G52" s="163">
        <v>158</v>
      </c>
      <c r="H52" s="163">
        <v>208</v>
      </c>
      <c r="I52" s="163">
        <v>262</v>
      </c>
      <c r="J52" s="163">
        <v>316</v>
      </c>
    </row>
    <row r="53" spans="1:11">
      <c r="A53" s="112" t="s">
        <v>242</v>
      </c>
      <c r="B53" s="163">
        <v>25</v>
      </c>
      <c r="C53" s="163">
        <v>48</v>
      </c>
      <c r="D53" s="163">
        <v>73</v>
      </c>
      <c r="E53" s="163">
        <v>96</v>
      </c>
      <c r="F53" s="163">
        <v>121</v>
      </c>
      <c r="G53" s="163">
        <v>146</v>
      </c>
      <c r="H53" s="163">
        <v>192</v>
      </c>
      <c r="I53" s="163">
        <v>242</v>
      </c>
      <c r="J53" s="163">
        <v>292</v>
      </c>
    </row>
    <row r="54" spans="1:11">
      <c r="A54" s="112" t="s">
        <v>243</v>
      </c>
      <c r="B54" s="164">
        <v>42</v>
      </c>
      <c r="C54" s="164">
        <v>85</v>
      </c>
      <c r="D54" s="163">
        <v>127</v>
      </c>
      <c r="E54" s="163">
        <v>170</v>
      </c>
      <c r="F54" s="163">
        <v>212</v>
      </c>
      <c r="G54" s="163">
        <v>254</v>
      </c>
      <c r="H54" s="163">
        <v>340</v>
      </c>
      <c r="I54" s="163">
        <v>424</v>
      </c>
      <c r="J54" s="163">
        <v>508</v>
      </c>
    </row>
    <row r="55" spans="1:11">
      <c r="A55" s="112" t="s">
        <v>244</v>
      </c>
      <c r="B55" s="164">
        <v>33</v>
      </c>
      <c r="C55" s="163">
        <v>64</v>
      </c>
      <c r="D55" s="163">
        <v>97</v>
      </c>
      <c r="E55" s="163">
        <v>128</v>
      </c>
      <c r="F55" s="163">
        <v>161</v>
      </c>
      <c r="G55" s="163">
        <v>192</v>
      </c>
      <c r="H55" s="163">
        <v>256</v>
      </c>
      <c r="I55" s="163">
        <v>322</v>
      </c>
      <c r="J55" s="163">
        <v>384</v>
      </c>
    </row>
    <row r="56" spans="1:11">
      <c r="A56" s="112" t="s">
        <v>245</v>
      </c>
      <c r="B56" s="163">
        <v>42</v>
      </c>
      <c r="C56" s="163">
        <v>85</v>
      </c>
      <c r="D56" s="163">
        <v>127</v>
      </c>
      <c r="E56" s="163">
        <v>170</v>
      </c>
      <c r="F56" s="163">
        <v>212</v>
      </c>
      <c r="G56" s="163">
        <v>254</v>
      </c>
      <c r="H56" s="163">
        <v>340</v>
      </c>
      <c r="I56" s="163">
        <v>424</v>
      </c>
      <c r="J56" s="163">
        <v>508</v>
      </c>
    </row>
    <row r="57" spans="1:11">
      <c r="A57" s="112" t="s">
        <v>325</v>
      </c>
      <c r="B57" s="164">
        <v>55</v>
      </c>
      <c r="C57" s="163">
        <v>108</v>
      </c>
      <c r="D57" s="163">
        <v>168</v>
      </c>
      <c r="E57" s="163">
        <v>217</v>
      </c>
      <c r="F57" s="163">
        <v>276</v>
      </c>
      <c r="G57" s="163">
        <v>325</v>
      </c>
      <c r="H57" s="163">
        <v>433</v>
      </c>
      <c r="I57" s="163">
        <v>552</v>
      </c>
      <c r="J57" s="163">
        <v>650</v>
      </c>
    </row>
    <row r="58" spans="1:11">
      <c r="A58" s="112" t="s">
        <v>246</v>
      </c>
      <c r="B58" s="164">
        <v>59</v>
      </c>
      <c r="C58" s="163">
        <v>117</v>
      </c>
      <c r="D58" s="163">
        <v>181</v>
      </c>
      <c r="E58" s="163">
        <v>234</v>
      </c>
      <c r="F58" s="163">
        <v>298</v>
      </c>
      <c r="G58" s="163">
        <v>351</v>
      </c>
      <c r="H58" s="163">
        <v>468</v>
      </c>
      <c r="I58" s="163">
        <v>596</v>
      </c>
      <c r="J58" s="163">
        <v>702</v>
      </c>
    </row>
    <row r="59" spans="1:11">
      <c r="A59" s="112" t="s">
        <v>247</v>
      </c>
      <c r="B59" s="163">
        <v>40</v>
      </c>
      <c r="C59" s="163">
        <v>78</v>
      </c>
      <c r="D59" s="163">
        <v>118</v>
      </c>
      <c r="E59" s="163">
        <v>156</v>
      </c>
      <c r="F59" s="163">
        <v>196</v>
      </c>
      <c r="G59" s="162">
        <v>234</v>
      </c>
      <c r="H59" s="162">
        <v>312</v>
      </c>
      <c r="I59" s="163">
        <v>392</v>
      </c>
      <c r="J59" s="163">
        <v>468</v>
      </c>
    </row>
    <row r="61" spans="1:11" ht="15.75">
      <c r="A61" s="270" t="s">
        <v>248</v>
      </c>
      <c r="B61" s="270"/>
      <c r="C61" s="270"/>
      <c r="D61" s="270"/>
      <c r="F61" s="270" t="s">
        <v>326</v>
      </c>
      <c r="G61" s="270"/>
      <c r="H61" s="270"/>
      <c r="I61" s="270"/>
      <c r="J61" s="270"/>
      <c r="K61" s="270"/>
    </row>
    <row r="62" spans="1:11" ht="30">
      <c r="A62" s="112" t="s">
        <v>193</v>
      </c>
      <c r="B62" s="162" t="s">
        <v>194</v>
      </c>
      <c r="C62" s="162" t="s">
        <v>195</v>
      </c>
      <c r="D62" s="162" t="s">
        <v>196</v>
      </c>
      <c r="F62" s="276" t="s">
        <v>193</v>
      </c>
      <c r="G62" s="276"/>
      <c r="H62" s="276"/>
      <c r="I62" s="162" t="s">
        <v>194</v>
      </c>
      <c r="J62" s="162" t="s">
        <v>195</v>
      </c>
      <c r="K62" s="143" t="s">
        <v>196</v>
      </c>
    </row>
    <row r="63" spans="1:11">
      <c r="A63" s="143" t="s">
        <v>249</v>
      </c>
      <c r="B63" s="163">
        <v>41</v>
      </c>
      <c r="C63" s="163">
        <v>77</v>
      </c>
      <c r="D63" s="163">
        <v>114</v>
      </c>
      <c r="F63" s="276" t="s">
        <v>327</v>
      </c>
      <c r="G63" s="276"/>
      <c r="H63" s="276"/>
      <c r="I63" s="163">
        <f>9*I64/13</f>
        <v>10.384615384615385</v>
      </c>
      <c r="J63" s="163">
        <f t="shared" ref="J63:K63" si="3">9*J64/13</f>
        <v>19.384615384615383</v>
      </c>
      <c r="K63" s="144">
        <f t="shared" si="3"/>
        <v>29.76923076923077</v>
      </c>
    </row>
    <row r="64" spans="1:11">
      <c r="A64" s="143" t="s">
        <v>250</v>
      </c>
      <c r="B64" s="163">
        <v>31</v>
      </c>
      <c r="C64" s="163">
        <v>62</v>
      </c>
      <c r="D64" s="163">
        <v>93</v>
      </c>
      <c r="F64" s="276" t="s">
        <v>252</v>
      </c>
      <c r="G64" s="276"/>
      <c r="H64" s="276"/>
      <c r="I64" s="163">
        <v>15</v>
      </c>
      <c r="J64" s="163">
        <v>28</v>
      </c>
      <c r="K64" s="144">
        <v>43</v>
      </c>
    </row>
    <row r="65" spans="1:11">
      <c r="A65" s="143" t="s">
        <v>251</v>
      </c>
      <c r="B65" s="163">
        <v>26</v>
      </c>
      <c r="C65" s="163">
        <v>52</v>
      </c>
      <c r="D65" s="163">
        <v>78</v>
      </c>
      <c r="E65" s="168"/>
      <c r="F65" s="276" t="s">
        <v>253</v>
      </c>
      <c r="G65" s="276"/>
      <c r="H65" s="276"/>
      <c r="I65" s="163">
        <v>20</v>
      </c>
      <c r="J65" s="163">
        <v>38</v>
      </c>
      <c r="K65" s="144">
        <v>58</v>
      </c>
    </row>
    <row r="66" spans="1:11">
      <c r="A66" s="146"/>
      <c r="B66" s="169"/>
      <c r="C66" s="169"/>
      <c r="D66" s="169"/>
      <c r="E66" s="168"/>
      <c r="F66" s="276" t="s">
        <v>254</v>
      </c>
      <c r="G66" s="276"/>
      <c r="H66" s="276"/>
      <c r="I66" s="163">
        <v>27</v>
      </c>
      <c r="J66" s="163">
        <v>50</v>
      </c>
      <c r="K66" s="144">
        <v>77</v>
      </c>
    </row>
    <row r="67" spans="1:11">
      <c r="A67" s="146"/>
      <c r="B67" s="169"/>
      <c r="C67" s="169"/>
      <c r="D67" s="169"/>
      <c r="E67" s="168"/>
      <c r="F67" s="276" t="s">
        <v>328</v>
      </c>
      <c r="G67" s="276"/>
      <c r="H67" s="276"/>
      <c r="I67" s="163">
        <f>28*I68/32</f>
        <v>29.75</v>
      </c>
      <c r="J67" s="163">
        <f t="shared" ref="J67:K67" si="4">28*J68/32</f>
        <v>54.25</v>
      </c>
      <c r="K67" s="144">
        <f t="shared" si="4"/>
        <v>84</v>
      </c>
    </row>
    <row r="68" spans="1:11">
      <c r="E68" s="168"/>
      <c r="F68" s="276" t="s">
        <v>255</v>
      </c>
      <c r="G68" s="276"/>
      <c r="H68" s="276"/>
      <c r="I68" s="163">
        <v>34</v>
      </c>
      <c r="J68" s="163">
        <v>62</v>
      </c>
      <c r="K68" s="144">
        <v>96</v>
      </c>
    </row>
    <row r="69" spans="1:11" ht="15" customHeight="1">
      <c r="E69" s="168"/>
      <c r="F69" s="276" t="s">
        <v>256</v>
      </c>
      <c r="G69" s="276"/>
      <c r="H69" s="276"/>
      <c r="I69" s="163">
        <v>40</v>
      </c>
      <c r="J69" s="163">
        <v>74</v>
      </c>
      <c r="K69" s="144">
        <v>114</v>
      </c>
    </row>
    <row r="70" spans="1:11">
      <c r="E70" s="168"/>
      <c r="F70" s="276" t="s">
        <v>257</v>
      </c>
      <c r="G70" s="276"/>
      <c r="H70" s="276"/>
      <c r="I70" s="163">
        <v>43</v>
      </c>
      <c r="J70" s="163">
        <v>72</v>
      </c>
      <c r="K70" s="144">
        <v>105</v>
      </c>
    </row>
    <row r="71" spans="1:11">
      <c r="F71" s="276" t="s">
        <v>258</v>
      </c>
      <c r="G71" s="276"/>
      <c r="H71" s="276"/>
      <c r="I71" s="163">
        <v>44</v>
      </c>
      <c r="J71" s="163">
        <v>93</v>
      </c>
      <c r="K71" s="144">
        <v>137</v>
      </c>
    </row>
    <row r="72" spans="1:11">
      <c r="F72" s="170"/>
      <c r="G72" s="170"/>
      <c r="H72" s="170"/>
      <c r="I72" s="170"/>
      <c r="J72" s="170"/>
      <c r="K72" s="147"/>
    </row>
    <row r="73" spans="1:11" ht="15.75">
      <c r="A73" s="148" t="s">
        <v>133</v>
      </c>
      <c r="B73" s="280" t="s">
        <v>259</v>
      </c>
      <c r="C73" s="280"/>
      <c r="E73" s="280" t="s">
        <v>280</v>
      </c>
      <c r="F73" s="280"/>
      <c r="G73" s="280"/>
      <c r="H73" s="280"/>
      <c r="I73" s="282" t="s">
        <v>259</v>
      </c>
      <c r="J73" s="282"/>
    </row>
    <row r="74" spans="1:11">
      <c r="A74" s="112" t="s">
        <v>260</v>
      </c>
      <c r="B74" s="171">
        <v>46</v>
      </c>
      <c r="C74" s="172"/>
      <c r="E74" s="281" t="s">
        <v>281</v>
      </c>
      <c r="F74" s="281"/>
      <c r="G74" s="281"/>
      <c r="H74" s="283"/>
      <c r="I74" s="171">
        <v>23</v>
      </c>
      <c r="J74" s="172"/>
    </row>
    <row r="75" spans="1:11">
      <c r="A75" s="112" t="s">
        <v>261</v>
      </c>
      <c r="B75" s="171">
        <v>66</v>
      </c>
      <c r="C75" s="172"/>
      <c r="E75" s="281" t="s">
        <v>282</v>
      </c>
      <c r="F75" s="281"/>
      <c r="G75" s="281"/>
      <c r="H75" s="281"/>
      <c r="I75" s="171">
        <v>43</v>
      </c>
      <c r="J75" s="172"/>
    </row>
    <row r="76" spans="1:11">
      <c r="A76" s="112" t="s">
        <v>262</v>
      </c>
      <c r="B76" s="171">
        <v>95</v>
      </c>
      <c r="C76" s="172"/>
      <c r="E76" s="281" t="s">
        <v>283</v>
      </c>
      <c r="F76" s="281"/>
      <c r="G76" s="281"/>
      <c r="H76" s="281"/>
      <c r="I76" s="171">
        <v>77</v>
      </c>
      <c r="J76" s="172"/>
    </row>
    <row r="77" spans="1:11">
      <c r="A77" s="112" t="s">
        <v>263</v>
      </c>
      <c r="B77" s="171">
        <v>138</v>
      </c>
      <c r="C77" s="172"/>
      <c r="E77" s="281" t="s">
        <v>284</v>
      </c>
      <c r="F77" s="281"/>
      <c r="G77" s="281"/>
      <c r="H77" s="281"/>
      <c r="I77" s="171">
        <v>95</v>
      </c>
      <c r="J77" s="172"/>
    </row>
    <row r="78" spans="1:11">
      <c r="A78" s="112" t="s">
        <v>264</v>
      </c>
      <c r="B78" s="171">
        <v>188</v>
      </c>
      <c r="C78" s="172"/>
      <c r="E78" s="281" t="s">
        <v>285</v>
      </c>
      <c r="F78" s="281"/>
      <c r="G78" s="281"/>
      <c r="H78" s="281"/>
      <c r="I78" s="171">
        <v>128</v>
      </c>
      <c r="J78" s="172"/>
    </row>
    <row r="79" spans="1:11">
      <c r="A79" s="112" t="s">
        <v>265</v>
      </c>
      <c r="B79" s="171">
        <v>250</v>
      </c>
      <c r="C79" s="172"/>
      <c r="E79" s="281" t="s">
        <v>286</v>
      </c>
      <c r="F79" s="281"/>
      <c r="G79" s="281"/>
      <c r="H79" s="281"/>
      <c r="I79" s="171">
        <v>190</v>
      </c>
      <c r="J79" s="172"/>
    </row>
    <row r="80" spans="1:11">
      <c r="A80" s="112" t="s">
        <v>266</v>
      </c>
      <c r="B80" s="171">
        <v>295</v>
      </c>
      <c r="C80" s="172"/>
      <c r="E80" s="281" t="s">
        <v>287</v>
      </c>
      <c r="F80" s="281"/>
      <c r="G80" s="281"/>
      <c r="H80" s="281"/>
      <c r="I80" s="171">
        <v>208</v>
      </c>
      <c r="J80" s="172"/>
    </row>
    <row r="81" spans="1:10">
      <c r="A81" s="112" t="s">
        <v>267</v>
      </c>
      <c r="B81" s="171">
        <v>365</v>
      </c>
      <c r="C81" s="172"/>
      <c r="E81" s="281" t="s">
        <v>288</v>
      </c>
      <c r="F81" s="281"/>
      <c r="G81" s="281"/>
      <c r="H81" s="281"/>
      <c r="I81" s="171">
        <v>232</v>
      </c>
      <c r="J81" s="172"/>
    </row>
    <row r="82" spans="1:10">
      <c r="A82" s="112" t="s">
        <v>268</v>
      </c>
      <c r="B82" s="171">
        <v>465</v>
      </c>
      <c r="C82" s="172"/>
      <c r="E82" s="281" t="s">
        <v>289</v>
      </c>
      <c r="F82" s="281"/>
      <c r="G82" s="281"/>
      <c r="H82" s="281"/>
      <c r="I82" s="171">
        <v>295</v>
      </c>
      <c r="J82" s="172"/>
    </row>
    <row r="83" spans="1:10" ht="15" customHeight="1">
      <c r="A83" s="112" t="s">
        <v>269</v>
      </c>
      <c r="B83" s="171">
        <v>835</v>
      </c>
      <c r="C83" s="172"/>
      <c r="E83" s="281" t="s">
        <v>290</v>
      </c>
      <c r="F83" s="281"/>
      <c r="G83" s="281"/>
      <c r="H83" s="281"/>
      <c r="I83" s="171">
        <v>418</v>
      </c>
      <c r="J83" s="172"/>
    </row>
    <row r="84" spans="1:10">
      <c r="A84" s="112" t="s">
        <v>270</v>
      </c>
      <c r="B84" s="171">
        <v>1100</v>
      </c>
      <c r="C84" s="172"/>
      <c r="E84" s="281" t="s">
        <v>291</v>
      </c>
      <c r="F84" s="281"/>
      <c r="G84" s="281"/>
      <c r="H84" s="281"/>
      <c r="I84" s="171">
        <v>458</v>
      </c>
      <c r="J84" s="172"/>
    </row>
    <row r="85" spans="1:10">
      <c r="E85" s="281" t="s">
        <v>292</v>
      </c>
      <c r="F85" s="281"/>
      <c r="G85" s="281"/>
      <c r="H85" s="281"/>
      <c r="I85" s="171">
        <v>850</v>
      </c>
      <c r="J85" s="172"/>
    </row>
    <row r="86" spans="1:10" ht="15" customHeight="1">
      <c r="E86" s="281" t="s">
        <v>293</v>
      </c>
      <c r="F86" s="281"/>
      <c r="G86" s="281"/>
      <c r="H86" s="281"/>
      <c r="I86" s="171">
        <v>1080</v>
      </c>
      <c r="J86" s="172"/>
    </row>
    <row r="87" spans="1:10" ht="15.75">
      <c r="A87" s="148" t="s">
        <v>137</v>
      </c>
      <c r="B87" s="280" t="s">
        <v>259</v>
      </c>
      <c r="C87" s="280"/>
      <c r="E87" s="281" t="s">
        <v>294</v>
      </c>
      <c r="F87" s="281"/>
      <c r="G87" s="281"/>
      <c r="H87" s="281"/>
      <c r="I87" s="171">
        <v>1610</v>
      </c>
      <c r="J87" s="172"/>
    </row>
    <row r="88" spans="1:10">
      <c r="A88" s="112" t="s">
        <v>271</v>
      </c>
      <c r="B88" s="171">
        <v>50</v>
      </c>
      <c r="C88" s="172"/>
    </row>
    <row r="89" spans="1:10">
      <c r="A89" s="112" t="s">
        <v>272</v>
      </c>
      <c r="B89" s="171">
        <v>74</v>
      </c>
      <c r="C89" s="172"/>
    </row>
    <row r="90" spans="1:10" ht="15.75">
      <c r="A90" s="112" t="s">
        <v>273</v>
      </c>
      <c r="B90" s="171">
        <v>93</v>
      </c>
      <c r="C90" s="172"/>
      <c r="E90" s="280" t="s">
        <v>295</v>
      </c>
      <c r="F90" s="280"/>
      <c r="G90" s="280"/>
      <c r="H90" s="280"/>
      <c r="I90" s="280" t="s">
        <v>259</v>
      </c>
      <c r="J90" s="280"/>
    </row>
    <row r="91" spans="1:10">
      <c r="A91" s="112" t="s">
        <v>274</v>
      </c>
      <c r="B91" s="171">
        <v>125</v>
      </c>
      <c r="C91" s="172"/>
      <c r="E91" s="281" t="s">
        <v>296</v>
      </c>
      <c r="F91" s="281"/>
      <c r="G91" s="281"/>
      <c r="H91" s="281"/>
      <c r="I91" s="171">
        <v>110</v>
      </c>
      <c r="J91" s="172"/>
    </row>
    <row r="92" spans="1:10">
      <c r="A92" s="112" t="s">
        <v>275</v>
      </c>
      <c r="B92" s="171">
        <v>205</v>
      </c>
      <c r="C92" s="172"/>
      <c r="E92" s="281" t="s">
        <v>297</v>
      </c>
      <c r="F92" s="281"/>
      <c r="G92" s="281"/>
      <c r="H92" s="281"/>
      <c r="I92" s="171">
        <v>183</v>
      </c>
      <c r="J92" s="172"/>
    </row>
    <row r="93" spans="1:10">
      <c r="A93" s="112" t="s">
        <v>276</v>
      </c>
      <c r="B93" s="171">
        <v>290</v>
      </c>
      <c r="C93" s="172"/>
      <c r="E93" s="281" t="s">
        <v>298</v>
      </c>
      <c r="F93" s="281"/>
      <c r="G93" s="281"/>
      <c r="H93" s="281"/>
      <c r="I93" s="171">
        <v>208</v>
      </c>
      <c r="J93" s="172"/>
    </row>
    <row r="94" spans="1:10">
      <c r="A94" s="112" t="s">
        <v>277</v>
      </c>
      <c r="B94" s="171">
        <v>455</v>
      </c>
      <c r="C94" s="172"/>
      <c r="E94" s="281" t="s">
        <v>299</v>
      </c>
      <c r="F94" s="281"/>
      <c r="G94" s="281"/>
      <c r="H94" s="281"/>
      <c r="I94" s="171">
        <v>232</v>
      </c>
      <c r="J94" s="172"/>
    </row>
    <row r="95" spans="1:10" ht="15" customHeight="1">
      <c r="A95" s="112" t="s">
        <v>278</v>
      </c>
      <c r="B95" s="171">
        <v>780</v>
      </c>
      <c r="C95" s="172"/>
      <c r="E95" s="281" t="s">
        <v>300</v>
      </c>
      <c r="F95" s="281"/>
      <c r="G95" s="281"/>
      <c r="H95" s="281"/>
      <c r="I95" s="171">
        <v>288</v>
      </c>
      <c r="J95" s="172"/>
    </row>
    <row r="96" spans="1:10">
      <c r="A96" s="112" t="s">
        <v>279</v>
      </c>
      <c r="B96" s="171">
        <v>1075</v>
      </c>
      <c r="C96" s="172"/>
      <c r="E96" s="281" t="s">
        <v>301</v>
      </c>
      <c r="F96" s="281"/>
      <c r="G96" s="281"/>
      <c r="H96" s="281"/>
      <c r="I96" s="171">
        <v>365</v>
      </c>
      <c r="J96" s="172"/>
    </row>
    <row r="97" spans="1:10">
      <c r="E97" s="281" t="s">
        <v>302</v>
      </c>
      <c r="F97" s="281"/>
      <c r="G97" s="281"/>
      <c r="H97" s="281"/>
      <c r="I97" s="171">
        <v>400</v>
      </c>
      <c r="J97" s="172"/>
    </row>
    <row r="98" spans="1:10">
      <c r="E98" s="281" t="s">
        <v>319</v>
      </c>
      <c r="F98" s="281"/>
      <c r="G98" s="281"/>
      <c r="H98" s="281"/>
      <c r="I98" s="171">
        <v>456</v>
      </c>
      <c r="J98" s="172"/>
    </row>
    <row r="99" spans="1:10" ht="15.75">
      <c r="A99" s="148" t="s">
        <v>306</v>
      </c>
      <c r="B99" s="280" t="s">
        <v>259</v>
      </c>
      <c r="C99" s="280"/>
      <c r="E99" s="281" t="s">
        <v>303</v>
      </c>
      <c r="F99" s="281"/>
      <c r="G99" s="281"/>
      <c r="H99" s="281"/>
      <c r="I99" s="171">
        <v>506</v>
      </c>
      <c r="J99" s="172"/>
    </row>
    <row r="100" spans="1:10">
      <c r="A100" s="112" t="s">
        <v>307</v>
      </c>
      <c r="B100" s="171">
        <v>26</v>
      </c>
      <c r="C100" s="172"/>
      <c r="E100" s="281" t="s">
        <v>304</v>
      </c>
      <c r="F100" s="281"/>
      <c r="G100" s="281"/>
      <c r="H100" s="281"/>
      <c r="I100" s="171">
        <v>818</v>
      </c>
      <c r="J100" s="172"/>
    </row>
    <row r="101" spans="1:10">
      <c r="A101" s="112" t="s">
        <v>308</v>
      </c>
      <c r="B101" s="171">
        <v>45</v>
      </c>
      <c r="C101" s="172"/>
      <c r="E101" s="281" t="s">
        <v>305</v>
      </c>
      <c r="F101" s="281"/>
      <c r="G101" s="281"/>
      <c r="H101" s="281"/>
      <c r="I101" s="171">
        <v>1080</v>
      </c>
      <c r="J101" s="172"/>
    </row>
    <row r="102" spans="1:10">
      <c r="A102" s="112" t="s">
        <v>309</v>
      </c>
      <c r="B102" s="171">
        <v>55</v>
      </c>
      <c r="C102" s="172"/>
    </row>
    <row r="103" spans="1:10">
      <c r="A103" s="112" t="s">
        <v>310</v>
      </c>
      <c r="B103" s="171">
        <v>79</v>
      </c>
      <c r="C103" s="172"/>
    </row>
    <row r="104" spans="1:10">
      <c r="A104" s="112" t="s">
        <v>311</v>
      </c>
      <c r="B104" s="171">
        <v>110</v>
      </c>
      <c r="C104" s="172"/>
    </row>
    <row r="105" spans="1:10">
      <c r="A105" s="112" t="s">
        <v>312</v>
      </c>
      <c r="B105" s="171">
        <v>163</v>
      </c>
      <c r="C105" s="172"/>
    </row>
  </sheetData>
  <sheetProtection algorithmName="SHA-512" hashValue="CrLuTf7su2lFfT7lN4HT1iltlQuE3/Jg3zKJzIWmlPCYhkx5UZlgzj/dU1ndfRe7lq3HmT1ZUSoASooms9jKeg==" saltValue="vU0L2sBsYYR0KnwQPTVp6Q==" spinCount="100000" sheet="1" formatCells="0"/>
  <mergeCells count="48">
    <mergeCell ref="E98:H98"/>
    <mergeCell ref="E99:H99"/>
    <mergeCell ref="E100:H100"/>
    <mergeCell ref="E101:H101"/>
    <mergeCell ref="F69:H69"/>
    <mergeCell ref="F70:H70"/>
    <mergeCell ref="F71:H71"/>
    <mergeCell ref="E84:H84"/>
    <mergeCell ref="E85:H85"/>
    <mergeCell ref="E96:H96"/>
    <mergeCell ref="F64:H64"/>
    <mergeCell ref="F65:H65"/>
    <mergeCell ref="F66:H66"/>
    <mergeCell ref="F67:H67"/>
    <mergeCell ref="F68:H68"/>
    <mergeCell ref="I90:J90"/>
    <mergeCell ref="I73:J73"/>
    <mergeCell ref="B99:C99"/>
    <mergeCell ref="E74:H74"/>
    <mergeCell ref="E75:H75"/>
    <mergeCell ref="E76:H76"/>
    <mergeCell ref="E77:H77"/>
    <mergeCell ref="E78:H78"/>
    <mergeCell ref="E79:H79"/>
    <mergeCell ref="E80:H80"/>
    <mergeCell ref="E81:H81"/>
    <mergeCell ref="E82:H82"/>
    <mergeCell ref="E83:H83"/>
    <mergeCell ref="B87:C87"/>
    <mergeCell ref="E97:H97"/>
    <mergeCell ref="E86:H86"/>
    <mergeCell ref="B73:C73"/>
    <mergeCell ref="E92:H92"/>
    <mergeCell ref="E93:H93"/>
    <mergeCell ref="E94:H94"/>
    <mergeCell ref="E95:H95"/>
    <mergeCell ref="E87:H87"/>
    <mergeCell ref="E90:H90"/>
    <mergeCell ref="E91:H91"/>
    <mergeCell ref="E73:H73"/>
    <mergeCell ref="F62:H62"/>
    <mergeCell ref="F63:H63"/>
    <mergeCell ref="A1:J1"/>
    <mergeCell ref="A2:J2"/>
    <mergeCell ref="A23:J23"/>
    <mergeCell ref="A49:J49"/>
    <mergeCell ref="A61:D61"/>
    <mergeCell ref="F61:K61"/>
  </mergeCells>
  <pageMargins left="0.5" right="0.5" top="0.6" bottom="0.6" header="0.3" footer="0.3"/>
  <pageSetup orientation="landscape" r:id="rId1"/>
  <headerFooter>
    <oddHeader>&amp;LIPL Fixture Wattage Reference</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2"/>
  <sheetViews>
    <sheetView workbookViewId="0">
      <selection activeCell="G7" sqref="G7"/>
    </sheetView>
  </sheetViews>
  <sheetFormatPr defaultColWidth="26.140625" defaultRowHeight="15"/>
  <cols>
    <col min="1" max="1" width="9.28515625" bestFit="1" customWidth="1"/>
    <col min="2" max="2" width="9.7109375" bestFit="1" customWidth="1"/>
    <col min="3" max="3" width="15.5703125" bestFit="1" customWidth="1"/>
    <col min="4" max="4" width="18.85546875" bestFit="1" customWidth="1"/>
    <col min="5" max="5" width="52.28515625" bestFit="1" customWidth="1"/>
  </cols>
  <sheetData>
    <row r="2" spans="1:5">
      <c r="A2" s="3" t="s">
        <v>329</v>
      </c>
      <c r="B2" s="3" t="s">
        <v>330</v>
      </c>
      <c r="C2" s="3" t="s">
        <v>331</v>
      </c>
      <c r="D2" s="3" t="s">
        <v>332</v>
      </c>
      <c r="E2" s="3" t="s">
        <v>333</v>
      </c>
    </row>
    <row r="3" spans="1:5">
      <c r="A3" s="4">
        <v>1</v>
      </c>
      <c r="B3" s="5">
        <v>42736</v>
      </c>
      <c r="C3" s="4" t="s">
        <v>334</v>
      </c>
      <c r="D3" s="4" t="s">
        <v>335</v>
      </c>
      <c r="E3" s="6" t="s">
        <v>336</v>
      </c>
    </row>
    <row r="4" spans="1:5" ht="60">
      <c r="A4" s="4">
        <v>2</v>
      </c>
      <c r="B4" s="5">
        <v>42828</v>
      </c>
      <c r="C4" s="4" t="s">
        <v>334</v>
      </c>
      <c r="D4" s="4" t="s">
        <v>335</v>
      </c>
      <c r="E4" s="6" t="s">
        <v>339</v>
      </c>
    </row>
    <row r="5" spans="1:5" ht="30">
      <c r="A5" s="4">
        <v>3</v>
      </c>
      <c r="B5" s="5">
        <v>43108</v>
      </c>
      <c r="C5" s="4" t="s">
        <v>334</v>
      </c>
      <c r="D5" s="4" t="s">
        <v>335</v>
      </c>
      <c r="E5" s="6" t="s">
        <v>367</v>
      </c>
    </row>
    <row r="6" spans="1:5" ht="45">
      <c r="A6" s="4">
        <v>4</v>
      </c>
      <c r="B6" s="5">
        <v>43259</v>
      </c>
      <c r="C6" s="4" t="s">
        <v>334</v>
      </c>
      <c r="D6" s="4" t="s">
        <v>335</v>
      </c>
      <c r="E6" s="6" t="s">
        <v>368</v>
      </c>
    </row>
    <row r="7" spans="1:5" ht="30">
      <c r="A7" s="4">
        <v>5</v>
      </c>
      <c r="B7" s="5">
        <v>43479</v>
      </c>
      <c r="C7" s="4" t="s">
        <v>334</v>
      </c>
      <c r="D7" s="4" t="s">
        <v>335</v>
      </c>
      <c r="E7" s="6" t="s">
        <v>369</v>
      </c>
    </row>
    <row r="8" spans="1:5" ht="30">
      <c r="A8" s="4">
        <v>6</v>
      </c>
      <c r="B8" s="5">
        <v>44788</v>
      </c>
      <c r="C8" s="4" t="s">
        <v>334</v>
      </c>
      <c r="D8" s="4"/>
      <c r="E8" s="6" t="s">
        <v>475</v>
      </c>
    </row>
    <row r="9" spans="1:5">
      <c r="A9" s="4"/>
      <c r="B9" s="5"/>
      <c r="C9" s="4"/>
      <c r="D9" s="4"/>
      <c r="E9" s="6"/>
    </row>
    <row r="10" spans="1:5">
      <c r="A10" s="4"/>
      <c r="B10" s="5"/>
      <c r="C10" s="4"/>
      <c r="D10" s="4"/>
      <c r="E10" s="6"/>
    </row>
    <row r="11" spans="1:5">
      <c r="A11" s="4"/>
      <c r="B11" s="5"/>
      <c r="C11" s="4"/>
      <c r="D11" s="4"/>
      <c r="E11" s="6"/>
    </row>
    <row r="12" spans="1:5">
      <c r="A12" s="4"/>
      <c r="B12" s="5"/>
      <c r="C12" s="4"/>
      <c r="D12" s="4"/>
      <c r="E12"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1C25DCFDAF664488188C4E3F4A5376" ma:contentTypeVersion="15" ma:contentTypeDescription="Create a new document." ma:contentTypeScope="" ma:versionID="7c67ea0b17db3aa18eb9b7aca0a0f8c9">
  <xsd:schema xmlns:xsd="http://www.w3.org/2001/XMLSchema" xmlns:xs="http://www.w3.org/2001/XMLSchema" xmlns:p="http://schemas.microsoft.com/office/2006/metadata/properties" xmlns:ns1="http://schemas.microsoft.com/sharepoint/v3" xmlns:ns2="0866c0de-8ac7-4517-b4b6-d20be05edb9c" xmlns:ns3="21b68238-1df5-4100-a71f-ad566ceb470a" targetNamespace="http://schemas.microsoft.com/office/2006/metadata/properties" ma:root="true" ma:fieldsID="e9ee1dc1339c1e03770e02776f448a2d" ns1:_="" ns2:_="" ns3:_="">
    <xsd:import namespace="http://schemas.microsoft.com/sharepoint/v3"/>
    <xsd:import namespace="0866c0de-8ac7-4517-b4b6-d20be05edb9c"/>
    <xsd:import namespace="21b68238-1df5-4100-a71f-ad566ceb470a"/>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66c0de-8ac7-4517-b4b6-d20be05edb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b68238-1df5-4100-a71f-ad566ceb470a"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E7F5A-142F-4323-97DC-E8D7135AF465}">
  <ds:schemaRefs>
    <ds:schemaRef ds:uri="http://schemas.microsoft.com/sharepoint/v3/contenttype/forms"/>
  </ds:schemaRefs>
</ds:datastoreItem>
</file>

<file path=customXml/itemProps2.xml><?xml version="1.0" encoding="utf-8"?>
<ds:datastoreItem xmlns:ds="http://schemas.openxmlformats.org/officeDocument/2006/customXml" ds:itemID="{7FADB7FB-DF24-4D11-98AC-C1759EE25886}">
  <ds:schemaRefs>
    <ds:schemaRef ds:uri="http://schemas.microsoft.com/sharepoint/v3"/>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 ds:uri="0866c0de-8ac7-4517-b4b6-d20be05edb9c"/>
    <ds:schemaRef ds:uri="http://schemas.microsoft.com/office/2006/documentManagement/types"/>
    <ds:schemaRef ds:uri="21b68238-1df5-4100-a71f-ad566ceb470a"/>
  </ds:schemaRefs>
</ds:datastoreItem>
</file>

<file path=customXml/itemProps3.xml><?xml version="1.0" encoding="utf-8"?>
<ds:datastoreItem xmlns:ds="http://schemas.openxmlformats.org/officeDocument/2006/customXml" ds:itemID="{6DD4EAAF-14FA-4633-8183-01082C2DF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66c0de-8ac7-4517-b4b6-d20be05edb9c"/>
    <ds:schemaRef ds:uri="21b68238-1df5-4100-a71f-ad566ceb4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Methodology</vt:lpstr>
      <vt:lpstr>Lighting Calculator</vt:lpstr>
      <vt:lpstr>Project Notes</vt:lpstr>
      <vt:lpstr>SF Estimator</vt:lpstr>
      <vt:lpstr>LPD LookUp Tables</vt:lpstr>
      <vt:lpstr>LookUp Tables</vt:lpstr>
      <vt:lpstr>Fixture Wattage Reference</vt:lpstr>
      <vt:lpstr>Updates</vt:lpstr>
      <vt:lpstr>'Lighting Calculator'!Print_Titles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Selwyn</dc:creator>
  <cp:lastModifiedBy>Ben Reinhart</cp:lastModifiedBy>
  <cp:lastPrinted>2015-01-26T19:54:17Z</cp:lastPrinted>
  <dcterms:created xsi:type="dcterms:W3CDTF">2013-07-18T18:53:43Z</dcterms:created>
  <dcterms:modified xsi:type="dcterms:W3CDTF">2022-08-15T21:13:12Z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7104f7bc-9b43-4d53-9849-9667ddb415ba</vt:lpwstr>
  </property>
  <property fmtid="{D5CDD505-2E9C-101B-9397-08002B2CF9AE}" pid="4" name="ContentTypeId">
    <vt:lpwstr>0x010100541C25DCFDAF664488188C4E3F4A5376</vt:lpwstr>
  </property>
  <property fmtid="{D5CDD505-2E9C-101B-9397-08002B2CF9AE}" pid="5" name="Order">
    <vt:r8>900</vt:r8>
  </property>
  <property fmtid="{D5CDD505-2E9C-101B-9397-08002B2CF9AE}" pid="6" name="xd_ProgID">
    <vt:lpwstr/>
  </property>
  <property fmtid="{D5CDD505-2E9C-101B-9397-08002B2CF9AE}" pid="7" name="_CopySource">
    <vt:lpwstr>http://intranet.clearesult.com/regions/Midwest/IN/Indiana IPL/IPL Lighting and Lighting Controls New Construction Calculator.xlsx</vt:lpwstr>
  </property>
  <property fmtid="{D5CDD505-2E9C-101B-9397-08002B2CF9AE}" pid="8" name="TemplateUrl">
    <vt:lpwstr/>
  </property>
</Properties>
</file>