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TXAUS1FSVM00000.clearesult.com\Programs\Indiana Programs\Indiana Engineering\AES IN Calculators\2024 AES IN Calculators\"/>
    </mc:Choice>
  </mc:AlternateContent>
  <xr:revisionPtr revIDLastSave="0" documentId="13_ncr:1_{AC29D505-C193-461A-B488-3BB163E495FA}" xr6:coauthVersionLast="47" xr6:coauthVersionMax="47" xr10:uidLastSave="{00000000-0000-0000-0000-000000000000}"/>
  <workbookProtection workbookAlgorithmName="SHA-512" workbookHashValue="UP0UhG99lWnb8cGOo6vy19/5IOSSs/3wTe7SZQVYO7CTa+JJniKPI5MIKHcDKnZDx487pU4WmdRE+W+zdvaDrQ==" workbookSaltValue="Tg4wbkpyh3t+isgelI0c1A==" workbookSpinCount="100000" lockStructure="1"/>
  <bookViews>
    <workbookView xWindow="-20610" yWindow="-120" windowWidth="20730" windowHeight="11160" firstSheet="2" activeTab="2" xr2:uid="{00000000-000D-0000-FFFF-FFFF00000000}"/>
  </bookViews>
  <sheets>
    <sheet name="Instructions" sheetId="4" r:id="rId1"/>
    <sheet name="Methodology" sheetId="6" r:id="rId2"/>
    <sheet name="Lighting Calculator" sheetId="1" r:id="rId3"/>
    <sheet name="Project Notes" sheetId="10" r:id="rId4"/>
    <sheet name="LookUp Tables" sheetId="5" r:id="rId5"/>
    <sheet name="Fixture Wattage Reference" sheetId="8" r:id="rId6"/>
    <sheet name="Updates" sheetId="9" state="hidden" r:id="rId7"/>
  </sheets>
  <definedNames>
    <definedName name="_1._Building_ID">'Lighting Calculator'!$C$11</definedName>
    <definedName name="_1._Post_Fixture_Qty">'Lighting Calculator'!$C$41</definedName>
    <definedName name="_1._Pre_Fixture_Qty">'Lighting Calculator'!$C$28</definedName>
    <definedName name="_1._Program_Operating_Hours_for_Your_Building_Type">'Lighting Calculator'!$C$18</definedName>
    <definedName name="_2._Area_Description">'Lighting Calculator'!$C$12</definedName>
    <definedName name="_2._Customer_Operating_Hours">'Lighting Calculator'!$C$21</definedName>
    <definedName name="_2._Installed_Watts_Fixture">'Lighting Calculator'!$C$42</definedName>
    <definedName name="_2._Operating_Hours_to_Use">'Lighting Calculator'!#REF!</definedName>
    <definedName name="_2._Pre_Watts_Fixture">'Lighting Calculator'!$C$29</definedName>
    <definedName name="_3._Building_Type">'Lighting Calculator'!$C$13</definedName>
    <definedName name="_3._Installed_Control_Type">'Lighting Calculator'!$C$43</definedName>
    <definedName name="_3._Pre_Control_Type">'Lighting Calculator'!$C$30</definedName>
    <definedName name="Base_Boiler_Size">'Lighting Calculator'!$C$28</definedName>
    <definedName name="Base_Turndown">'Lighting Calculator'!$C$30</definedName>
    <definedName name="Building_ID">'Lighting Calculator'!$C$11</definedName>
    <definedName name="Post_Control_1">'Lighting Calculator'!$C$43</definedName>
    <definedName name="Pre_Control_1">'Lighting Calculator'!$C$30</definedName>
    <definedName name="_xlnm.Print_Titles" localSheetId="2">'Lighting Calculator'!$2:$4</definedName>
    <definedName name="Proposed_Boiler_Size">'Lighting Calculator'!$C$41</definedName>
    <definedName name="Proposed_Turndown">'Lighting Calculator'!$C$43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7" i="8" l="1"/>
  <c r="K57" i="8"/>
  <c r="J57" i="8"/>
  <c r="L53" i="8"/>
  <c r="K53" i="8"/>
  <c r="J53" i="8"/>
  <c r="L49" i="8"/>
  <c r="K49" i="8"/>
  <c r="J49" i="8"/>
  <c r="I49" i="8"/>
  <c r="H49" i="8"/>
  <c r="G49" i="8"/>
  <c r="F49" i="8"/>
  <c r="E49" i="8"/>
  <c r="D49" i="8"/>
  <c r="L48" i="8"/>
  <c r="K48" i="8"/>
  <c r="H48" i="8"/>
  <c r="G48" i="8"/>
  <c r="C48" i="8"/>
  <c r="J48" i="8" s="1"/>
  <c r="C47" i="8"/>
  <c r="K47" i="8" s="1"/>
  <c r="J46" i="8"/>
  <c r="I46" i="8"/>
  <c r="F46" i="8"/>
  <c r="E46" i="8"/>
  <c r="C46" i="8"/>
  <c r="L46" i="8" s="1"/>
  <c r="L45" i="8"/>
  <c r="K45" i="8"/>
  <c r="H45" i="8"/>
  <c r="G45" i="8"/>
  <c r="C45" i="8"/>
  <c r="J45" i="8" s="1"/>
  <c r="C44" i="8"/>
  <c r="K44" i="8" s="1"/>
  <c r="L43" i="8"/>
  <c r="K43" i="8"/>
  <c r="J43" i="8"/>
  <c r="I43" i="8"/>
  <c r="H43" i="8"/>
  <c r="G43" i="8"/>
  <c r="F43" i="8"/>
  <c r="E43" i="8"/>
  <c r="D43" i="8"/>
  <c r="L41" i="8"/>
  <c r="K41" i="8"/>
  <c r="J41" i="8"/>
  <c r="I41" i="8"/>
  <c r="H41" i="8"/>
  <c r="G41" i="8"/>
  <c r="F41" i="8"/>
  <c r="E41" i="8"/>
  <c r="D41" i="8"/>
  <c r="L37" i="8"/>
  <c r="K37" i="8"/>
  <c r="J37" i="8"/>
  <c r="I37" i="8"/>
  <c r="H37" i="8"/>
  <c r="G37" i="8"/>
  <c r="F37" i="8"/>
  <c r="E37" i="8"/>
  <c r="D37" i="8"/>
  <c r="L36" i="8"/>
  <c r="K36" i="8"/>
  <c r="J36" i="8"/>
  <c r="I36" i="8"/>
  <c r="H36" i="8"/>
  <c r="G36" i="8"/>
  <c r="F36" i="8"/>
  <c r="E36" i="8"/>
  <c r="D36" i="8"/>
  <c r="L35" i="8"/>
  <c r="K35" i="8"/>
  <c r="J35" i="8"/>
  <c r="I35" i="8"/>
  <c r="H35" i="8"/>
  <c r="G35" i="8"/>
  <c r="F35" i="8"/>
  <c r="E35" i="8"/>
  <c r="D35" i="8"/>
  <c r="L34" i="8"/>
  <c r="K34" i="8"/>
  <c r="J34" i="8"/>
  <c r="I34" i="8"/>
  <c r="H34" i="8"/>
  <c r="G34" i="8"/>
  <c r="F34" i="8"/>
  <c r="E34" i="8"/>
  <c r="D34" i="8"/>
  <c r="L33" i="8"/>
  <c r="K33" i="8"/>
  <c r="J33" i="8"/>
  <c r="I33" i="8"/>
  <c r="H33" i="8"/>
  <c r="G33" i="8"/>
  <c r="F33" i="8"/>
  <c r="E33" i="8"/>
  <c r="D33" i="8"/>
  <c r="L32" i="8"/>
  <c r="K32" i="8"/>
  <c r="J32" i="8"/>
  <c r="I32" i="8"/>
  <c r="H32" i="8"/>
  <c r="G32" i="8"/>
  <c r="F32" i="8"/>
  <c r="E32" i="8"/>
  <c r="D32" i="8"/>
  <c r="C31" i="8"/>
  <c r="K31" i="8" s="1"/>
  <c r="L30" i="8"/>
  <c r="K30" i="8"/>
  <c r="J30" i="8"/>
  <c r="I30" i="8"/>
  <c r="H30" i="8"/>
  <c r="G30" i="8"/>
  <c r="F30" i="8"/>
  <c r="E30" i="8"/>
  <c r="L29" i="8"/>
  <c r="K29" i="8"/>
  <c r="J29" i="8"/>
  <c r="I29" i="8"/>
  <c r="H29" i="8"/>
  <c r="G29" i="8"/>
  <c r="F29" i="8"/>
  <c r="E29" i="8"/>
  <c r="D29" i="8"/>
  <c r="L28" i="8"/>
  <c r="K28" i="8"/>
  <c r="J28" i="8"/>
  <c r="I28" i="8"/>
  <c r="H28" i="8"/>
  <c r="G28" i="8"/>
  <c r="F28" i="8"/>
  <c r="E28" i="8"/>
  <c r="D28" i="8"/>
  <c r="L26" i="8"/>
  <c r="K26" i="8"/>
  <c r="J26" i="8"/>
  <c r="I26" i="8"/>
  <c r="H26" i="8"/>
  <c r="G26" i="8"/>
  <c r="F26" i="8"/>
  <c r="E26" i="8"/>
  <c r="D26" i="8"/>
  <c r="L25" i="8"/>
  <c r="K25" i="8"/>
  <c r="J25" i="8"/>
  <c r="I25" i="8"/>
  <c r="H25" i="8"/>
  <c r="G25" i="8"/>
  <c r="F25" i="8"/>
  <c r="E25" i="8"/>
  <c r="D25" i="8"/>
  <c r="L24" i="8"/>
  <c r="K24" i="8"/>
  <c r="J24" i="8"/>
  <c r="I24" i="8"/>
  <c r="H24" i="8"/>
  <c r="G24" i="8"/>
  <c r="F24" i="8"/>
  <c r="E24" i="8"/>
  <c r="D24" i="8"/>
  <c r="L23" i="8"/>
  <c r="K23" i="8"/>
  <c r="J23" i="8"/>
  <c r="I23" i="8"/>
  <c r="H23" i="8"/>
  <c r="G23" i="8"/>
  <c r="F23" i="8"/>
  <c r="E23" i="8"/>
  <c r="D23" i="8"/>
  <c r="L22" i="8"/>
  <c r="K22" i="8"/>
  <c r="J22" i="8"/>
  <c r="I22" i="8"/>
  <c r="H22" i="8"/>
  <c r="G22" i="8"/>
  <c r="F22" i="8"/>
  <c r="E22" i="8"/>
  <c r="D22" i="8"/>
  <c r="L21" i="8"/>
  <c r="J21" i="8"/>
  <c r="I21" i="8"/>
  <c r="H21" i="8"/>
  <c r="C21" i="8"/>
  <c r="K21" i="8" s="1"/>
  <c r="L20" i="8"/>
  <c r="K20" i="8"/>
  <c r="J20" i="8"/>
  <c r="I20" i="8"/>
  <c r="H20" i="8"/>
  <c r="G20" i="8"/>
  <c r="F20" i="8"/>
  <c r="E20" i="8"/>
  <c r="D20" i="8"/>
  <c r="L19" i="8"/>
  <c r="K19" i="8"/>
  <c r="J19" i="8"/>
  <c r="I19" i="8"/>
  <c r="H19" i="8"/>
  <c r="G19" i="8"/>
  <c r="F19" i="8"/>
  <c r="E19" i="8"/>
  <c r="D19" i="8"/>
  <c r="L18" i="8"/>
  <c r="K18" i="8"/>
  <c r="J18" i="8"/>
  <c r="I18" i="8"/>
  <c r="H18" i="8"/>
  <c r="G18" i="8"/>
  <c r="F18" i="8"/>
  <c r="E18" i="8"/>
  <c r="D18" i="8"/>
  <c r="L17" i="8"/>
  <c r="K17" i="8"/>
  <c r="J17" i="8"/>
  <c r="I17" i="8"/>
  <c r="H17" i="8"/>
  <c r="G17" i="8"/>
  <c r="F17" i="8"/>
  <c r="E17" i="8"/>
  <c r="D17" i="8"/>
  <c r="L16" i="8"/>
  <c r="K16" i="8"/>
  <c r="J16" i="8"/>
  <c r="I16" i="8"/>
  <c r="H16" i="8"/>
  <c r="G16" i="8"/>
  <c r="F16" i="8"/>
  <c r="E16" i="8"/>
  <c r="D16" i="8"/>
  <c r="L15" i="8"/>
  <c r="K15" i="8"/>
  <c r="J15" i="8"/>
  <c r="I15" i="8"/>
  <c r="H15" i="8"/>
  <c r="G15" i="8"/>
  <c r="F15" i="8"/>
  <c r="E15" i="8"/>
  <c r="D15" i="8"/>
  <c r="L14" i="8"/>
  <c r="K14" i="8"/>
  <c r="J14" i="8"/>
  <c r="I14" i="8"/>
  <c r="H14" i="8"/>
  <c r="G14" i="8"/>
  <c r="F14" i="8"/>
  <c r="E14" i="8"/>
  <c r="D14" i="8"/>
  <c r="L13" i="8"/>
  <c r="K13" i="8"/>
  <c r="J13" i="8"/>
  <c r="I13" i="8"/>
  <c r="H13" i="8"/>
  <c r="G13" i="8"/>
  <c r="F13" i="8"/>
  <c r="E13" i="8"/>
  <c r="D13" i="8"/>
  <c r="L12" i="8"/>
  <c r="K12" i="8"/>
  <c r="J12" i="8"/>
  <c r="I12" i="8"/>
  <c r="H12" i="8"/>
  <c r="G12" i="8"/>
  <c r="F12" i="8"/>
  <c r="E12" i="8"/>
  <c r="D12" i="8"/>
  <c r="L11" i="8"/>
  <c r="K11" i="8"/>
  <c r="J11" i="8"/>
  <c r="I11" i="8"/>
  <c r="H11" i="8"/>
  <c r="G11" i="8"/>
  <c r="F11" i="8"/>
  <c r="E11" i="8"/>
  <c r="D11" i="8"/>
  <c r="D31" i="8" l="1"/>
  <c r="L31" i="8"/>
  <c r="C42" i="8"/>
  <c r="D44" i="8"/>
  <c r="H44" i="8"/>
  <c r="L44" i="8"/>
  <c r="D47" i="8"/>
  <c r="H47" i="8"/>
  <c r="L47" i="8"/>
  <c r="E31" i="8"/>
  <c r="E44" i="8"/>
  <c r="I44" i="8"/>
  <c r="I45" i="8"/>
  <c r="G46" i="8"/>
  <c r="K46" i="8"/>
  <c r="E47" i="8"/>
  <c r="I47" i="8"/>
  <c r="I48" i="8"/>
  <c r="H31" i="8"/>
  <c r="F44" i="8"/>
  <c r="J44" i="8"/>
  <c r="F45" i="8"/>
  <c r="D46" i="8"/>
  <c r="H46" i="8"/>
  <c r="F47" i="8"/>
  <c r="J47" i="8"/>
  <c r="D48" i="8"/>
  <c r="G44" i="8"/>
  <c r="G47" i="8"/>
  <c r="C53" i="1"/>
  <c r="D55" i="1"/>
  <c r="E55" i="1"/>
  <c r="F55" i="1"/>
  <c r="G55" i="1"/>
  <c r="D56" i="1"/>
  <c r="E56" i="1"/>
  <c r="F56" i="1"/>
  <c r="F72" i="1" s="1"/>
  <c r="G56" i="1"/>
  <c r="G72" i="1" s="1"/>
  <c r="C56" i="1"/>
  <c r="C55" i="1"/>
  <c r="C54" i="1"/>
  <c r="D54" i="1"/>
  <c r="E54" i="1"/>
  <c r="E71" i="1" s="1"/>
  <c r="F54" i="1"/>
  <c r="F71" i="1" s="1"/>
  <c r="G54" i="1"/>
  <c r="G71" i="1" s="1"/>
  <c r="J42" i="8" l="1"/>
  <c r="F42" i="8"/>
  <c r="I42" i="8"/>
  <c r="E42" i="8"/>
  <c r="L42" i="8"/>
  <c r="H42" i="8"/>
  <c r="D42" i="8"/>
  <c r="K42" i="8"/>
  <c r="G42" i="8"/>
  <c r="D71" i="1"/>
  <c r="C71" i="1"/>
  <c r="C77" i="1"/>
  <c r="C19" i="1"/>
  <c r="C32" i="1"/>
  <c r="M33" i="5"/>
  <c r="M32" i="5"/>
  <c r="C57" i="1" s="1"/>
  <c r="C68" i="1" s="1"/>
  <c r="M31" i="5"/>
  <c r="C18" i="1"/>
  <c r="C62" i="1" l="1"/>
  <c r="C65" i="1"/>
  <c r="E57" i="1"/>
  <c r="G57" i="1"/>
  <c r="D57" i="1"/>
  <c r="F57" i="1"/>
  <c r="D53" i="1"/>
  <c r="E53" i="1"/>
  <c r="F53" i="1"/>
  <c r="G53" i="1"/>
  <c r="G68" i="1" l="1"/>
  <c r="G69" i="1"/>
  <c r="G65" i="1"/>
  <c r="G63" i="1"/>
  <c r="G62" i="1"/>
  <c r="G66" i="1"/>
  <c r="F65" i="1"/>
  <c r="F63" i="1"/>
  <c r="F62" i="1"/>
  <c r="F69" i="1"/>
  <c r="F66" i="1"/>
  <c r="F68" i="1"/>
  <c r="D68" i="1"/>
  <c r="D62" i="1"/>
  <c r="D65" i="1"/>
  <c r="E62" i="1"/>
  <c r="E65" i="1"/>
  <c r="E68" i="1"/>
  <c r="F61" i="1" l="1"/>
  <c r="D61" i="1"/>
  <c r="C61" i="1"/>
  <c r="E61" i="1"/>
  <c r="G61" i="1"/>
  <c r="C60" i="1"/>
  <c r="C72" i="1" s="1"/>
  <c r="C73" i="1" s="1"/>
  <c r="E60" i="1"/>
  <c r="F60" i="1"/>
  <c r="G60" i="1"/>
  <c r="D60" i="1"/>
  <c r="C59" i="1"/>
  <c r="F59" i="1"/>
  <c r="E59" i="1"/>
  <c r="G59" i="1"/>
  <c r="D59" i="1"/>
  <c r="C58" i="1"/>
  <c r="C63" i="1" s="1"/>
  <c r="C64" i="1" s="1"/>
  <c r="D58" i="1"/>
  <c r="D63" i="1" s="1"/>
  <c r="F58" i="1"/>
  <c r="G58" i="1"/>
  <c r="E58" i="1"/>
  <c r="E63" i="1" s="1"/>
  <c r="E72" i="1" l="1"/>
  <c r="E66" i="1"/>
  <c r="E69" i="1"/>
  <c r="D69" i="1"/>
  <c r="D66" i="1"/>
  <c r="D67" i="1" s="1"/>
  <c r="D72" i="1"/>
  <c r="C69" i="1"/>
  <c r="C70" i="1" s="1"/>
  <c r="C66" i="1"/>
  <c r="C67" i="1" s="1"/>
  <c r="C34" i="1"/>
  <c r="C33" i="1"/>
  <c r="E67" i="1" l="1"/>
  <c r="E64" i="1"/>
  <c r="D46" i="1" l="1"/>
  <c r="E46" i="1"/>
  <c r="F47" i="1"/>
  <c r="G46" i="1"/>
  <c r="C47" i="1" l="1"/>
  <c r="C45" i="1"/>
  <c r="G47" i="1" l="1"/>
  <c r="E47" i="1"/>
  <c r="D47" i="1"/>
  <c r="D34" i="1"/>
  <c r="E34" i="1"/>
  <c r="F34" i="1"/>
  <c r="G34" i="1"/>
  <c r="F46" i="1"/>
  <c r="C46" i="1"/>
  <c r="G45" i="1"/>
  <c r="F45" i="1"/>
  <c r="E45" i="1"/>
  <c r="D45" i="1"/>
  <c r="D33" i="1"/>
  <c r="E33" i="1"/>
  <c r="F33" i="1"/>
  <c r="G33" i="1"/>
  <c r="G32" i="1"/>
  <c r="F32" i="1"/>
  <c r="E32" i="1"/>
  <c r="D32" i="1"/>
  <c r="F73" i="1" l="1"/>
  <c r="E73" i="1"/>
  <c r="G73" i="1"/>
  <c r="D73" i="1" l="1"/>
  <c r="G67" i="1"/>
  <c r="F67" i="1"/>
  <c r="E70" i="1"/>
  <c r="D70" i="1"/>
  <c r="G70" i="1"/>
  <c r="F70" i="1"/>
  <c r="D64" i="1" l="1"/>
  <c r="F64" i="1"/>
  <c r="G64" i="1"/>
  <c r="C81" i="1" l="1"/>
  <c r="C82" i="1" l="1"/>
  <c r="C83" i="1" s="1"/>
  <c r="C78" i="1" s="1"/>
  <c r="C79" i="1" s="1"/>
  <c r="C84" i="1"/>
  <c r="C87" i="1" l="1"/>
  <c r="C88" i="1" s="1"/>
  <c r="C85" i="1" s="1"/>
  <c r="C86" i="1" s="1"/>
  <c r="C8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 Reinhart</author>
  </authors>
  <commentList>
    <comment ref="B15" authorId="0" shapeId="0" xr:uid="{00000000-0006-0000-0200-000001000000}">
      <text>
        <r>
          <rPr>
            <b/>
            <sz val="9"/>
            <color indexed="81"/>
            <rFont val="Tahoma"/>
            <family val="2"/>
          </rPr>
          <t>If unknown use $0.08</t>
        </r>
      </text>
    </comment>
    <comment ref="B20" authorId="0" shapeId="0" xr:uid="{00000000-0006-0000-0200-000002000000}">
      <text>
        <r>
          <rPr>
            <sz val="9"/>
            <color indexed="81"/>
            <rFont val="Tahoma"/>
            <family val="2"/>
          </rPr>
          <t xml:space="preserve">Default will use the average hours based on the building type. 
Custom allows you to enter in your own hours. You may be asked to provide justification for the entered hours. </t>
        </r>
      </text>
    </comment>
    <comment ref="B29" authorId="0" shapeId="0" xr:uid="{00000000-0006-0000-0200-000003000000}">
      <text>
        <r>
          <rPr>
            <b/>
            <sz val="9"/>
            <color indexed="81"/>
            <rFont val="Tahoma"/>
            <family val="2"/>
          </rPr>
          <t xml:space="preserve">See "Fixture Wattage Reference" tab for guidance. </t>
        </r>
      </text>
    </comment>
  </commentList>
</comments>
</file>

<file path=xl/sharedStrings.xml><?xml version="1.0" encoding="utf-8"?>
<sst xmlns="http://schemas.openxmlformats.org/spreadsheetml/2006/main" count="393" uniqueCount="298">
  <si>
    <t>Savings Summary</t>
  </si>
  <si>
    <t>Baseline Conditions</t>
  </si>
  <si>
    <t>Proposed Conditions</t>
  </si>
  <si>
    <t>Site Information</t>
  </si>
  <si>
    <t>Building Type</t>
  </si>
  <si>
    <t>Warehouse</t>
  </si>
  <si>
    <t>Custom</t>
  </si>
  <si>
    <t>Color Legend Highlighting</t>
  </si>
  <si>
    <t>Input</t>
  </si>
  <si>
    <t>Results</t>
  </si>
  <si>
    <t>Lighting Calculator Methodology for Retrofit Projects</t>
  </si>
  <si>
    <t>Exterior</t>
  </si>
  <si>
    <t>Other</t>
  </si>
  <si>
    <t>CF</t>
  </si>
  <si>
    <t>Hours</t>
  </si>
  <si>
    <t>Where:</t>
  </si>
  <si>
    <t>Control Type</t>
  </si>
  <si>
    <t>ESF</t>
  </si>
  <si>
    <t>CF Controlled</t>
  </si>
  <si>
    <t>None</t>
  </si>
  <si>
    <t>Heat Pump</t>
  </si>
  <si>
    <t>WHF_Energy</t>
  </si>
  <si>
    <t>WHF_Demand</t>
  </si>
  <si>
    <t>ESF_Baseline</t>
  </si>
  <si>
    <t>ESF_Proposed</t>
  </si>
  <si>
    <t>CF_Controls_Baseline</t>
  </si>
  <si>
    <t>CF_Controls_Proposed</t>
  </si>
  <si>
    <t>Lighting Energy Savings</t>
  </si>
  <si>
    <t>Lighting Demand Savings</t>
  </si>
  <si>
    <t>Controls Energy Savings</t>
  </si>
  <si>
    <t>Controls Demand Savings</t>
  </si>
  <si>
    <t>Lighting Calculator Look-Up Tables</t>
  </si>
  <si>
    <t>Incentive Calculations</t>
  </si>
  <si>
    <t>Energy and Demand Savings Calculations</t>
  </si>
  <si>
    <t>Incentive Amount Approved</t>
  </si>
  <si>
    <t>Area Description:</t>
  </si>
  <si>
    <t>Fixture Type:</t>
  </si>
  <si>
    <t>Post Fixture Qty:</t>
  </si>
  <si>
    <t>Installed Watts / Fixture (W)</t>
  </si>
  <si>
    <t>Hide Row</t>
  </si>
  <si>
    <t xml:space="preserve">Default Summer Coincidence Factor for Building Type: </t>
  </si>
  <si>
    <t>Default Operating Hours for Building Type:</t>
  </si>
  <si>
    <t>Operating Hours and Summer Coincidence Factor</t>
  </si>
  <si>
    <t xml:space="preserve">Baseline Controls Factors to Use: </t>
  </si>
  <si>
    <t>Default Baseline Controls ESF</t>
  </si>
  <si>
    <t>Default Baseline Controls CF</t>
  </si>
  <si>
    <t>Baseline Controls Energy Savings Factor and Controlled Summer Coincidence Factor</t>
  </si>
  <si>
    <t>Proposed Controls Energy Savings Factor and Controlled Summer Coincidence Factor</t>
  </si>
  <si>
    <t>If Custom Controls, Baseline Controls ESF (%)</t>
  </si>
  <si>
    <t>Pre Control Type (Use "Custom" if ESF and CF are known):</t>
  </si>
  <si>
    <t>Installed Control Type (Use "Custom" if ESF and CF are known):</t>
  </si>
  <si>
    <t>If Custom Baseline Controls, Baseline Controls CF</t>
  </si>
  <si>
    <t>Capped Incentive</t>
  </si>
  <si>
    <t>Fixture Types</t>
  </si>
  <si>
    <t>CFL</t>
  </si>
  <si>
    <t>Circular Lamp</t>
  </si>
  <si>
    <t>Halogen</t>
  </si>
  <si>
    <t>High Pressure Sodium</t>
  </si>
  <si>
    <t>Incandescent</t>
  </si>
  <si>
    <t>Low Wattage T8</t>
  </si>
  <si>
    <t>Mercury Vapor</t>
  </si>
  <si>
    <t>Metal Halide</t>
  </si>
  <si>
    <t>LED</t>
  </si>
  <si>
    <t>T12</t>
  </si>
  <si>
    <t>T5</t>
  </si>
  <si>
    <t>T8</t>
  </si>
  <si>
    <t>U-Tube T8</t>
  </si>
  <si>
    <t>U-Tube T12</t>
  </si>
  <si>
    <t>Fixture Qty:</t>
  </si>
  <si>
    <t>Watts / Fixture (W)</t>
  </si>
  <si>
    <t>Lighting Savings Calculator Retrofit</t>
  </si>
  <si>
    <t>Baseline Energy Consumption (kWh/Yr.)</t>
  </si>
  <si>
    <t>Proposed Energy Consumption (kWh/Yr.)</t>
  </si>
  <si>
    <t>Energy Savings (kWh/Yr.)</t>
  </si>
  <si>
    <t>Energy Cost Savings ($/Yr.)</t>
  </si>
  <si>
    <t>Eligible Custom Incentive</t>
  </si>
  <si>
    <t>Simple Payback Period without Incentive (Yrs.)</t>
  </si>
  <si>
    <t>Simple Payback Period with Incentive (Yrs.)</t>
  </si>
  <si>
    <t>Proposed Energy</t>
  </si>
  <si>
    <t>Demand Reduction (kW)</t>
  </si>
  <si>
    <t>Building Name:</t>
  </si>
  <si>
    <t>WHFe</t>
  </si>
  <si>
    <t>WHFd</t>
  </si>
  <si>
    <t>Grocery</t>
  </si>
  <si>
    <t>T12 Fluorescent Fixtures</t>
  </si>
  <si>
    <t>Lamps per fixture:</t>
  </si>
  <si>
    <t>1-Lamp</t>
  </si>
  <si>
    <t>2-Lamps</t>
  </si>
  <si>
    <t>3-Lamps</t>
  </si>
  <si>
    <t>4-Lamps</t>
  </si>
  <si>
    <t>5-Lamps</t>
  </si>
  <si>
    <t>6-Lamps</t>
  </si>
  <si>
    <t>8-Lamps</t>
  </si>
  <si>
    <t>10-Lamps</t>
  </si>
  <si>
    <t>12-Lamps</t>
  </si>
  <si>
    <t>T8 Fluorescent Fixtures</t>
  </si>
  <si>
    <t>2' 17W T8 Lamp, Electronic Ballast</t>
  </si>
  <si>
    <t>3' 25W T8 Lamp, Electronic Ballast</t>
  </si>
  <si>
    <t>4' 25W RW T8 Lamp, Electronic Ballast</t>
  </si>
  <si>
    <t>4' 28W RW T8 Lamp, Electronic Ballast</t>
  </si>
  <si>
    <t>4' 30W ES T8 Lamp, Electronic Ballast</t>
  </si>
  <si>
    <t>4' 32W HP T8 Lamp, Electronic Ballast</t>
  </si>
  <si>
    <t>5' 40W T8 Lamp, Electronic Ballast</t>
  </si>
  <si>
    <t>6' 46W T8 Lamp, Electronic Ballast</t>
  </si>
  <si>
    <t>4' 32W T8/HO Lamp, Electronic Ballast</t>
  </si>
  <si>
    <t>4' 32W T8/VHO Lamp, Electronic Ballast</t>
  </si>
  <si>
    <t>4' 44W T8/HO Lamp, Electronic Ballast</t>
  </si>
  <si>
    <t>5' 55W T8/HO Lamp, Electronic Ballast</t>
  </si>
  <si>
    <t>6' 66W T8/HO Lamp, Electronic Ballast</t>
  </si>
  <si>
    <t>8' 86W T8/HO Lamp, Electronic Ballast</t>
  </si>
  <si>
    <t>32W U-Bend T8 Lamp, Electronic Ballast</t>
  </si>
  <si>
    <t>T5 Fluorescent Fixtures</t>
  </si>
  <si>
    <t>2' 14W T5 Lamp, Electronic Ballast</t>
  </si>
  <si>
    <t>2' 24W T5/HO Lamp, Electronic Ballast</t>
  </si>
  <si>
    <t>3' 21W T5 Lamp, Electronic Ballast</t>
  </si>
  <si>
    <t>3' 39W T5/HO Lamp, Electronic Ballast</t>
  </si>
  <si>
    <t>4' 28W T5 Lamp, Electronic Ballast</t>
  </si>
  <si>
    <t>4' 39W T5/HO Lamp, Electronic Ballast</t>
  </si>
  <si>
    <t>4' 54W T5/HO Lamp, Electronic Ballast</t>
  </si>
  <si>
    <t>5' 35W T5 Lamp, Electronic Ballast</t>
  </si>
  <si>
    <t>Other Fluorescent Fixtures</t>
  </si>
  <si>
    <t>4' 40W T10</t>
  </si>
  <si>
    <t>32W FC12T9 Circline</t>
  </si>
  <si>
    <t>22W FC8T9 Circline</t>
  </si>
  <si>
    <t>13W Pinned-Based CFL</t>
  </si>
  <si>
    <t>18W Pinned-Based CFL</t>
  </si>
  <si>
    <t>26W Pinned-Based CFL</t>
  </si>
  <si>
    <t>32W Pinned-Based CFL</t>
  </si>
  <si>
    <t>38W Pinned-Based CFL</t>
  </si>
  <si>
    <t>40W Pinned-Based CFL</t>
  </si>
  <si>
    <t>42W Pinned-Based CFL</t>
  </si>
  <si>
    <t>W / Fixture</t>
  </si>
  <si>
    <t>35W High Pressure Sodium</t>
  </si>
  <si>
    <t>50W High Pressure Sodium</t>
  </si>
  <si>
    <t>70W High Pressure Sodium</t>
  </si>
  <si>
    <t>100W High Pressure Sodium</t>
  </si>
  <si>
    <t>150W High Pressure Sodium</t>
  </si>
  <si>
    <t>200W High Pressure Sodium</t>
  </si>
  <si>
    <t>250W High Pressure Sodium</t>
  </si>
  <si>
    <t>310W High Pressure Sodium</t>
  </si>
  <si>
    <t>400W High Pressure Sodium</t>
  </si>
  <si>
    <t>750W High Pressure Sodium</t>
  </si>
  <si>
    <t>1,000W High Pressure Sodium</t>
  </si>
  <si>
    <t>40W Mercury Vapor</t>
  </si>
  <si>
    <t>50W Mercury Vapor</t>
  </si>
  <si>
    <t>75W Mercury Vapor</t>
  </si>
  <si>
    <t>100W Mercury Vapor</t>
  </si>
  <si>
    <t>175W Mercury Vapor</t>
  </si>
  <si>
    <t>250W Mercury Vapor</t>
  </si>
  <si>
    <t>400W Mercury Vapor</t>
  </si>
  <si>
    <t>700W Mercury Vapor</t>
  </si>
  <si>
    <t>1,000W Mercury Vapor</t>
  </si>
  <si>
    <t>Metal Halide Fixtures (Std/Probe-Start)</t>
  </si>
  <si>
    <t>20W Metal Halide</t>
  </si>
  <si>
    <t>32W Metal Halide</t>
  </si>
  <si>
    <t>50W Metal Halide</t>
  </si>
  <si>
    <t>70W Metal Halide</t>
  </si>
  <si>
    <t>100W Metal Halide</t>
  </si>
  <si>
    <t>150W Metal Halide</t>
  </si>
  <si>
    <t>175W Metal Halide</t>
  </si>
  <si>
    <t>200W Metal Halide</t>
  </si>
  <si>
    <t>250W Metal Halide</t>
  </si>
  <si>
    <t>360W Metal Halide</t>
  </si>
  <si>
    <t>400W Metal Halide</t>
  </si>
  <si>
    <t>750W Metal Halide</t>
  </si>
  <si>
    <t>1,000W Metal Halide</t>
  </si>
  <si>
    <t>1,500W Metal Halide</t>
  </si>
  <si>
    <t>Pulse-Start Metal Halide Fixtures</t>
  </si>
  <si>
    <t>100W Pulse-Start Metal Halide</t>
  </si>
  <si>
    <t>150W Pulse-Start Metal Halide</t>
  </si>
  <si>
    <t>175W Pulse-Start Metal Halide</t>
  </si>
  <si>
    <t>200W Pulse-Start Metal Halide</t>
  </si>
  <si>
    <t>250W Pulse-Start Metal Halide</t>
  </si>
  <si>
    <t>320W Pulse-Start Metal Halide</t>
  </si>
  <si>
    <t>350W Pulse-Start Metal Halide</t>
  </si>
  <si>
    <t>500W Pulse-Start Metal Halide</t>
  </si>
  <si>
    <t>750W Pulse-Start Metal Halide</t>
  </si>
  <si>
    <t>1,000W Pulse-Start Metal Halide</t>
  </si>
  <si>
    <t>Ceramic Metal Halide Fixtures</t>
  </si>
  <si>
    <t>20W Ceramic Metal Halide</t>
  </si>
  <si>
    <t>39W Ceramic Metal Halide</t>
  </si>
  <si>
    <t>50W Ceramic Metal Halide</t>
  </si>
  <si>
    <t>70W Ceramic Metal Halide</t>
  </si>
  <si>
    <t>100W Ceramic Metal Halide</t>
  </si>
  <si>
    <t>150W Ceramic Metal Halide</t>
  </si>
  <si>
    <t>Below is a list of the most commonly seen fixtures and their associated fixture wattage:</t>
  </si>
  <si>
    <t>Net Baseline Energy</t>
  </si>
  <si>
    <t>Baseline Controls Energy Savings</t>
  </si>
  <si>
    <t>Proposed Controls Energy Savings</t>
  </si>
  <si>
    <t>Net Energy Savings</t>
  </si>
  <si>
    <t>Net Proposed Energy</t>
  </si>
  <si>
    <t>Baseline Lighting Energy</t>
  </si>
  <si>
    <t>Net Demand Savings</t>
  </si>
  <si>
    <t>Project Cost:</t>
  </si>
  <si>
    <t>Electricity Rate ($/kWh, Example: $0.08/kWh):</t>
  </si>
  <si>
    <t>Are these exterior fixtures:</t>
  </si>
  <si>
    <t>Building Type:</t>
  </si>
  <si>
    <t>Annual Operating Hours Type:</t>
  </si>
  <si>
    <t>If Custom, Customer Operating Hours:</t>
  </si>
  <si>
    <t>Incentive Based on:</t>
  </si>
  <si>
    <t>400W Pulse-Start Metal Halide</t>
  </si>
  <si>
    <t>4' 50W T5/HO Lamp, Electronic Ballast</t>
  </si>
  <si>
    <t>18" 15W T8 Lamp, Electronic Ballast</t>
  </si>
  <si>
    <t>4' 25W T8/HO Lamp, Electronic Ballast</t>
  </si>
  <si>
    <t>4' 28W T8/HO Lamp, Electronic Ballast</t>
  </si>
  <si>
    <t>Pin-Based CFL Fixtures</t>
  </si>
  <si>
    <t>9W Pinned-Based CFL</t>
  </si>
  <si>
    <t>28W Pinned-Based CFL</t>
  </si>
  <si>
    <t>Date</t>
  </si>
  <si>
    <t>Editing Engineer</t>
  </si>
  <si>
    <t>Reviewing Engineer</t>
  </si>
  <si>
    <t>Updates Made</t>
  </si>
  <si>
    <t>Ben Reinhart</t>
  </si>
  <si>
    <t>Version #</t>
  </si>
  <si>
    <t>Will Nichols</t>
  </si>
  <si>
    <t>Updated for 2017 program rules, inlcuding incentive caps</t>
  </si>
  <si>
    <t>Fixed calculation issue with different quantities of existing and proposed columns.</t>
  </si>
  <si>
    <t>Added more fixture types to wattage reference.</t>
  </si>
  <si>
    <t>Incentive at $0.07 per kWh savings</t>
  </si>
  <si>
    <t>Updated for 2019 program rules, inlcuding the new $0.07 per kWh saved rate.</t>
  </si>
  <si>
    <t>Updated for 2018 program rules, inlcuding the new $0.06 per kWh saved rate.</t>
  </si>
  <si>
    <t xml:space="preserve">This is an optional sheet that is not password protected where you can put any notes about the project or additional calculations (if needed). </t>
  </si>
  <si>
    <t>AES Indiana Business Rebates &amp; Incentives Program</t>
  </si>
  <si>
    <r>
      <rPr>
        <b/>
        <sz val="12"/>
        <rFont val="Arial"/>
        <family val="2"/>
      </rPr>
      <t>WattsBase</t>
    </r>
    <r>
      <rPr>
        <sz val="12"/>
        <rFont val="Arial"/>
        <family val="2"/>
      </rPr>
      <t xml:space="preserve"> is the actual connected wattage of the existing equipment.</t>
    </r>
  </si>
  <si>
    <r>
      <rPr>
        <b/>
        <sz val="12"/>
        <rFont val="Arial"/>
        <family val="2"/>
      </rPr>
      <t xml:space="preserve">WattsEE </t>
    </r>
    <r>
      <rPr>
        <sz val="12"/>
        <rFont val="Arial"/>
        <family val="2"/>
      </rPr>
      <t>is the actual wattage of the efficient equipment.</t>
    </r>
  </si>
  <si>
    <r>
      <rPr>
        <b/>
        <sz val="12"/>
        <rFont val="Arial"/>
        <family val="2"/>
      </rPr>
      <t>WattsControlled</t>
    </r>
    <r>
      <rPr>
        <sz val="12"/>
        <rFont val="Arial"/>
        <family val="2"/>
      </rPr>
      <t xml:space="preserve"> is the total actual lighting load connected to the controls.</t>
    </r>
  </si>
  <si>
    <r>
      <rPr>
        <b/>
        <sz val="12"/>
        <rFont val="Arial"/>
        <family val="2"/>
      </rPr>
      <t xml:space="preserve">1/1000 </t>
    </r>
    <r>
      <rPr>
        <sz val="12"/>
        <rFont val="Arial"/>
        <family val="2"/>
      </rPr>
      <t>is the conversion factor from watts to kilowatts.</t>
    </r>
  </si>
  <si>
    <r>
      <t>Fixture Description (optional) (</t>
    </r>
    <r>
      <rPr>
        <i/>
        <sz val="12"/>
        <rFont val="Arial"/>
        <family val="2"/>
      </rPr>
      <t>ex. 4-lamp 4' 54W T5HO</t>
    </r>
    <r>
      <rPr>
        <sz val="12"/>
        <rFont val="Arial"/>
        <family val="2"/>
      </rPr>
      <t>):</t>
    </r>
  </si>
  <si>
    <r>
      <t>Fixture Description (optional), (</t>
    </r>
    <r>
      <rPr>
        <i/>
        <sz val="12"/>
        <rFont val="Arial"/>
        <family val="2"/>
      </rPr>
      <t>ex.</t>
    </r>
    <r>
      <rPr>
        <sz val="12"/>
        <rFont val="Arial"/>
        <family val="2"/>
      </rPr>
      <t xml:space="preserve"> </t>
    </r>
    <r>
      <rPr>
        <i/>
        <sz val="12"/>
        <rFont val="Arial"/>
        <family val="2"/>
      </rPr>
      <t>1-lamp 4' 18W LED</t>
    </r>
    <r>
      <rPr>
        <sz val="12"/>
        <rFont val="Arial"/>
        <family val="2"/>
      </rPr>
      <t>):</t>
    </r>
  </si>
  <si>
    <t>Source</t>
  </si>
  <si>
    <t>Lamp W</t>
  </si>
  <si>
    <t>BF</t>
  </si>
  <si>
    <t>2' RW F17T8 Lamp, Electronic Ballast</t>
  </si>
  <si>
    <t>3' RW F25T8 Lamp, Electronic Ballast</t>
  </si>
  <si>
    <t>RW F30T8 U-Bend Lamp, Electronic Ballast</t>
  </si>
  <si>
    <t>RW F29T8 U-Bend Lamp, Electronic Ballast</t>
  </si>
  <si>
    <t>8' RW F96T8 Lamp, Electronic Ballast</t>
  </si>
  <si>
    <t>8' Std F96T8 Lamp, Electronic Ballast</t>
  </si>
  <si>
    <t>4' 32W Std T8 Lamp, Electronic Ballast Lamps</t>
  </si>
  <si>
    <t>4' 32W Std T8 Lamp, Electronic Ballast Troffer</t>
  </si>
  <si>
    <t>Heating System</t>
  </si>
  <si>
    <t>Electric Resistance</t>
  </si>
  <si>
    <t>Natural Gas, None, or Other</t>
  </si>
  <si>
    <t>Hrs/yr</t>
  </si>
  <si>
    <t>IFkWh</t>
  </si>
  <si>
    <t>Arena /Auditorium /Convention</t>
  </si>
  <si>
    <t>Assisted living</t>
  </si>
  <si>
    <t>Auto Dealership</t>
  </si>
  <si>
    <t>Daycare</t>
  </si>
  <si>
    <t>College/University</t>
  </si>
  <si>
    <t>Convenience Store</t>
  </si>
  <si>
    <t>Drug Store</t>
  </si>
  <si>
    <t>School (Elementary)</t>
  </si>
  <si>
    <t>Police/Fire Station</t>
  </si>
  <si>
    <t>Parking Garage</t>
  </si>
  <si>
    <t>Healthcare clinic</t>
  </si>
  <si>
    <t>School (High/Middle)</t>
  </si>
  <si>
    <t>Hospital</t>
  </si>
  <si>
    <t>Manufacturing facility</t>
  </si>
  <si>
    <t>Multi-Family (Common Areas)</t>
  </si>
  <si>
    <t>Lodging - Common Areas</t>
  </si>
  <si>
    <t>Lodging Hotel (Guest Rooms)</t>
  </si>
  <si>
    <t>Office - Large</t>
  </si>
  <si>
    <t>Office - Low Rise</t>
  </si>
  <si>
    <t>Office - Mid Rise</t>
  </si>
  <si>
    <t>Religious/Worship</t>
  </si>
  <si>
    <t>Restaurant</t>
  </si>
  <si>
    <t>Retail - Department Store</t>
  </si>
  <si>
    <t>Retail - Strip Mall</t>
  </si>
  <si>
    <t>Low-Use Small Business</t>
  </si>
  <si>
    <t>Refrigerated Cases</t>
  </si>
  <si>
    <t>Freezer Cases</t>
  </si>
  <si>
    <t>HVAC Heating System Type:</t>
  </si>
  <si>
    <t>HVAC Heating System Type</t>
  </si>
  <si>
    <t>Interior Dual Occupancy and Daylighting Sensor</t>
  </si>
  <si>
    <t>Interior Daylight Sensor</t>
  </si>
  <si>
    <t>Interior Networked Luminaire Level Lighting Controls (LLLCs)</t>
  </si>
  <si>
    <t>Interior Networked Lighting Controls Only with no LLLCs</t>
  </si>
  <si>
    <t>Interior Networked Lighting Controls (unknown or mixed LLLCs)</t>
  </si>
  <si>
    <t>Refrigerated Case Occupancy Sensor – Freezer and Cooler</t>
  </si>
  <si>
    <t>Exterior Occupancy Sensor</t>
  </si>
  <si>
    <t>Exterior Networked Lighting Controls</t>
  </si>
  <si>
    <t>Interior Vacancy Sensor (manual on / automatic off)</t>
  </si>
  <si>
    <t>Interior Occupancy Sensor (automatic on / automatic off)</t>
  </si>
  <si>
    <t>Interior High End Trim</t>
  </si>
  <si>
    <t>Is the space with the lights air conditioned:</t>
  </si>
  <si>
    <t>The methodology of this calculator is based on the Illinois Technical Resource Manual, Version 12.</t>
  </si>
  <si>
    <t>Updated to use the IL TRM v12 methodology including WHF, hours, CF, IFkWh values, and ESFs.</t>
  </si>
  <si>
    <t>IL TRM v12</t>
  </si>
  <si>
    <r>
      <rPr>
        <b/>
        <sz val="12"/>
        <rFont val="Arial"/>
        <family val="2"/>
      </rPr>
      <t xml:space="preserve">Hours </t>
    </r>
    <r>
      <rPr>
        <sz val="12"/>
        <rFont val="Arial"/>
        <family val="2"/>
      </rPr>
      <t>is the annual operating hours of lighting. Site-specific operating hours (estimate from customer or determined from data logging) should be used if available. If not, assume default values dependent on building type.</t>
    </r>
  </si>
  <si>
    <r>
      <rPr>
        <b/>
        <sz val="12"/>
        <rFont val="Arial"/>
        <family val="2"/>
      </rPr>
      <t>CF</t>
    </r>
    <r>
      <rPr>
        <sz val="12"/>
        <rFont val="Arial"/>
        <family val="2"/>
      </rPr>
      <t xml:space="preserve"> is the summer peak coincidence factor. Site-specific CF (estimate from customer or determined from data logging) should be used if available. If not, assume default values dependent on building type.</t>
    </r>
  </si>
  <si>
    <r>
      <rPr>
        <b/>
        <sz val="12"/>
        <rFont val="Arial"/>
        <family val="2"/>
      </rPr>
      <t>WHF_D</t>
    </r>
    <r>
      <rPr>
        <sz val="12"/>
        <rFont val="Arial"/>
        <family val="2"/>
      </rPr>
      <t xml:space="preserve"> is the lighting-HVAC interaction factor for demand. This factor represents the reduced electric space cooling requirements due to the reduction of waste heat rejected by the efficient lighting. Values are dependent on whether the affected space is air conditioned and the building type.</t>
    </r>
  </si>
  <si>
    <r>
      <rPr>
        <b/>
        <sz val="12"/>
        <rFont val="Arial"/>
        <family val="2"/>
      </rPr>
      <t xml:space="preserve">WHF_E </t>
    </r>
    <r>
      <rPr>
        <sz val="12"/>
        <rFont val="Arial"/>
        <family val="2"/>
      </rPr>
      <t>is the lighting cooling HVAC interaction factor for energy. This factor represents the reduced electric space cooling requirements due to the reduction of waste heat rejected by the efficient lighting. Values are dependent on whether the affected space is air conditioned and the building type.</t>
    </r>
  </si>
  <si>
    <r>
      <rPr>
        <b/>
        <sz val="12"/>
        <rFont val="Arial"/>
        <family val="2"/>
      </rPr>
      <t>IFkWH</t>
    </r>
    <r>
      <rPr>
        <sz val="12"/>
        <rFont val="Arial"/>
        <family val="2"/>
      </rPr>
      <t xml:space="preserve"> is the lighting heating HVAC interaction factor for energy. This factor represents the increased electric space heating requirements due to the reduction of waste heat rejected by the efficient lighting. Values are dependent on the building type and the heating HVAC system type and are only counted if the space has electric heating.</t>
    </r>
  </si>
  <si>
    <r>
      <rPr>
        <b/>
        <sz val="12"/>
        <rFont val="Arial"/>
        <family val="2"/>
      </rPr>
      <t>ESF</t>
    </r>
    <r>
      <rPr>
        <sz val="12"/>
        <rFont val="Arial"/>
        <family val="2"/>
      </rPr>
      <t xml:space="preserve"> is the energy savings factor. This factor represents the percent operating hours or wattage reduced due to the installation of the occupancy lighting controls, timeclocks, dimming lighting controls, or multilevel switching. Site-specific factor should be determined from data logging if possible. If not, assume default values dependent on control type.</t>
    </r>
  </si>
  <si>
    <r>
      <rPr>
        <b/>
        <sz val="12"/>
        <rFont val="Arial"/>
        <family val="2"/>
      </rPr>
      <t>CFControlled</t>
    </r>
    <r>
      <rPr>
        <sz val="12"/>
        <rFont val="Arial"/>
        <family val="2"/>
      </rPr>
      <t xml:space="preserve"> is the summer peak coincidence factor. Site-specific factor should be determined from data logging if possible. If not, assume default values dependent on control type.</t>
    </r>
  </si>
  <si>
    <t>Table developed using a constant ballast factor of .77 for troffers/linear HPT8 and 1.15 for HPT8 highbay, and 0.88 for standard T8.</t>
  </si>
  <si>
    <t xml:space="preserve">Note that T12s are no longer allowed to be used as the baseline fixture. Instead use the T8 equivalent wattage for the baseline calculations if T12 fixtures are being replaced.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</si>
</sst>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6" formatCode="&quot;$&quot;#,##0_);[Red]\(&quot;$&quot;#,##0\)"/>
    <numFmt numFmtId="44" formatCode="_(&quot;$&quot;* #,##0.00_);_(&quot;$&quot;* \(#,##0.00\);_(&quot;$&quot;* &quot;-&quot;??_);_(@_)"/>
    <numFmt numFmtId="43" formatCode="_(* #,##0.00_);_(* \(#,##0.00\);_(* &quot;-&quot;??_);_(@_)"/>
    <numFmt numFmtId="164" formatCode="0.0000000000"/>
    <numFmt numFmtId="165" formatCode="_-* #,##0.0_-;\-* #,##0.0_-;_-* &quot;-&quot;??_-;_-@_-"/>
    <numFmt numFmtId="166" formatCode="#,##0.00&quot; $&quot;;\-#,##0.00&quot; $&quot;"/>
    <numFmt numFmtId="167" formatCode="0.00_)"/>
    <numFmt numFmtId="168" formatCode="mmm"/>
    <numFmt numFmtId="169" formatCode="_(* #,##0_);_(* \(#,##0\);_(* &quot;-&quot;??_);_(@_)"/>
    <numFmt numFmtId="170" formatCode="&quot;$&quot;#,##0.00"/>
    <numFmt numFmtId="171" formatCode="&quot;$&quot;#,##0"/>
    <numFmt numFmtId="172" formatCode="_(&quot;$&quot;* #,##0.0000_);_(&quot;$&quot;* \(#,##0.0000\);_(&quot;$&quot;* &quot;-&quot;??_);_(@_)"/>
    <numFmt numFmtId="173" formatCode="m\-d\-yy"/>
    <numFmt numFmtId="174" formatCode="_(* #,##0.0_);_(* \(#,##0.00\);_(* &quot;-&quot;??_);_(@_)"/>
    <numFmt numFmtId="175" formatCode="General_)"/>
    <numFmt numFmtId="176" formatCode="0.000"/>
    <numFmt numFmtId="177" formatCode="&quot;fl&quot;#,##0_);\(&quot;fl&quot;#,##0\)"/>
    <numFmt numFmtId="178" formatCode="&quot;fl&quot;#,##0_);[Red]\(&quot;fl&quot;#,##0\)"/>
    <numFmt numFmtId="179" formatCode="_(* #,##0.00_);_(* \(#,##0.00\);_(* \-??_);_(@_)"/>
    <numFmt numFmtId="180" formatCode="_(\$* #,##0.00_);_(\$* \(#,##0.00\);_(\$* \-??_);_(@_)"/>
    <numFmt numFmtId="181" formatCode="_-* #,##0_-;\-* #,##0_-;_-* &quot;-&quot;_-;_-@_-"/>
    <numFmt numFmtId="182" formatCode="dd"/>
    <numFmt numFmtId="183" formatCode="_(&quot;$&quot;* #,##0.00000_);_(&quot;$&quot;* \(#,##0.00000\);_(&quot;$&quot;* &quot;-&quot;??_);_(@_)"/>
    <numFmt numFmtId="184" formatCode="#,##0.0"/>
    <numFmt numFmtId="185" formatCode="0.0%"/>
    <numFmt numFmtId="186" formatCode="0.0"/>
    <numFmt numFmtId="187" formatCode="#,##0.000"/>
  </numFmts>
  <fonts count="5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Geneva"/>
    </font>
    <font>
      <sz val="11"/>
      <color indexed="8"/>
      <name val="Calibri"/>
      <family val="2"/>
    </font>
    <font>
      <sz val="11"/>
      <name val="??"/>
      <family val="3"/>
      <charset val="129"/>
    </font>
    <font>
      <sz val="8"/>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0"/>
      <name val="Times New Roman"/>
      <family val="1"/>
    </font>
    <font>
      <sz val="12"/>
      <name val="Arial"/>
      <family val="2"/>
    </font>
    <font>
      <b/>
      <sz val="10"/>
      <name val="Arial"/>
      <family val="2"/>
    </font>
    <font>
      <sz val="9"/>
      <name val="Times New Roman"/>
      <family val="1"/>
    </font>
    <font>
      <sz val="10"/>
      <name val="Courier"/>
      <family val="3"/>
    </font>
    <font>
      <b/>
      <sz val="24"/>
      <color indexed="8"/>
      <name val="Arial"/>
      <family val="2"/>
    </font>
    <font>
      <sz val="10"/>
      <color indexed="8"/>
      <name val="Arial"/>
      <family val="2"/>
    </font>
    <font>
      <b/>
      <sz val="12"/>
      <name val="Arial"/>
      <family val="2"/>
    </font>
    <font>
      <u/>
      <sz val="10"/>
      <color indexed="12"/>
      <name val="Arial"/>
      <family val="2"/>
    </font>
    <font>
      <u/>
      <sz val="9"/>
      <color theme="10"/>
      <name val="Arial"/>
      <family val="2"/>
    </font>
    <font>
      <u/>
      <sz val="11"/>
      <color theme="10"/>
      <name val="Calibri"/>
      <family val="2"/>
      <scheme val="minor"/>
    </font>
    <font>
      <sz val="10"/>
      <color indexed="8"/>
      <name val="MS Sans Serif"/>
      <family val="2"/>
    </font>
    <font>
      <b/>
      <sz val="9"/>
      <color indexed="81"/>
      <name val="Tahoma"/>
      <family val="2"/>
    </font>
    <font>
      <sz val="9"/>
      <color indexed="81"/>
      <name val="Tahoma"/>
      <family val="2"/>
    </font>
    <font>
      <i/>
      <sz val="12"/>
      <name val="Arial"/>
      <family val="2"/>
    </font>
    <font>
      <b/>
      <i/>
      <sz val="12"/>
      <name val="Arial"/>
      <family val="2"/>
    </font>
    <font>
      <sz val="14"/>
      <name val="Arial"/>
      <family val="2"/>
    </font>
    <font>
      <sz val="24"/>
      <name val="Arial"/>
      <family val="2"/>
    </font>
    <font>
      <sz val="12"/>
      <color theme="0"/>
      <name val="Arial"/>
      <family val="2"/>
    </font>
    <font>
      <sz val="11"/>
      <color rgb="FF424242"/>
      <name val="Calibri"/>
      <family val="2"/>
      <scheme val="minor"/>
    </font>
    <font>
      <sz val="11"/>
      <color rgb="FF000000"/>
      <name val="Calibri"/>
      <family val="2"/>
      <scheme val="minor"/>
    </font>
    <font>
      <sz val="11"/>
      <name val="Calibri"/>
      <family val="2"/>
      <scheme val="minor"/>
    </font>
    <font>
      <sz val="12"/>
      <color theme="1"/>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theme="0" tint="-0.14999847407452621"/>
        <bgColor indexed="64"/>
      </patternFill>
    </fill>
    <fill>
      <patternFill patternType="solid">
        <fgColor rgb="FFEDE7DE"/>
        <bgColor indexed="64"/>
      </patternFill>
    </fill>
    <fill>
      <patternFill patternType="solid">
        <fgColor rgb="FFF5F5F5"/>
        <bgColor indexed="64"/>
      </patternFill>
    </fill>
    <fill>
      <patternFill patternType="solid">
        <fgColor rgb="FF009900"/>
        <bgColor indexed="64"/>
      </patternFill>
    </fill>
    <fill>
      <patternFill patternType="solid">
        <fgColor rgb="FFFFFFFF"/>
        <bgColor rgb="FF000000"/>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dashed">
        <color indexed="64"/>
      </left>
      <right style="dashed">
        <color indexed="64"/>
      </right>
      <top style="dashed">
        <color indexed="64"/>
      </top>
      <bottom style="dashed">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double">
        <color indexed="64"/>
      </top>
      <bottom style="double">
        <color indexed="64"/>
      </bottom>
      <diagonal/>
    </border>
    <border>
      <left/>
      <right/>
      <top style="thin">
        <color indexed="64"/>
      </top>
      <bottom style="double">
        <color indexed="64"/>
      </bottom>
      <diagonal/>
    </border>
    <border>
      <left style="thin">
        <color rgb="FF003045"/>
      </left>
      <right style="thin">
        <color rgb="FF003045"/>
      </right>
      <top style="thin">
        <color rgb="FF003045"/>
      </top>
      <bottom style="thin">
        <color rgb="FF003045"/>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51">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0" fontId="18" fillId="0" borderId="0" applyNumberFormat="0" applyFill="0" applyBorder="0" applyAlignment="0" applyProtection="0"/>
    <xf numFmtId="164" fontId="19" fillId="34" borderId="11">
      <alignment horizontal="center" vertical="center"/>
    </xf>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6" fontId="21" fillId="0" borderId="0">
      <protection locked="0"/>
    </xf>
    <xf numFmtId="165" fontId="18" fillId="0" borderId="0">
      <protection locked="0"/>
    </xf>
    <xf numFmtId="38" fontId="22" fillId="35" borderId="0" applyNumberFormat="0" applyBorder="0" applyAlignment="0" applyProtection="0"/>
    <xf numFmtId="0" fontId="23" fillId="0" borderId="0" applyNumberFormat="0" applyFill="0" applyBorder="0" applyAlignment="0" applyProtection="0"/>
    <xf numFmtId="166" fontId="18" fillId="0" borderId="0">
      <protection locked="0"/>
    </xf>
    <xf numFmtId="166" fontId="18" fillId="0" borderId="0">
      <protection locked="0"/>
    </xf>
    <xf numFmtId="0" fontId="24" fillId="0" borderId="12" applyNumberFormat="0" applyFill="0" applyAlignment="0" applyProtection="0"/>
    <xf numFmtId="10" fontId="22" fillId="36" borderId="10" applyNumberFormat="0" applyBorder="0" applyAlignment="0" applyProtection="0"/>
    <xf numFmtId="37" fontId="25" fillId="0" borderId="0"/>
    <xf numFmtId="167" fontId="26" fillId="0" borderId="0"/>
    <xf numFmtId="0" fontId="18" fillId="0" borderId="0"/>
    <xf numFmtId="0" fontId="1" fillId="0" borderId="0"/>
    <xf numFmtId="0" fontId="18" fillId="0" borderId="0"/>
    <xf numFmtId="0" fontId="18" fillId="0" borderId="0"/>
    <xf numFmtId="0" fontId="18"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10"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7" fontId="22" fillId="37" borderId="0" applyNumberFormat="0" applyBorder="0" applyAlignment="0" applyProtection="0"/>
    <xf numFmtId="37" fontId="22" fillId="0" borderId="0"/>
    <xf numFmtId="3" fontId="27" fillId="0" borderId="12" applyProtection="0"/>
    <xf numFmtId="2" fontId="28" fillId="35" borderId="13" applyNumberFormat="0">
      <alignment horizontal="center" vertical="center"/>
    </xf>
    <xf numFmtId="168" fontId="28" fillId="35" borderId="13" applyNumberFormat="0" applyFont="0">
      <alignment horizontal="center" vertical="center"/>
    </xf>
    <xf numFmtId="3" fontId="28" fillId="38" borderId="0" applyNumberFormat="0">
      <alignment horizontal="center" vertical="center"/>
      <protection locked="0"/>
    </xf>
    <xf numFmtId="0" fontId="28" fillId="35" borderId="13" applyNumberFormat="0" applyAlignment="0"/>
    <xf numFmtId="0" fontId="18" fillId="0" borderId="0"/>
    <xf numFmtId="44" fontId="1" fillId="0" borderId="0" applyFont="0" applyFill="0" applyBorder="0" applyAlignment="0" applyProtection="0"/>
    <xf numFmtId="0" fontId="18" fillId="0" borderId="0"/>
    <xf numFmtId="43" fontId="18" fillId="0" borderId="0" applyFont="0" applyFill="0" applyBorder="0" applyAlignment="0" applyProtection="0"/>
    <xf numFmtId="44" fontId="18" fillId="0" borderId="0" applyFont="0" applyFill="0" applyBorder="0" applyAlignment="0" applyProtection="0"/>
    <xf numFmtId="9" fontId="18" fillId="0" borderId="0" applyFont="0" applyFill="0" applyBorder="0" applyAlignment="0" applyProtection="0"/>
    <xf numFmtId="0" fontId="18" fillId="0" borderId="0" applyNumberFormat="0" applyFill="0" applyBorder="0" applyAlignment="0" applyProtection="0"/>
    <xf numFmtId="173" fontId="30" fillId="34" borderId="11">
      <alignment horizontal="center" vertical="center"/>
    </xf>
    <xf numFmtId="174" fontId="31" fillId="0" borderId="0" applyFill="0" applyBorder="0" applyAlignment="0"/>
    <xf numFmtId="175" fontId="31" fillId="0" borderId="0" applyFill="0" applyBorder="0" applyAlignment="0"/>
    <xf numFmtId="176" fontId="31" fillId="0" borderId="0" applyFill="0" applyBorder="0" applyAlignment="0"/>
    <xf numFmtId="177" fontId="31" fillId="0" borderId="0" applyFill="0" applyBorder="0" applyAlignment="0"/>
    <xf numFmtId="178" fontId="31" fillId="0" borderId="0" applyFill="0" applyBorder="0" applyAlignment="0"/>
    <xf numFmtId="174" fontId="31" fillId="0" borderId="0" applyFill="0" applyBorder="0" applyAlignment="0"/>
    <xf numFmtId="178" fontId="32" fillId="0" borderId="0" applyFill="0" applyBorder="0" applyAlignment="0"/>
    <xf numFmtId="175" fontId="31" fillId="0" borderId="0" applyFill="0" applyBorder="0" applyAlignment="0"/>
    <xf numFmtId="174" fontId="3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3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9" fontId="18" fillId="0" borderId="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9" fontId="18" fillId="0" borderId="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5" fontId="3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33"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80" fontId="18" fillId="0" borderId="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80" fontId="18" fillId="0" borderId="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4" fontId="34" fillId="0" borderId="0" applyFill="0" applyBorder="0" applyAlignment="0"/>
    <xf numFmtId="181" fontId="18" fillId="0" borderId="16">
      <alignment vertical="center"/>
    </xf>
    <xf numFmtId="174" fontId="31" fillId="0" borderId="0" applyFill="0" applyBorder="0" applyAlignment="0"/>
    <xf numFmtId="175" fontId="31" fillId="0" borderId="0" applyFill="0" applyBorder="0" applyAlignment="0"/>
    <xf numFmtId="174" fontId="31" fillId="0" borderId="0" applyFill="0" applyBorder="0" applyAlignment="0"/>
    <xf numFmtId="178" fontId="32" fillId="0" borderId="0" applyFill="0" applyBorder="0" applyAlignment="0"/>
    <xf numFmtId="175" fontId="31" fillId="0" borderId="0" applyFill="0" applyBorder="0" applyAlignment="0"/>
    <xf numFmtId="38" fontId="22" fillId="35" borderId="0" applyNumberFormat="0" applyBorder="0" applyAlignment="0" applyProtection="0"/>
    <xf numFmtId="0" fontId="35" fillId="0" borderId="14" applyNumberFormat="0" applyAlignment="0" applyProtection="0">
      <alignment horizontal="left" vertical="center"/>
    </xf>
    <xf numFmtId="0" fontId="35" fillId="0" borderId="15">
      <alignment horizontal="left" vertical="center"/>
    </xf>
    <xf numFmtId="0" fontId="35" fillId="0" borderId="15">
      <alignment horizontal="left" vertical="center"/>
    </xf>
    <xf numFmtId="0"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8" fillId="0" borderId="0" applyNumberFormat="0" applyFill="0" applyBorder="0" applyAlignment="0" applyProtection="0"/>
    <xf numFmtId="10" fontId="22" fillId="36" borderId="10" applyNumberFormat="0" applyBorder="0" applyAlignment="0" applyProtection="0"/>
    <xf numFmtId="174" fontId="31" fillId="0" borderId="0" applyFill="0" applyBorder="0" applyAlignment="0"/>
    <xf numFmtId="175" fontId="31" fillId="0" borderId="0" applyFill="0" applyBorder="0" applyAlignment="0"/>
    <xf numFmtId="174" fontId="31" fillId="0" borderId="0" applyFill="0" applyBorder="0" applyAlignment="0"/>
    <xf numFmtId="178" fontId="32" fillId="0" borderId="0" applyFill="0" applyBorder="0" applyAlignment="0"/>
    <xf numFmtId="175" fontId="31" fillId="0" borderId="0" applyFill="0" applyBorder="0" applyAlignment="0"/>
    <xf numFmtId="0" fontId="18" fillId="0" borderId="0"/>
    <xf numFmtId="0" fontId="1" fillId="0" borderId="0"/>
    <xf numFmtId="0" fontId="1" fillId="0" borderId="0"/>
    <xf numFmtId="0" fontId="18" fillId="0" borderId="0"/>
    <xf numFmtId="0" fontId="18" fillId="0" borderId="0"/>
    <xf numFmtId="0" fontId="18"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39" fillId="0" borderId="0"/>
    <xf numFmtId="0" fontId="39" fillId="0" borderId="0"/>
    <xf numFmtId="0" fontId="39" fillId="0" borderId="0"/>
    <xf numFmtId="0" fontId="18" fillId="0" borderId="0"/>
    <xf numFmtId="0" fontId="1" fillId="0" borderId="0"/>
    <xf numFmtId="0" fontId="18" fillId="0" borderId="0"/>
    <xf numFmtId="0" fontId="18" fillId="0" borderId="0"/>
    <xf numFmtId="0" fontId="18" fillId="0" borderId="0"/>
    <xf numFmtId="0" fontId="18" fillId="0" borderId="0"/>
    <xf numFmtId="0" fontId="39" fillId="0" borderId="0"/>
    <xf numFmtId="0" fontId="1" fillId="0" borderId="0"/>
    <xf numFmtId="0" fontId="1" fillId="0" borderId="0"/>
    <xf numFmtId="0" fontId="18" fillId="0" borderId="0" applyNumberFormat="0" applyFill="0" applyBorder="0" applyAlignment="0" applyProtection="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20"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8" fillId="0" borderId="0"/>
    <xf numFmtId="0" fontId="1" fillId="0" borderId="0"/>
    <xf numFmtId="178" fontId="31" fillId="0" borderId="0" applyFont="0" applyFill="0" applyBorder="0" applyAlignment="0" applyProtection="0"/>
    <xf numFmtId="182"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74" fontId="31" fillId="0" borderId="0" applyFill="0" applyBorder="0" applyAlignment="0"/>
    <xf numFmtId="175" fontId="31" fillId="0" borderId="0" applyFill="0" applyBorder="0" applyAlignment="0"/>
    <xf numFmtId="174" fontId="31" fillId="0" borderId="0" applyFill="0" applyBorder="0" applyAlignment="0"/>
    <xf numFmtId="178" fontId="32" fillId="0" borderId="0" applyFill="0" applyBorder="0" applyAlignment="0"/>
    <xf numFmtId="175" fontId="31" fillId="0" borderId="0" applyFill="0" applyBorder="0" applyAlignment="0"/>
    <xf numFmtId="49" fontId="34" fillId="0" borderId="0" applyFill="0" applyBorder="0" applyAlignment="0"/>
    <xf numFmtId="183" fontId="18" fillId="0" borderId="0" applyFill="0" applyBorder="0" applyAlignment="0"/>
    <xf numFmtId="172" fontId="18" fillId="0" borderId="0" applyFill="0" applyBorder="0" applyAlignment="0"/>
    <xf numFmtId="166" fontId="18" fillId="0" borderId="17">
      <protection locked="0"/>
    </xf>
    <xf numFmtId="37" fontId="22" fillId="37" borderId="0" applyNumberFormat="0" applyBorder="0" applyAlignment="0" applyProtection="0"/>
  </cellStyleXfs>
  <cellXfs count="133">
    <xf numFmtId="0" fontId="0" fillId="0" borderId="0" xfId="0"/>
    <xf numFmtId="0" fontId="0" fillId="0" borderId="0" xfId="0"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0" fillId="0" borderId="0" xfId="0" applyAlignment="1">
      <alignment horizontal="center"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16" fillId="0" borderId="10" xfId="0" applyFont="1" applyBorder="1" applyAlignment="1">
      <alignment horizontal="center" vertical="center" wrapText="1"/>
    </xf>
    <xf numFmtId="0" fontId="29" fillId="33" borderId="0" xfId="0" applyFont="1" applyFill="1"/>
    <xf numFmtId="0" fontId="29" fillId="0" borderId="0" xfId="0" applyFont="1" applyAlignment="1">
      <alignment horizontal="left" vertical="top"/>
    </xf>
    <xf numFmtId="0" fontId="44" fillId="0" borderId="0" xfId="0" applyFont="1" applyAlignment="1">
      <alignment horizontal="left" vertical="top"/>
    </xf>
    <xf numFmtId="0" fontId="45" fillId="33" borderId="0" xfId="0" applyFont="1" applyFill="1" applyAlignment="1">
      <alignment horizontal="left" vertical="top"/>
    </xf>
    <xf numFmtId="0" fontId="29" fillId="0" borderId="0" xfId="0" applyFont="1" applyAlignment="1">
      <alignment horizontal="left" vertical="top" wrapText="1"/>
    </xf>
    <xf numFmtId="0" fontId="29" fillId="0" borderId="10" xfId="0" applyFont="1" applyBorder="1" applyAlignment="1">
      <alignment horizontal="left" vertical="top"/>
    </xf>
    <xf numFmtId="2" fontId="29" fillId="0" borderId="10" xfId="0" applyNumberFormat="1" applyFont="1" applyBorder="1" applyAlignment="1">
      <alignment horizontal="left" vertical="top"/>
    </xf>
    <xf numFmtId="0" fontId="29" fillId="33" borderId="0" xfId="0" applyFont="1" applyFill="1" applyAlignment="1">
      <alignment horizontal="left" vertical="top"/>
    </xf>
    <xf numFmtId="0" fontId="29" fillId="40" borderId="0" xfId="0" applyFont="1" applyFill="1" applyAlignment="1">
      <alignment horizontal="left" vertical="top"/>
    </xf>
    <xf numFmtId="0" fontId="35" fillId="33" borderId="0" xfId="0" applyFont="1" applyFill="1" applyAlignment="1">
      <alignment horizontal="left" vertical="top"/>
    </xf>
    <xf numFmtId="9" fontId="29" fillId="40" borderId="0" xfId="2" applyFont="1" applyFill="1" applyBorder="1" applyAlignment="1" applyProtection="1">
      <alignment horizontal="left" vertical="top"/>
    </xf>
    <xf numFmtId="3" fontId="29" fillId="33" borderId="0" xfId="0" applyNumberFormat="1" applyFont="1" applyFill="1" applyAlignment="1">
      <alignment horizontal="left" vertical="top"/>
    </xf>
    <xf numFmtId="9" fontId="29" fillId="33" borderId="0" xfId="2" applyFont="1" applyFill="1" applyBorder="1" applyAlignment="1" applyProtection="1">
      <alignment horizontal="left" vertical="top"/>
    </xf>
    <xf numFmtId="9" fontId="29" fillId="40" borderId="0" xfId="0" applyNumberFormat="1" applyFont="1" applyFill="1" applyAlignment="1">
      <alignment horizontal="left" vertical="top"/>
    </xf>
    <xf numFmtId="10" fontId="29" fillId="33" borderId="0" xfId="0" applyNumberFormat="1" applyFont="1" applyFill="1" applyAlignment="1">
      <alignment horizontal="left" vertical="top"/>
    </xf>
    <xf numFmtId="0" fontId="45" fillId="0" borderId="0" xfId="0" applyFont="1" applyAlignment="1">
      <alignment horizontal="left" vertical="top"/>
    </xf>
    <xf numFmtId="0" fontId="29" fillId="0" borderId="18" xfId="0" applyFont="1" applyBorder="1" applyAlignment="1">
      <alignment horizontal="left" vertical="top"/>
    </xf>
    <xf numFmtId="0" fontId="35" fillId="0" borderId="0" xfId="0" applyFont="1" applyAlignment="1">
      <alignment horizontal="left" vertical="top"/>
    </xf>
    <xf numFmtId="0" fontId="42" fillId="0" borderId="0" xfId="0" applyFont="1" applyAlignment="1">
      <alignment horizontal="right" vertical="top"/>
    </xf>
    <xf numFmtId="0" fontId="29" fillId="0" borderId="10" xfId="0" applyFont="1" applyBorder="1" applyAlignment="1">
      <alignment horizontal="left" vertical="top" wrapText="1"/>
    </xf>
    <xf numFmtId="0" fontId="29" fillId="0" borderId="23" xfId="0" applyFont="1" applyBorder="1" applyAlignment="1">
      <alignment horizontal="left" vertical="top"/>
    </xf>
    <xf numFmtId="0" fontId="35" fillId="41" borderId="10" xfId="0" applyFont="1" applyFill="1" applyBorder="1" applyAlignment="1">
      <alignment horizontal="left" vertical="top" wrapText="1"/>
    </xf>
    <xf numFmtId="0" fontId="42" fillId="0" borderId="10" xfId="0" applyFont="1" applyBorder="1" applyAlignment="1">
      <alignment horizontal="left" vertical="top"/>
    </xf>
    <xf numFmtId="0" fontId="46" fillId="0" borderId="10" xfId="0" applyFont="1" applyBorder="1" applyAlignment="1">
      <alignment horizontal="left" vertical="top"/>
    </xf>
    <xf numFmtId="0" fontId="43" fillId="0" borderId="10" xfId="0" applyFont="1" applyBorder="1" applyAlignment="1">
      <alignment horizontal="left" vertical="top"/>
    </xf>
    <xf numFmtId="0" fontId="35" fillId="40" borderId="10" xfId="0" applyFont="1" applyFill="1" applyBorder="1" applyAlignment="1">
      <alignment horizontal="left" vertical="top"/>
    </xf>
    <xf numFmtId="0" fontId="42" fillId="40" borderId="10" xfId="0" applyFont="1" applyFill="1" applyBorder="1" applyAlignment="1">
      <alignment horizontal="left" vertical="top"/>
    </xf>
    <xf numFmtId="43" fontId="29" fillId="40" borderId="10" xfId="1" applyFont="1" applyFill="1" applyBorder="1" applyAlignment="1" applyProtection="1">
      <alignment horizontal="left" vertical="top"/>
    </xf>
    <xf numFmtId="0" fontId="43" fillId="40" borderId="10" xfId="0" applyFont="1" applyFill="1" applyBorder="1" applyAlignment="1">
      <alignment horizontal="left" vertical="top"/>
    </xf>
    <xf numFmtId="44" fontId="35" fillId="40" borderId="10" xfId="99" applyFont="1" applyFill="1" applyBorder="1" applyAlignment="1" applyProtection="1">
      <alignment horizontal="left" vertical="top"/>
    </xf>
    <xf numFmtId="169" fontId="29" fillId="40" borderId="10" xfId="2" applyNumberFormat="1" applyFont="1" applyFill="1" applyBorder="1" applyAlignment="1" applyProtection="1">
      <alignment horizontal="left" vertical="top"/>
    </xf>
    <xf numFmtId="0" fontId="35" fillId="0" borderId="10" xfId="0" applyFont="1" applyBorder="1" applyAlignment="1">
      <alignment horizontal="left" vertical="top"/>
    </xf>
    <xf numFmtId="0" fontId="29" fillId="0" borderId="10" xfId="0" applyFont="1" applyBorder="1" applyAlignment="1">
      <alignment horizontal="center" vertical="center" wrapText="1"/>
    </xf>
    <xf numFmtId="3" fontId="29" fillId="0" borderId="10" xfId="0" applyNumberFormat="1" applyFont="1" applyBorder="1" applyAlignment="1">
      <alignment horizontal="center" vertical="center"/>
    </xf>
    <xf numFmtId="0" fontId="29" fillId="0" borderId="0" xfId="0" applyFont="1" applyAlignment="1">
      <alignment horizontal="center" vertical="center"/>
    </xf>
    <xf numFmtId="0" fontId="29" fillId="0" borderId="0" xfId="0" applyFont="1" applyAlignment="1">
      <alignment horizontal="center" vertical="center" wrapText="1"/>
    </xf>
    <xf numFmtId="3" fontId="29" fillId="0" borderId="0" xfId="0" applyNumberFormat="1" applyFont="1" applyAlignment="1">
      <alignment horizontal="center" vertical="center"/>
    </xf>
    <xf numFmtId="3" fontId="29" fillId="0" borderId="21" xfId="0" applyNumberFormat="1" applyFont="1" applyBorder="1" applyAlignment="1">
      <alignment horizontal="center" vertical="center"/>
    </xf>
    <xf numFmtId="3" fontId="29" fillId="0" borderId="20" xfId="0" applyNumberFormat="1" applyFont="1" applyBorder="1" applyAlignment="1">
      <alignment horizontal="center" vertical="center"/>
    </xf>
    <xf numFmtId="3" fontId="43" fillId="0" borderId="10" xfId="1" applyNumberFormat="1" applyFont="1" applyFill="1" applyBorder="1" applyAlignment="1" applyProtection="1">
      <alignment horizontal="center" vertical="center"/>
    </xf>
    <xf numFmtId="3" fontId="29" fillId="0" borderId="10" xfId="1" applyNumberFormat="1" applyFont="1" applyFill="1" applyBorder="1" applyAlignment="1" applyProtection="1">
      <alignment horizontal="center" vertical="center"/>
      <protection locked="0"/>
    </xf>
    <xf numFmtId="184" fontId="29" fillId="0" borderId="10" xfId="1" applyNumberFormat="1" applyFont="1" applyFill="1" applyBorder="1" applyAlignment="1" applyProtection="1">
      <alignment horizontal="center" vertical="center"/>
      <protection locked="0"/>
    </xf>
    <xf numFmtId="49" fontId="29" fillId="0" borderId="10" xfId="1" applyNumberFormat="1" applyFont="1" applyFill="1" applyBorder="1" applyAlignment="1" applyProtection="1">
      <alignment horizontal="center" vertical="center" wrapText="1" shrinkToFit="1"/>
      <protection locked="0"/>
    </xf>
    <xf numFmtId="9" fontId="42" fillId="0" borderId="10" xfId="2" applyFont="1" applyFill="1" applyBorder="1" applyAlignment="1" applyProtection="1">
      <alignment horizontal="center" vertical="center"/>
      <protection hidden="1"/>
    </xf>
    <xf numFmtId="39" fontId="42" fillId="0" borderId="10" xfId="1" applyNumberFormat="1" applyFont="1" applyFill="1" applyBorder="1" applyAlignment="1" applyProtection="1">
      <alignment horizontal="center" vertical="center"/>
      <protection hidden="1"/>
    </xf>
    <xf numFmtId="1" fontId="42" fillId="0" borderId="10" xfId="1" applyNumberFormat="1" applyFont="1" applyFill="1" applyBorder="1" applyAlignment="1" applyProtection="1">
      <alignment horizontal="center" vertical="center"/>
      <protection hidden="1"/>
    </xf>
    <xf numFmtId="185" fontId="29" fillId="0" borderId="10" xfId="2" applyNumberFormat="1" applyFont="1" applyFill="1" applyBorder="1" applyAlignment="1" applyProtection="1">
      <alignment horizontal="center" vertical="center"/>
      <protection locked="0"/>
    </xf>
    <xf numFmtId="2" fontId="29" fillId="0" borderId="10" xfId="1" applyNumberFormat="1" applyFont="1" applyFill="1" applyBorder="1" applyAlignment="1" applyProtection="1">
      <alignment horizontal="center" vertical="center"/>
      <protection locked="0"/>
    </xf>
    <xf numFmtId="3" fontId="29" fillId="42" borderId="10" xfId="1" applyNumberFormat="1" applyFont="1" applyFill="1" applyBorder="1" applyAlignment="1" applyProtection="1">
      <alignment horizontal="center" vertical="center"/>
      <protection locked="0"/>
    </xf>
    <xf numFmtId="0" fontId="29" fillId="42" borderId="10" xfId="1" applyNumberFormat="1" applyFont="1" applyFill="1" applyBorder="1" applyAlignment="1" applyProtection="1">
      <alignment horizontal="center" vertical="center" wrapText="1"/>
      <protection locked="0"/>
    </xf>
    <xf numFmtId="0" fontId="29" fillId="42" borderId="18" xfId="0" applyFont="1" applyFill="1" applyBorder="1" applyAlignment="1">
      <alignment horizontal="left" vertical="top"/>
    </xf>
    <xf numFmtId="0" fontId="29" fillId="0" borderId="10" xfId="0" applyFont="1" applyBorder="1" applyAlignment="1">
      <alignment horizontal="center" vertical="center"/>
    </xf>
    <xf numFmtId="0" fontId="29" fillId="0" borderId="22" xfId="0" applyFont="1" applyBorder="1" applyAlignment="1">
      <alignment horizontal="center" vertical="center"/>
    </xf>
    <xf numFmtId="0" fontId="29" fillId="0" borderId="23" xfId="0" applyFont="1" applyBorder="1" applyAlignment="1">
      <alignment horizontal="center" vertical="center"/>
    </xf>
    <xf numFmtId="0" fontId="47" fillId="43" borderId="10" xfId="0" applyFont="1" applyFill="1" applyBorder="1" applyAlignment="1">
      <alignment horizontal="center" vertical="center"/>
    </xf>
    <xf numFmtId="0" fontId="47" fillId="43" borderId="10" xfId="0" applyFont="1" applyFill="1" applyBorder="1" applyAlignment="1">
      <alignment horizontal="center" vertical="center" wrapText="1"/>
    </xf>
    <xf numFmtId="3" fontId="48" fillId="0" borderId="10" xfId="0" applyNumberFormat="1" applyFont="1" applyBorder="1" applyAlignment="1">
      <alignment horizontal="center" vertical="center"/>
    </xf>
    <xf numFmtId="2" fontId="48" fillId="0" borderId="10" xfId="0" applyNumberFormat="1" applyFont="1" applyBorder="1" applyAlignment="1">
      <alignment horizontal="center" vertical="center"/>
    </xf>
    <xf numFmtId="176" fontId="48" fillId="0" borderId="10" xfId="0" applyNumberFormat="1" applyFont="1" applyBorder="1" applyAlignment="1">
      <alignment horizontal="center" vertical="center"/>
    </xf>
    <xf numFmtId="2" fontId="29" fillId="40" borderId="10" xfId="1" applyNumberFormat="1" applyFont="1" applyFill="1" applyBorder="1" applyAlignment="1" applyProtection="1">
      <alignment horizontal="center" vertical="center"/>
    </xf>
    <xf numFmtId="176" fontId="29" fillId="40" borderId="10" xfId="1" applyNumberFormat="1" applyFont="1" applyFill="1" applyBorder="1" applyAlignment="1" applyProtection="1">
      <alignment horizontal="center" vertical="center"/>
    </xf>
    <xf numFmtId="3" fontId="29" fillId="40" borderId="10" xfId="1" applyNumberFormat="1" applyFont="1" applyFill="1" applyBorder="1" applyAlignment="1" applyProtection="1">
      <alignment horizontal="center" vertical="center"/>
    </xf>
    <xf numFmtId="187" fontId="29" fillId="40" borderId="10" xfId="1" applyNumberFormat="1" applyFont="1" applyFill="1" applyBorder="1" applyAlignment="1" applyProtection="1">
      <alignment horizontal="center" vertical="center"/>
    </xf>
    <xf numFmtId="37" fontId="29" fillId="40" borderId="10" xfId="1" applyNumberFormat="1" applyFont="1" applyFill="1" applyBorder="1" applyAlignment="1" applyProtection="1">
      <alignment horizontal="center" vertical="center"/>
    </xf>
    <xf numFmtId="37" fontId="35" fillId="40" borderId="10" xfId="1" applyNumberFormat="1" applyFont="1" applyFill="1" applyBorder="1" applyAlignment="1" applyProtection="1">
      <alignment horizontal="center" vertical="center"/>
    </xf>
    <xf numFmtId="39" fontId="35" fillId="40" borderId="10" xfId="1" applyNumberFormat="1" applyFont="1" applyFill="1" applyBorder="1" applyAlignment="1" applyProtection="1">
      <alignment horizontal="center" vertical="center"/>
    </xf>
    <xf numFmtId="9" fontId="29" fillId="40" borderId="10" xfId="2" applyFont="1" applyFill="1" applyBorder="1" applyAlignment="1" applyProtection="1">
      <alignment horizontal="center" vertical="center"/>
    </xf>
    <xf numFmtId="3" fontId="0" fillId="0" borderId="0" xfId="0" applyNumberFormat="1" applyAlignment="1">
      <alignment horizontal="center" vertical="center"/>
    </xf>
    <xf numFmtId="0" fontId="48" fillId="0" borderId="10" xfId="0" applyFont="1" applyBorder="1" applyAlignment="1">
      <alignment horizontal="left" vertical="center"/>
    </xf>
    <xf numFmtId="2" fontId="29" fillId="0" borderId="10" xfId="0" applyNumberFormat="1" applyFont="1" applyBorder="1" applyAlignment="1">
      <alignment horizontal="center" vertical="center"/>
    </xf>
    <xf numFmtId="2" fontId="29" fillId="0" borderId="22" xfId="0" applyNumberFormat="1" applyFont="1" applyBorder="1" applyAlignment="1">
      <alignment horizontal="center" vertical="center"/>
    </xf>
    <xf numFmtId="184" fontId="29" fillId="0" borderId="21" xfId="0" applyNumberFormat="1" applyFont="1" applyBorder="1" applyAlignment="1">
      <alignment horizontal="center" vertical="center"/>
    </xf>
    <xf numFmtId="0" fontId="0" fillId="33" borderId="0" xfId="0" applyFill="1" applyAlignment="1">
      <alignment horizontal="left" vertical="top"/>
    </xf>
    <xf numFmtId="0" fontId="16" fillId="39" borderId="10" xfId="0" applyFont="1" applyFill="1" applyBorder="1" applyAlignment="1">
      <alignment horizontal="center" vertical="center"/>
    </xf>
    <xf numFmtId="0" fontId="0" fillId="33" borderId="0" xfId="0" applyFill="1" applyAlignment="1">
      <alignment horizontal="center" vertical="center"/>
    </xf>
    <xf numFmtId="0" fontId="0" fillId="39" borderId="10" xfId="0" applyFill="1" applyBorder="1" applyAlignment="1">
      <alignment horizontal="left" vertical="center"/>
    </xf>
    <xf numFmtId="9" fontId="0" fillId="33" borderId="10" xfId="0" applyNumberFormat="1" applyFill="1" applyBorder="1" applyAlignment="1">
      <alignment horizontal="center" vertical="center"/>
    </xf>
    <xf numFmtId="2" fontId="0" fillId="33" borderId="10" xfId="1" applyNumberFormat="1" applyFont="1" applyFill="1" applyBorder="1" applyAlignment="1">
      <alignment horizontal="center" vertical="center"/>
    </xf>
    <xf numFmtId="0" fontId="0" fillId="33" borderId="0" xfId="0" applyFill="1" applyAlignment="1">
      <alignment horizontal="left" vertical="center"/>
    </xf>
    <xf numFmtId="0" fontId="16" fillId="39" borderId="10" xfId="0" applyFont="1" applyFill="1" applyBorder="1" applyAlignment="1">
      <alignment horizontal="left" vertical="top"/>
    </xf>
    <xf numFmtId="0" fontId="0" fillId="39" borderId="10" xfId="0" applyFill="1" applyBorder="1" applyAlignment="1">
      <alignment horizontal="left" vertical="top"/>
    </xf>
    <xf numFmtId="176" fontId="0" fillId="33" borderId="10" xfId="1" applyNumberFormat="1" applyFont="1" applyFill="1" applyBorder="1" applyAlignment="1">
      <alignment horizontal="left" vertical="top"/>
    </xf>
    <xf numFmtId="0" fontId="0" fillId="0" borderId="10" xfId="0" applyBorder="1" applyAlignment="1">
      <alignment horizontal="left" vertical="center"/>
    </xf>
    <xf numFmtId="0" fontId="29" fillId="0" borderId="10" xfId="0" applyFont="1" applyBorder="1" applyAlignment="1">
      <alignment horizontal="left" vertical="top" wrapText="1"/>
    </xf>
    <xf numFmtId="0" fontId="29" fillId="0" borderId="0" xfId="0" applyFont="1" applyAlignment="1">
      <alignment horizontal="left" vertical="top" wrapText="1"/>
    </xf>
    <xf numFmtId="0" fontId="44" fillId="0" borderId="0" xfId="0" applyFont="1" applyAlignment="1">
      <alignment horizontal="left" vertical="top" wrapText="1"/>
    </xf>
    <xf numFmtId="171" fontId="35" fillId="0" borderId="10" xfId="99" applyNumberFormat="1" applyFont="1" applyFill="1" applyBorder="1" applyAlignment="1" applyProtection="1">
      <alignment horizontal="center" vertical="center"/>
      <protection hidden="1"/>
    </xf>
    <xf numFmtId="3" fontId="46" fillId="0" borderId="10" xfId="1" applyNumberFormat="1" applyFont="1" applyFill="1" applyBorder="1" applyAlignment="1" applyProtection="1">
      <alignment horizontal="center" vertical="center"/>
      <protection locked="0"/>
    </xf>
    <xf numFmtId="3" fontId="29" fillId="0" borderId="10" xfId="1" applyNumberFormat="1" applyFont="1" applyFill="1" applyBorder="1" applyAlignment="1" applyProtection="1">
      <alignment horizontal="center" vertical="center"/>
      <protection hidden="1"/>
    </xf>
    <xf numFmtId="0" fontId="35" fillId="41" borderId="10" xfId="0" applyFont="1" applyFill="1" applyBorder="1" applyAlignment="1">
      <alignment horizontal="center" vertical="center"/>
    </xf>
    <xf numFmtId="2" fontId="29" fillId="0" borderId="10" xfId="1" applyNumberFormat="1" applyFont="1" applyFill="1" applyBorder="1" applyAlignment="1" applyProtection="1">
      <alignment horizontal="center" vertical="center"/>
      <protection hidden="1"/>
    </xf>
    <xf numFmtId="0" fontId="45" fillId="0" borderId="0" xfId="0" applyFont="1" applyAlignment="1">
      <alignment horizontal="left" vertical="top"/>
    </xf>
    <xf numFmtId="0" fontId="29" fillId="41" borderId="10" xfId="0" applyFont="1" applyFill="1" applyBorder="1" applyAlignment="1">
      <alignment horizontal="left" vertical="top"/>
    </xf>
    <xf numFmtId="0" fontId="35" fillId="41" borderId="10" xfId="0" applyFont="1" applyFill="1" applyBorder="1" applyAlignment="1">
      <alignment horizontal="left" vertical="top"/>
    </xf>
    <xf numFmtId="0" fontId="29" fillId="42" borderId="10" xfId="1" applyNumberFormat="1" applyFont="1" applyFill="1" applyBorder="1" applyAlignment="1" applyProtection="1">
      <alignment horizontal="center" vertical="center"/>
      <protection locked="0"/>
    </xf>
    <xf numFmtId="170" fontId="29" fillId="42" borderId="10" xfId="99" applyNumberFormat="1" applyFont="1" applyFill="1" applyBorder="1" applyAlignment="1" applyProtection="1">
      <alignment horizontal="center" vertical="center"/>
      <protection locked="0"/>
    </xf>
    <xf numFmtId="186" fontId="35" fillId="0" borderId="10" xfId="99" applyNumberFormat="1" applyFont="1" applyFill="1" applyBorder="1" applyAlignment="1" applyProtection="1">
      <alignment horizontal="center" vertical="center"/>
      <protection hidden="1"/>
    </xf>
    <xf numFmtId="186" fontId="35" fillId="0" borderId="10" xfId="0" applyNumberFormat="1" applyFont="1" applyBorder="1" applyAlignment="1" applyProtection="1">
      <alignment horizontal="center" vertical="center"/>
      <protection hidden="1"/>
    </xf>
    <xf numFmtId="3" fontId="29" fillId="0" borderId="10" xfId="0" applyNumberFormat="1" applyFont="1" applyBorder="1" applyAlignment="1" applyProtection="1">
      <alignment horizontal="center" vertical="center"/>
      <protection hidden="1"/>
    </xf>
    <xf numFmtId="3" fontId="35" fillId="0" borderId="10" xfId="0" applyNumberFormat="1" applyFont="1" applyBorder="1" applyAlignment="1" applyProtection="1">
      <alignment horizontal="center" vertical="center"/>
      <protection hidden="1"/>
    </xf>
    <xf numFmtId="4" fontId="35" fillId="0" borderId="10" xfId="1" applyNumberFormat="1" applyFont="1" applyFill="1" applyBorder="1" applyAlignment="1" applyProtection="1">
      <alignment horizontal="center" vertical="center"/>
      <protection hidden="1"/>
    </xf>
    <xf numFmtId="0" fontId="29" fillId="40" borderId="10" xfId="0" applyFont="1" applyFill="1" applyBorder="1" applyAlignment="1">
      <alignment horizontal="left" vertical="top"/>
    </xf>
    <xf numFmtId="0" fontId="43" fillId="40" borderId="10" xfId="0" applyFont="1" applyFill="1" applyBorder="1" applyAlignment="1">
      <alignment horizontal="left" vertical="top"/>
    </xf>
    <xf numFmtId="0" fontId="29" fillId="0" borderId="0" xfId="0" applyFont="1" applyAlignment="1">
      <alignment horizontal="left" vertical="center" wrapText="1"/>
    </xf>
    <xf numFmtId="0" fontId="47" fillId="43" borderId="10" xfId="0" applyFont="1" applyFill="1" applyBorder="1" applyAlignment="1">
      <alignment horizontal="center" vertical="center"/>
    </xf>
    <xf numFmtId="0" fontId="0" fillId="33" borderId="0" xfId="0" applyFill="1" applyAlignment="1">
      <alignment horizontal="left" vertical="top"/>
    </xf>
    <xf numFmtId="0" fontId="49" fillId="33" borderId="0" xfId="0" applyFont="1" applyFill="1" applyAlignment="1">
      <alignment horizontal="left" vertical="top"/>
    </xf>
    <xf numFmtId="0" fontId="29" fillId="0" borderId="0" xfId="0" applyFont="1" applyAlignment="1">
      <alignment horizontal="center" vertical="center"/>
    </xf>
    <xf numFmtId="0" fontId="29" fillId="0" borderId="10" xfId="0" applyFont="1" applyBorder="1" applyAlignment="1">
      <alignment horizontal="center" vertical="center"/>
    </xf>
    <xf numFmtId="0" fontId="29" fillId="0" borderId="10" xfId="0" applyFont="1" applyBorder="1" applyAlignment="1">
      <alignment horizontal="center" vertical="center" wrapText="1"/>
    </xf>
    <xf numFmtId="0" fontId="35" fillId="41" borderId="10" xfId="0" applyFont="1" applyFill="1" applyBorder="1" applyAlignment="1">
      <alignment horizontal="center" vertical="center" wrapText="1"/>
    </xf>
    <xf numFmtId="0" fontId="29" fillId="0" borderId="21" xfId="0" applyFont="1" applyBorder="1" applyAlignment="1">
      <alignment horizontal="center" vertical="center"/>
    </xf>
    <xf numFmtId="0" fontId="35" fillId="41" borderId="21" xfId="0" applyFont="1" applyFill="1" applyBorder="1" applyAlignment="1">
      <alignment horizontal="left" vertical="top"/>
    </xf>
    <xf numFmtId="0" fontId="35" fillId="41" borderId="15" xfId="0" applyFont="1" applyFill="1" applyBorder="1" applyAlignment="1">
      <alignment horizontal="left" vertical="top"/>
    </xf>
    <xf numFmtId="0" fontId="35" fillId="41" borderId="20" xfId="0" applyFont="1" applyFill="1" applyBorder="1" applyAlignment="1">
      <alignment horizontal="left" vertical="top"/>
    </xf>
    <xf numFmtId="0" fontId="35" fillId="41" borderId="24" xfId="0" applyFont="1" applyFill="1" applyBorder="1" applyAlignment="1">
      <alignment horizontal="center" vertical="center" wrapText="1"/>
    </xf>
    <xf numFmtId="0" fontId="29" fillId="0" borderId="19" xfId="0" applyFont="1" applyBorder="1" applyAlignment="1">
      <alignment horizontal="left" vertical="top"/>
    </xf>
    <xf numFmtId="0" fontId="29" fillId="0" borderId="25" xfId="0" applyFont="1" applyBorder="1" applyAlignment="1">
      <alignment horizontal="left" vertical="center" wrapText="1"/>
    </xf>
    <xf numFmtId="0" fontId="29" fillId="0" borderId="26" xfId="0" applyFont="1" applyBorder="1" applyAlignment="1">
      <alignment horizontal="left" vertical="center" wrapText="1"/>
    </xf>
    <xf numFmtId="0" fontId="29" fillId="0" borderId="27" xfId="0" applyFont="1" applyBorder="1" applyAlignment="1">
      <alignment horizontal="left" vertical="center" wrapText="1"/>
    </xf>
    <xf numFmtId="0" fontId="29" fillId="0" borderId="28" xfId="0" applyFont="1" applyBorder="1" applyAlignment="1">
      <alignment horizontal="left" vertical="center" wrapText="1"/>
    </xf>
    <xf numFmtId="0" fontId="29" fillId="0" borderId="19" xfId="0" applyFont="1" applyBorder="1" applyAlignment="1">
      <alignment horizontal="left" vertical="center" wrapText="1"/>
    </xf>
    <xf numFmtId="0" fontId="29" fillId="0" borderId="29" xfId="0" applyFont="1" applyBorder="1" applyAlignment="1">
      <alignment horizontal="left" vertical="center" wrapText="1"/>
    </xf>
    <xf numFmtId="184" fontId="29" fillId="0" borderId="10" xfId="0" applyNumberFormat="1" applyFont="1" applyBorder="1" applyAlignment="1">
      <alignment horizontal="center" vertical="center"/>
    </xf>
    <xf numFmtId="0" fontId="50" fillId="0" borderId="0" xfId="0" applyFont="1" applyAlignment="1">
      <alignment horizontal="left" vertical="top"/>
    </xf>
  </cellXfs>
  <cellStyles count="451">
    <cellStyle name="_x0010_“+ˆÉ•?pý¤" xfId="47" xr:uid="{00000000-0005-0000-0000-000000000000}"/>
    <cellStyle name="_x0010_“+ˆÉ•?pý¤ 2" xfId="104" xr:uid="{00000000-0005-0000-0000-000001000000}"/>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Actual Date" xfId="48" xr:uid="{00000000-0005-0000-0000-00001A000000}"/>
    <cellStyle name="Actual Date 2" xfId="105" xr:uid="{00000000-0005-0000-0000-00001B000000}"/>
    <cellStyle name="Bad" xfId="9" builtinId="27" customBuiltin="1"/>
    <cellStyle name="Calc Currency (0)" xfId="106" xr:uid="{00000000-0005-0000-0000-00001D000000}"/>
    <cellStyle name="Calc Currency (2)" xfId="107" xr:uid="{00000000-0005-0000-0000-00001E000000}"/>
    <cellStyle name="Calc Percent (0)" xfId="108" xr:uid="{00000000-0005-0000-0000-00001F000000}"/>
    <cellStyle name="Calc Percent (1)" xfId="109" xr:uid="{00000000-0005-0000-0000-000020000000}"/>
    <cellStyle name="Calc Percent (2)" xfId="110" xr:uid="{00000000-0005-0000-0000-000021000000}"/>
    <cellStyle name="Calc Units (0)" xfId="111" xr:uid="{00000000-0005-0000-0000-000022000000}"/>
    <cellStyle name="Calc Units (1)" xfId="112" xr:uid="{00000000-0005-0000-0000-000023000000}"/>
    <cellStyle name="Calc Units (2)" xfId="113" xr:uid="{00000000-0005-0000-0000-000024000000}"/>
    <cellStyle name="Calculation" xfId="13" builtinId="22" customBuiltin="1"/>
    <cellStyle name="Check Cell" xfId="15" builtinId="23" customBuiltin="1"/>
    <cellStyle name="Comma" xfId="1" builtinId="3"/>
    <cellStyle name="Comma [00]" xfId="114" xr:uid="{00000000-0005-0000-0000-000028000000}"/>
    <cellStyle name="Comma 10" xfId="115" xr:uid="{00000000-0005-0000-0000-000029000000}"/>
    <cellStyle name="Comma 10 2" xfId="116" xr:uid="{00000000-0005-0000-0000-00002A000000}"/>
    <cellStyle name="Comma 11" xfId="117" xr:uid="{00000000-0005-0000-0000-00002B000000}"/>
    <cellStyle name="Comma 11 2" xfId="118" xr:uid="{00000000-0005-0000-0000-00002C000000}"/>
    <cellStyle name="Comma 12" xfId="119" xr:uid="{00000000-0005-0000-0000-00002D000000}"/>
    <cellStyle name="Comma 12 2" xfId="120" xr:uid="{00000000-0005-0000-0000-00002E000000}"/>
    <cellStyle name="Comma 13 2" xfId="121" xr:uid="{00000000-0005-0000-0000-00002F000000}"/>
    <cellStyle name="Comma 13 2 2" xfId="122" xr:uid="{00000000-0005-0000-0000-000030000000}"/>
    <cellStyle name="Comma 13 3" xfId="123" xr:uid="{00000000-0005-0000-0000-000031000000}"/>
    <cellStyle name="Comma 14" xfId="124" xr:uid="{00000000-0005-0000-0000-000032000000}"/>
    <cellStyle name="Comma 14 2" xfId="125" xr:uid="{00000000-0005-0000-0000-000033000000}"/>
    <cellStyle name="Comma 15 2" xfId="126" xr:uid="{00000000-0005-0000-0000-000034000000}"/>
    <cellStyle name="Comma 16" xfId="127" xr:uid="{00000000-0005-0000-0000-000035000000}"/>
    <cellStyle name="Comma 16 2" xfId="128" xr:uid="{00000000-0005-0000-0000-000036000000}"/>
    <cellStyle name="Comma 17 2" xfId="129" xr:uid="{00000000-0005-0000-0000-000037000000}"/>
    <cellStyle name="Comma 18" xfId="130" xr:uid="{00000000-0005-0000-0000-000038000000}"/>
    <cellStyle name="Comma 19" xfId="131" xr:uid="{00000000-0005-0000-0000-000039000000}"/>
    <cellStyle name="Comma 2" xfId="49" xr:uid="{00000000-0005-0000-0000-00003A000000}"/>
    <cellStyle name="Comma 2 106" xfId="50" xr:uid="{00000000-0005-0000-0000-00003B000000}"/>
    <cellStyle name="Comma 2 2" xfId="51" xr:uid="{00000000-0005-0000-0000-00003C000000}"/>
    <cellStyle name="Comma 2 2 2" xfId="132" xr:uid="{00000000-0005-0000-0000-00003D000000}"/>
    <cellStyle name="Comma 2 2 2 2" xfId="133" xr:uid="{00000000-0005-0000-0000-00003E000000}"/>
    <cellStyle name="Comma 2 2 3" xfId="134" xr:uid="{00000000-0005-0000-0000-00003F000000}"/>
    <cellStyle name="Comma 2 2 4" xfId="135" xr:uid="{00000000-0005-0000-0000-000040000000}"/>
    <cellStyle name="Comma 2 3" xfId="46" xr:uid="{00000000-0005-0000-0000-000041000000}"/>
    <cellStyle name="Comma 2 3 2" xfId="136" xr:uid="{00000000-0005-0000-0000-000042000000}"/>
    <cellStyle name="Comma 2 3 3" xfId="137" xr:uid="{00000000-0005-0000-0000-000043000000}"/>
    <cellStyle name="Comma 2 4" xfId="138" xr:uid="{00000000-0005-0000-0000-000044000000}"/>
    <cellStyle name="Comma 2 4 2" xfId="139" xr:uid="{00000000-0005-0000-0000-000045000000}"/>
    <cellStyle name="Comma 2 4 3" xfId="140" xr:uid="{00000000-0005-0000-0000-000046000000}"/>
    <cellStyle name="Comma 2 4 3 2" xfId="141" xr:uid="{00000000-0005-0000-0000-000047000000}"/>
    <cellStyle name="Comma 2 4 4" xfId="142" xr:uid="{00000000-0005-0000-0000-000048000000}"/>
    <cellStyle name="Comma 2 4 5" xfId="143" xr:uid="{00000000-0005-0000-0000-000049000000}"/>
    <cellStyle name="Comma 2 5" xfId="144" xr:uid="{00000000-0005-0000-0000-00004A000000}"/>
    <cellStyle name="Comma 2 5 2" xfId="145" xr:uid="{00000000-0005-0000-0000-00004B000000}"/>
    <cellStyle name="Comma 2 6" xfId="146" xr:uid="{00000000-0005-0000-0000-00004C000000}"/>
    <cellStyle name="Comma 20" xfId="147" xr:uid="{00000000-0005-0000-0000-00004D000000}"/>
    <cellStyle name="Comma 21" xfId="148" xr:uid="{00000000-0005-0000-0000-00004E000000}"/>
    <cellStyle name="Comma 22" xfId="149" xr:uid="{00000000-0005-0000-0000-00004F000000}"/>
    <cellStyle name="Comma 3" xfId="52" xr:uid="{00000000-0005-0000-0000-000050000000}"/>
    <cellStyle name="Comma 3 2" xfId="150" xr:uid="{00000000-0005-0000-0000-000051000000}"/>
    <cellStyle name="Comma 3 2 10" xfId="151" xr:uid="{00000000-0005-0000-0000-000052000000}"/>
    <cellStyle name="Comma 3 2 11" xfId="152" xr:uid="{00000000-0005-0000-0000-000053000000}"/>
    <cellStyle name="Comma 3 2 2" xfId="153" xr:uid="{00000000-0005-0000-0000-000054000000}"/>
    <cellStyle name="Comma 3 2 2 2" xfId="154" xr:uid="{00000000-0005-0000-0000-000055000000}"/>
    <cellStyle name="Comma 3 2 3" xfId="155" xr:uid="{00000000-0005-0000-0000-000056000000}"/>
    <cellStyle name="Comma 3 2 4" xfId="156" xr:uid="{00000000-0005-0000-0000-000057000000}"/>
    <cellStyle name="Comma 3 2 5" xfId="157" xr:uid="{00000000-0005-0000-0000-000058000000}"/>
    <cellStyle name="Comma 3 2 6" xfId="158" xr:uid="{00000000-0005-0000-0000-000059000000}"/>
    <cellStyle name="Comma 3 2 6 2" xfId="159" xr:uid="{00000000-0005-0000-0000-00005A000000}"/>
    <cellStyle name="Comma 3 2 7" xfId="160" xr:uid="{00000000-0005-0000-0000-00005B000000}"/>
    <cellStyle name="Comma 3 2 7 2" xfId="161" xr:uid="{00000000-0005-0000-0000-00005C000000}"/>
    <cellStyle name="Comma 3 2 8" xfId="162" xr:uid="{00000000-0005-0000-0000-00005D000000}"/>
    <cellStyle name="Comma 3 2 8 2" xfId="163" xr:uid="{00000000-0005-0000-0000-00005E000000}"/>
    <cellStyle name="Comma 3 2 9" xfId="164" xr:uid="{00000000-0005-0000-0000-00005F000000}"/>
    <cellStyle name="Comma 3 2 9 2" xfId="165" xr:uid="{00000000-0005-0000-0000-000060000000}"/>
    <cellStyle name="Comma 3 3" xfId="166" xr:uid="{00000000-0005-0000-0000-000061000000}"/>
    <cellStyle name="Comma 3 3 2" xfId="167" xr:uid="{00000000-0005-0000-0000-000062000000}"/>
    <cellStyle name="Comma 3 3 3" xfId="168" xr:uid="{00000000-0005-0000-0000-000063000000}"/>
    <cellStyle name="Comma 3 3 4" xfId="169" xr:uid="{00000000-0005-0000-0000-000064000000}"/>
    <cellStyle name="Comma 3 3 5" xfId="170" xr:uid="{00000000-0005-0000-0000-000065000000}"/>
    <cellStyle name="Comma 3 3 6" xfId="171" xr:uid="{00000000-0005-0000-0000-000066000000}"/>
    <cellStyle name="Comma 3 4" xfId="172" xr:uid="{00000000-0005-0000-0000-000067000000}"/>
    <cellStyle name="Comma 3 5" xfId="173" xr:uid="{00000000-0005-0000-0000-000068000000}"/>
    <cellStyle name="Comma 3 6" xfId="174" xr:uid="{00000000-0005-0000-0000-000069000000}"/>
    <cellStyle name="Comma 3 7" xfId="175" xr:uid="{00000000-0005-0000-0000-00006A000000}"/>
    <cellStyle name="Comma 4" xfId="53" xr:uid="{00000000-0005-0000-0000-00006B000000}"/>
    <cellStyle name="Comma 4 2" xfId="176" xr:uid="{00000000-0005-0000-0000-00006C000000}"/>
    <cellStyle name="Comma 4 2 2" xfId="177" xr:uid="{00000000-0005-0000-0000-00006D000000}"/>
    <cellStyle name="Comma 4 3" xfId="178" xr:uid="{00000000-0005-0000-0000-00006E000000}"/>
    <cellStyle name="Comma 4 4" xfId="179" xr:uid="{00000000-0005-0000-0000-00006F000000}"/>
    <cellStyle name="Comma 4 5" xfId="180" xr:uid="{00000000-0005-0000-0000-000070000000}"/>
    <cellStyle name="Comma 4 6" xfId="181" xr:uid="{00000000-0005-0000-0000-000071000000}"/>
    <cellStyle name="Comma 4 7" xfId="182" xr:uid="{00000000-0005-0000-0000-000072000000}"/>
    <cellStyle name="Comma 4 8" xfId="183" xr:uid="{00000000-0005-0000-0000-000073000000}"/>
    <cellStyle name="Comma 5" xfId="54" xr:uid="{00000000-0005-0000-0000-000074000000}"/>
    <cellStyle name="Comma 5 2" xfId="184" xr:uid="{00000000-0005-0000-0000-000075000000}"/>
    <cellStyle name="Comma 5 2 2" xfId="185" xr:uid="{00000000-0005-0000-0000-000076000000}"/>
    <cellStyle name="Comma 6" xfId="101" xr:uid="{00000000-0005-0000-0000-000077000000}"/>
    <cellStyle name="Comma 6 2" xfId="186" xr:uid="{00000000-0005-0000-0000-000078000000}"/>
    <cellStyle name="Comma 6 3" xfId="187" xr:uid="{00000000-0005-0000-0000-000079000000}"/>
    <cellStyle name="Comma 6 3 2" xfId="188" xr:uid="{00000000-0005-0000-0000-00007A000000}"/>
    <cellStyle name="Comma 6 3 3" xfId="189" xr:uid="{00000000-0005-0000-0000-00007B000000}"/>
    <cellStyle name="Comma 6 4" xfId="190" xr:uid="{00000000-0005-0000-0000-00007C000000}"/>
    <cellStyle name="Comma 7 2" xfId="191" xr:uid="{00000000-0005-0000-0000-00007D000000}"/>
    <cellStyle name="Comma 7 3" xfId="192" xr:uid="{00000000-0005-0000-0000-00007E000000}"/>
    <cellStyle name="Comma 7 4" xfId="193" xr:uid="{00000000-0005-0000-0000-00007F000000}"/>
    <cellStyle name="Comma 8" xfId="194" xr:uid="{00000000-0005-0000-0000-000080000000}"/>
    <cellStyle name="Comma 8 2" xfId="195" xr:uid="{00000000-0005-0000-0000-000081000000}"/>
    <cellStyle name="Comma 9" xfId="196" xr:uid="{00000000-0005-0000-0000-000082000000}"/>
    <cellStyle name="Comma 9 2" xfId="197" xr:uid="{00000000-0005-0000-0000-000083000000}"/>
    <cellStyle name="Comma 9 2 2" xfId="198" xr:uid="{00000000-0005-0000-0000-000084000000}"/>
    <cellStyle name="Comma 9 3" xfId="199" xr:uid="{00000000-0005-0000-0000-000085000000}"/>
    <cellStyle name="Comma 9 4" xfId="200" xr:uid="{00000000-0005-0000-0000-000086000000}"/>
    <cellStyle name="Comma0" xfId="55" xr:uid="{00000000-0005-0000-0000-000087000000}"/>
    <cellStyle name="Currency" xfId="99" builtinId="4"/>
    <cellStyle name="Currency [00]" xfId="201" xr:uid="{00000000-0005-0000-0000-000089000000}"/>
    <cellStyle name="Currency 11" xfId="202" xr:uid="{00000000-0005-0000-0000-00008A000000}"/>
    <cellStyle name="Currency 11 2" xfId="203" xr:uid="{00000000-0005-0000-0000-00008B000000}"/>
    <cellStyle name="Currency 11 2 2" xfId="204" xr:uid="{00000000-0005-0000-0000-00008C000000}"/>
    <cellStyle name="Currency 13" xfId="205" xr:uid="{00000000-0005-0000-0000-00008D000000}"/>
    <cellStyle name="Currency 13 2" xfId="206" xr:uid="{00000000-0005-0000-0000-00008E000000}"/>
    <cellStyle name="Currency 14" xfId="207" xr:uid="{00000000-0005-0000-0000-00008F000000}"/>
    <cellStyle name="Currency 14 2" xfId="208" xr:uid="{00000000-0005-0000-0000-000090000000}"/>
    <cellStyle name="Currency 15" xfId="209" xr:uid="{00000000-0005-0000-0000-000091000000}"/>
    <cellStyle name="Currency 15 2" xfId="210" xr:uid="{00000000-0005-0000-0000-000092000000}"/>
    <cellStyle name="Currency 16 2" xfId="211" xr:uid="{00000000-0005-0000-0000-000093000000}"/>
    <cellStyle name="Currency 17" xfId="212" xr:uid="{00000000-0005-0000-0000-000094000000}"/>
    <cellStyle name="Currency 17 2" xfId="213" xr:uid="{00000000-0005-0000-0000-000095000000}"/>
    <cellStyle name="Currency 18" xfId="214" xr:uid="{00000000-0005-0000-0000-000096000000}"/>
    <cellStyle name="Currency 19" xfId="215" xr:uid="{00000000-0005-0000-0000-000097000000}"/>
    <cellStyle name="Currency 2" xfId="56" xr:uid="{00000000-0005-0000-0000-000098000000}"/>
    <cellStyle name="Currency 2 2" xfId="216" xr:uid="{00000000-0005-0000-0000-000099000000}"/>
    <cellStyle name="Currency 2 2 2" xfId="217" xr:uid="{00000000-0005-0000-0000-00009A000000}"/>
    <cellStyle name="Currency 2 2 3" xfId="218" xr:uid="{00000000-0005-0000-0000-00009B000000}"/>
    <cellStyle name="Currency 2 2 4" xfId="219" xr:uid="{00000000-0005-0000-0000-00009C000000}"/>
    <cellStyle name="Currency 2 3" xfId="220" xr:uid="{00000000-0005-0000-0000-00009D000000}"/>
    <cellStyle name="Currency 2 3 2" xfId="221" xr:uid="{00000000-0005-0000-0000-00009E000000}"/>
    <cellStyle name="Currency 2 3 3" xfId="222" xr:uid="{00000000-0005-0000-0000-00009F000000}"/>
    <cellStyle name="Currency 2 4" xfId="223" xr:uid="{00000000-0005-0000-0000-0000A0000000}"/>
    <cellStyle name="Currency 2 4 2" xfId="224" xr:uid="{00000000-0005-0000-0000-0000A1000000}"/>
    <cellStyle name="Currency 2 4 3" xfId="225" xr:uid="{00000000-0005-0000-0000-0000A2000000}"/>
    <cellStyle name="Currency 2 4 3 2" xfId="226" xr:uid="{00000000-0005-0000-0000-0000A3000000}"/>
    <cellStyle name="Currency 2 4 4" xfId="227" xr:uid="{00000000-0005-0000-0000-0000A4000000}"/>
    <cellStyle name="Currency 2 5" xfId="228" xr:uid="{00000000-0005-0000-0000-0000A5000000}"/>
    <cellStyle name="Currency 2 5 2" xfId="229" xr:uid="{00000000-0005-0000-0000-0000A6000000}"/>
    <cellStyle name="Currency 2 6" xfId="230" xr:uid="{00000000-0005-0000-0000-0000A7000000}"/>
    <cellStyle name="Currency 2 7" xfId="231" xr:uid="{00000000-0005-0000-0000-0000A8000000}"/>
    <cellStyle name="Currency 20" xfId="232" xr:uid="{00000000-0005-0000-0000-0000A9000000}"/>
    <cellStyle name="Currency 21" xfId="233" xr:uid="{00000000-0005-0000-0000-0000AA000000}"/>
    <cellStyle name="Currency 22" xfId="234" xr:uid="{00000000-0005-0000-0000-0000AB000000}"/>
    <cellStyle name="Currency 3" xfId="57" xr:uid="{00000000-0005-0000-0000-0000AC000000}"/>
    <cellStyle name="Currency 3 2" xfId="235" xr:uid="{00000000-0005-0000-0000-0000AD000000}"/>
    <cellStyle name="Currency 3 2 2" xfId="236" xr:uid="{00000000-0005-0000-0000-0000AE000000}"/>
    <cellStyle name="Currency 3 3" xfId="237" xr:uid="{00000000-0005-0000-0000-0000AF000000}"/>
    <cellStyle name="Currency 4" xfId="102" xr:uid="{00000000-0005-0000-0000-0000B0000000}"/>
    <cellStyle name="Currency 4 2" xfId="238" xr:uid="{00000000-0005-0000-0000-0000B1000000}"/>
    <cellStyle name="Currency 4 2 10" xfId="239" xr:uid="{00000000-0005-0000-0000-0000B2000000}"/>
    <cellStyle name="Currency 4 2 10 2" xfId="240" xr:uid="{00000000-0005-0000-0000-0000B3000000}"/>
    <cellStyle name="Currency 4 2 11" xfId="241" xr:uid="{00000000-0005-0000-0000-0000B4000000}"/>
    <cellStyle name="Currency 4 2 2" xfId="242" xr:uid="{00000000-0005-0000-0000-0000B5000000}"/>
    <cellStyle name="Currency 4 2 2 2" xfId="243" xr:uid="{00000000-0005-0000-0000-0000B6000000}"/>
    <cellStyle name="Currency 4 2 3" xfId="244" xr:uid="{00000000-0005-0000-0000-0000B7000000}"/>
    <cellStyle name="Currency 4 2 4" xfId="245" xr:uid="{00000000-0005-0000-0000-0000B8000000}"/>
    <cellStyle name="Currency 4 2 5" xfId="246" xr:uid="{00000000-0005-0000-0000-0000B9000000}"/>
    <cellStyle name="Currency 4 2 6" xfId="247" xr:uid="{00000000-0005-0000-0000-0000BA000000}"/>
    <cellStyle name="Currency 4 2 6 2" xfId="248" xr:uid="{00000000-0005-0000-0000-0000BB000000}"/>
    <cellStyle name="Currency 4 2 7" xfId="249" xr:uid="{00000000-0005-0000-0000-0000BC000000}"/>
    <cellStyle name="Currency 4 2 7 2" xfId="250" xr:uid="{00000000-0005-0000-0000-0000BD000000}"/>
    <cellStyle name="Currency 4 2 8" xfId="251" xr:uid="{00000000-0005-0000-0000-0000BE000000}"/>
    <cellStyle name="Currency 4 2 8 2" xfId="252" xr:uid="{00000000-0005-0000-0000-0000BF000000}"/>
    <cellStyle name="Currency 4 2 9" xfId="253" xr:uid="{00000000-0005-0000-0000-0000C0000000}"/>
    <cellStyle name="Currency 4 2 9 2" xfId="254" xr:uid="{00000000-0005-0000-0000-0000C1000000}"/>
    <cellStyle name="Currency 4 3" xfId="255" xr:uid="{00000000-0005-0000-0000-0000C2000000}"/>
    <cellStyle name="Currency 4 3 2" xfId="256" xr:uid="{00000000-0005-0000-0000-0000C3000000}"/>
    <cellStyle name="Currency 4 3 3" xfId="257" xr:uid="{00000000-0005-0000-0000-0000C4000000}"/>
    <cellStyle name="Currency 4 3 4" xfId="258" xr:uid="{00000000-0005-0000-0000-0000C5000000}"/>
    <cellStyle name="Currency 4 3 5" xfId="259" xr:uid="{00000000-0005-0000-0000-0000C6000000}"/>
    <cellStyle name="Currency 4 4" xfId="260" xr:uid="{00000000-0005-0000-0000-0000C7000000}"/>
    <cellStyle name="Currency 4 5" xfId="261" xr:uid="{00000000-0005-0000-0000-0000C8000000}"/>
    <cellStyle name="Currency 5" xfId="262" xr:uid="{00000000-0005-0000-0000-0000C9000000}"/>
    <cellStyle name="Currency 5 2" xfId="263" xr:uid="{00000000-0005-0000-0000-0000CA000000}"/>
    <cellStyle name="Currency 5 3" xfId="264" xr:uid="{00000000-0005-0000-0000-0000CB000000}"/>
    <cellStyle name="Currency 5 4" xfId="265" xr:uid="{00000000-0005-0000-0000-0000CC000000}"/>
    <cellStyle name="Currency 5 5" xfId="266" xr:uid="{00000000-0005-0000-0000-0000CD000000}"/>
    <cellStyle name="Currency 5 6" xfId="267" xr:uid="{00000000-0005-0000-0000-0000CE000000}"/>
    <cellStyle name="Currency 6 2" xfId="268" xr:uid="{00000000-0005-0000-0000-0000CF000000}"/>
    <cellStyle name="Currency 6 2 2" xfId="269" xr:uid="{00000000-0005-0000-0000-0000D0000000}"/>
    <cellStyle name="Currency 7 2" xfId="270" xr:uid="{00000000-0005-0000-0000-0000D1000000}"/>
    <cellStyle name="Currency 8 2" xfId="271" xr:uid="{00000000-0005-0000-0000-0000D2000000}"/>
    <cellStyle name="Currency 8 3" xfId="272" xr:uid="{00000000-0005-0000-0000-0000D3000000}"/>
    <cellStyle name="Currency 8 4" xfId="273" xr:uid="{00000000-0005-0000-0000-0000D4000000}"/>
    <cellStyle name="Currency 8 5" xfId="274" xr:uid="{00000000-0005-0000-0000-0000D5000000}"/>
    <cellStyle name="Currency 8 6" xfId="275" xr:uid="{00000000-0005-0000-0000-0000D6000000}"/>
    <cellStyle name="Currency 9" xfId="276" xr:uid="{00000000-0005-0000-0000-0000D7000000}"/>
    <cellStyle name="Currency 9 2" xfId="277" xr:uid="{00000000-0005-0000-0000-0000D8000000}"/>
    <cellStyle name="Currency 9 3" xfId="278" xr:uid="{00000000-0005-0000-0000-0000D9000000}"/>
    <cellStyle name="Date" xfId="58" xr:uid="{00000000-0005-0000-0000-0000DA000000}"/>
    <cellStyle name="Date Short" xfId="279" xr:uid="{00000000-0005-0000-0000-0000DB000000}"/>
    <cellStyle name="DELTA" xfId="280" xr:uid="{00000000-0005-0000-0000-0000DC000000}"/>
    <cellStyle name="Enter Currency (0)" xfId="281" xr:uid="{00000000-0005-0000-0000-0000DD000000}"/>
    <cellStyle name="Enter Currency (2)" xfId="282" xr:uid="{00000000-0005-0000-0000-0000DE000000}"/>
    <cellStyle name="Enter Units (0)" xfId="283" xr:uid="{00000000-0005-0000-0000-0000DF000000}"/>
    <cellStyle name="Enter Units (1)" xfId="284" xr:uid="{00000000-0005-0000-0000-0000E0000000}"/>
    <cellStyle name="Enter Units (2)" xfId="285" xr:uid="{00000000-0005-0000-0000-0000E1000000}"/>
    <cellStyle name="Explanatory Text" xfId="18" builtinId="53" customBuiltin="1"/>
    <cellStyle name="Fixed" xfId="59" xr:uid="{00000000-0005-0000-0000-0000E3000000}"/>
    <cellStyle name="Formulas - Copy and Delete as Necessary" xfId="94" xr:uid="{00000000-0005-0000-0000-0000E4000000}"/>
    <cellStyle name="Formulas - DO NOT MODIFY" xfId="95" xr:uid="{00000000-0005-0000-0000-0000E5000000}"/>
    <cellStyle name="Good" xfId="8" builtinId="26" customBuiltin="1"/>
    <cellStyle name="Grey" xfId="60" xr:uid="{00000000-0005-0000-0000-0000E7000000}"/>
    <cellStyle name="Grey 2" xfId="286" xr:uid="{00000000-0005-0000-0000-0000E8000000}"/>
    <cellStyle name="HEADER" xfId="61" xr:uid="{00000000-0005-0000-0000-0000E9000000}"/>
    <cellStyle name="Header1" xfId="287" xr:uid="{00000000-0005-0000-0000-0000EA000000}"/>
    <cellStyle name="Header2" xfId="288" xr:uid="{00000000-0005-0000-0000-0000EB000000}"/>
    <cellStyle name="Header2 2" xfId="289" xr:uid="{00000000-0005-0000-0000-0000EC000000}"/>
    <cellStyle name="Heading 1" xfId="4" builtinId="16" customBuiltin="1"/>
    <cellStyle name="Heading 2" xfId="5" builtinId="17" customBuiltin="1"/>
    <cellStyle name="Heading 3" xfId="6" builtinId="18" customBuiltin="1"/>
    <cellStyle name="Heading 4" xfId="7" builtinId="19" customBuiltin="1"/>
    <cellStyle name="Heading1" xfId="62" xr:uid="{00000000-0005-0000-0000-0000F1000000}"/>
    <cellStyle name="Heading2" xfId="63" xr:uid="{00000000-0005-0000-0000-0000F2000000}"/>
    <cellStyle name="HIGHLIGHT" xfId="64" xr:uid="{00000000-0005-0000-0000-0000F3000000}"/>
    <cellStyle name="Hyperlink 2" xfId="290" xr:uid="{00000000-0005-0000-0000-0000F4000000}"/>
    <cellStyle name="Hyperlink 3" xfId="291" xr:uid="{00000000-0005-0000-0000-0000F5000000}"/>
    <cellStyle name="Hyperlink 4" xfId="292" xr:uid="{00000000-0005-0000-0000-0000F6000000}"/>
    <cellStyle name="Input" xfId="11" builtinId="20" customBuiltin="1"/>
    <cellStyle name="Input [yellow]" xfId="65" xr:uid="{00000000-0005-0000-0000-0000F8000000}"/>
    <cellStyle name="Input [yellow] 2" xfId="293" xr:uid="{00000000-0005-0000-0000-0000F9000000}"/>
    <cellStyle name="Input 2" xfId="96" xr:uid="{00000000-0005-0000-0000-0000FA000000}"/>
    <cellStyle name="Link Currency (0)" xfId="294" xr:uid="{00000000-0005-0000-0000-0000FB000000}"/>
    <cellStyle name="Link Currency (2)" xfId="295" xr:uid="{00000000-0005-0000-0000-0000FC000000}"/>
    <cellStyle name="Link Units (0)" xfId="296" xr:uid="{00000000-0005-0000-0000-0000FD000000}"/>
    <cellStyle name="Link Units (1)" xfId="297" xr:uid="{00000000-0005-0000-0000-0000FE000000}"/>
    <cellStyle name="Link Units (2)" xfId="298" xr:uid="{00000000-0005-0000-0000-0000FF000000}"/>
    <cellStyle name="Linked Cell" xfId="14" builtinId="24" customBuiltin="1"/>
    <cellStyle name="Linked Data" xfId="97" xr:uid="{00000000-0005-0000-0000-000001010000}"/>
    <cellStyle name="Neutral" xfId="10" builtinId="28" customBuiltin="1"/>
    <cellStyle name="no dec" xfId="66" xr:uid="{00000000-0005-0000-0000-000003010000}"/>
    <cellStyle name="Normal" xfId="0" builtinId="0"/>
    <cellStyle name="Normal - Style1" xfId="67" xr:uid="{00000000-0005-0000-0000-000005010000}"/>
    <cellStyle name="Normal 10" xfId="68" xr:uid="{00000000-0005-0000-0000-000006010000}"/>
    <cellStyle name="Normal 10 2" xfId="299" xr:uid="{00000000-0005-0000-0000-000007010000}"/>
    <cellStyle name="Normal 10 3" xfId="300" xr:uid="{00000000-0005-0000-0000-000008010000}"/>
    <cellStyle name="Normal 11" xfId="69" xr:uid="{00000000-0005-0000-0000-000009010000}"/>
    <cellStyle name="Normal 11 2" xfId="301" xr:uid="{00000000-0005-0000-0000-00000A010000}"/>
    <cellStyle name="Normal 12" xfId="70" xr:uid="{00000000-0005-0000-0000-00000B010000}"/>
    <cellStyle name="Normal 12 2" xfId="302" xr:uid="{00000000-0005-0000-0000-00000C010000}"/>
    <cellStyle name="Normal 13" xfId="71" xr:uid="{00000000-0005-0000-0000-00000D010000}"/>
    <cellStyle name="Normal 13 2" xfId="303" xr:uid="{00000000-0005-0000-0000-00000E010000}"/>
    <cellStyle name="Normal 14" xfId="72" xr:uid="{00000000-0005-0000-0000-00000F010000}"/>
    <cellStyle name="Normal 14 2" xfId="304" xr:uid="{00000000-0005-0000-0000-000010010000}"/>
    <cellStyle name="Normal 15" xfId="73" xr:uid="{00000000-0005-0000-0000-000011010000}"/>
    <cellStyle name="Normal 15 2" xfId="305" xr:uid="{00000000-0005-0000-0000-000012010000}"/>
    <cellStyle name="Normal 15 3" xfId="306" xr:uid="{00000000-0005-0000-0000-000013010000}"/>
    <cellStyle name="Normal 16" xfId="74" xr:uid="{00000000-0005-0000-0000-000014010000}"/>
    <cellStyle name="Normal 16 2" xfId="307" xr:uid="{00000000-0005-0000-0000-000015010000}"/>
    <cellStyle name="Normal 17" xfId="308" xr:uid="{00000000-0005-0000-0000-000016010000}"/>
    <cellStyle name="Normal 18" xfId="309" xr:uid="{00000000-0005-0000-0000-000017010000}"/>
    <cellStyle name="Normal 18 2" xfId="310" xr:uid="{00000000-0005-0000-0000-000018010000}"/>
    <cellStyle name="Normal 19" xfId="311" xr:uid="{00000000-0005-0000-0000-000019010000}"/>
    <cellStyle name="Normal 19 2" xfId="312" xr:uid="{00000000-0005-0000-0000-00001A010000}"/>
    <cellStyle name="Normal 2" xfId="75" xr:uid="{00000000-0005-0000-0000-00001B010000}"/>
    <cellStyle name="Normal 2 2" xfId="76" xr:uid="{00000000-0005-0000-0000-00001C010000}"/>
    <cellStyle name="Normal 2 2 2" xfId="313" xr:uid="{00000000-0005-0000-0000-00001D010000}"/>
    <cellStyle name="Normal 2 2 2 2" xfId="314" xr:uid="{00000000-0005-0000-0000-00001E010000}"/>
    <cellStyle name="Normal 2 2 2 3" xfId="315" xr:uid="{00000000-0005-0000-0000-00001F010000}"/>
    <cellStyle name="Normal 2 2 3" xfId="316" xr:uid="{00000000-0005-0000-0000-000020010000}"/>
    <cellStyle name="Normal 2 2_Summary" xfId="317" xr:uid="{00000000-0005-0000-0000-000021010000}"/>
    <cellStyle name="Normal 2 3" xfId="77" xr:uid="{00000000-0005-0000-0000-000022010000}"/>
    <cellStyle name="Normal 2 3 2" xfId="318" xr:uid="{00000000-0005-0000-0000-000023010000}"/>
    <cellStyle name="Normal 2 3 2 2" xfId="319" xr:uid="{00000000-0005-0000-0000-000024010000}"/>
    <cellStyle name="Normal 2 3 3" xfId="320" xr:uid="{00000000-0005-0000-0000-000025010000}"/>
    <cellStyle name="Normal 2 3 4" xfId="321" xr:uid="{00000000-0005-0000-0000-000026010000}"/>
    <cellStyle name="Normal 2 3_Summary" xfId="322" xr:uid="{00000000-0005-0000-0000-000027010000}"/>
    <cellStyle name="Normal 2 4" xfId="44" xr:uid="{00000000-0005-0000-0000-000028010000}"/>
    <cellStyle name="Normal 2 4 2" xfId="323" xr:uid="{00000000-0005-0000-0000-000029010000}"/>
    <cellStyle name="Normal 2 5" xfId="324" xr:uid="{00000000-0005-0000-0000-00002A010000}"/>
    <cellStyle name="Normal 20" xfId="325" xr:uid="{00000000-0005-0000-0000-00002B010000}"/>
    <cellStyle name="Normal 21" xfId="326" xr:uid="{00000000-0005-0000-0000-00002C010000}"/>
    <cellStyle name="Normal 22" xfId="327" xr:uid="{00000000-0005-0000-0000-00002D010000}"/>
    <cellStyle name="Normal 23" xfId="100" xr:uid="{00000000-0005-0000-0000-00002E010000}"/>
    <cellStyle name="Normal 3" xfId="78" xr:uid="{00000000-0005-0000-0000-00002F010000}"/>
    <cellStyle name="Normal 3 10" xfId="328" xr:uid="{00000000-0005-0000-0000-000030010000}"/>
    <cellStyle name="Normal 3 10 2" xfId="329" xr:uid="{00000000-0005-0000-0000-000031010000}"/>
    <cellStyle name="Normal 3 11" xfId="330" xr:uid="{00000000-0005-0000-0000-000032010000}"/>
    <cellStyle name="Normal 3 11 2" xfId="331" xr:uid="{00000000-0005-0000-0000-000033010000}"/>
    <cellStyle name="Normal 3 12" xfId="332" xr:uid="{00000000-0005-0000-0000-000034010000}"/>
    <cellStyle name="Normal 3 13" xfId="333" xr:uid="{00000000-0005-0000-0000-000035010000}"/>
    <cellStyle name="Normal 3 2" xfId="98" xr:uid="{00000000-0005-0000-0000-000036010000}"/>
    <cellStyle name="Normal 3 2 2" xfId="334" xr:uid="{00000000-0005-0000-0000-000037010000}"/>
    <cellStyle name="Normal 3 2 3" xfId="335" xr:uid="{00000000-0005-0000-0000-000038010000}"/>
    <cellStyle name="Normal 3 3" xfId="336" xr:uid="{00000000-0005-0000-0000-000039010000}"/>
    <cellStyle name="Normal 3 4" xfId="337" xr:uid="{00000000-0005-0000-0000-00003A010000}"/>
    <cellStyle name="Normal 3 5" xfId="338" xr:uid="{00000000-0005-0000-0000-00003B010000}"/>
    <cellStyle name="Normal 3 6" xfId="339" xr:uid="{00000000-0005-0000-0000-00003C010000}"/>
    <cellStyle name="Normal 3 7" xfId="340" xr:uid="{00000000-0005-0000-0000-00003D010000}"/>
    <cellStyle name="Normal 3 7 2" xfId="341" xr:uid="{00000000-0005-0000-0000-00003E010000}"/>
    <cellStyle name="Normal 3 7_Summary" xfId="342" xr:uid="{00000000-0005-0000-0000-00003F010000}"/>
    <cellStyle name="Normal 3 8" xfId="343" xr:uid="{00000000-0005-0000-0000-000040010000}"/>
    <cellStyle name="Normal 3 8 2" xfId="344" xr:uid="{00000000-0005-0000-0000-000041010000}"/>
    <cellStyle name="Normal 3 9" xfId="345" xr:uid="{00000000-0005-0000-0000-000042010000}"/>
    <cellStyle name="Normal 3 9 2" xfId="346" xr:uid="{00000000-0005-0000-0000-000043010000}"/>
    <cellStyle name="Normal 3 9_Summary" xfId="347" xr:uid="{00000000-0005-0000-0000-000044010000}"/>
    <cellStyle name="Normal 3_Rates" xfId="348" xr:uid="{00000000-0005-0000-0000-000045010000}"/>
    <cellStyle name="Normal 4" xfId="79" xr:uid="{00000000-0005-0000-0000-000046010000}"/>
    <cellStyle name="Normal 4 2" xfId="349" xr:uid="{00000000-0005-0000-0000-000047010000}"/>
    <cellStyle name="Normal 4 2 2" xfId="350" xr:uid="{00000000-0005-0000-0000-000048010000}"/>
    <cellStyle name="Normal 4 2 3" xfId="351" xr:uid="{00000000-0005-0000-0000-000049010000}"/>
    <cellStyle name="Normal 4 26" xfId="80" xr:uid="{00000000-0005-0000-0000-00004A010000}"/>
    <cellStyle name="Normal 4 26 2" xfId="352" xr:uid="{00000000-0005-0000-0000-00004B010000}"/>
    <cellStyle name="Normal 4 3" xfId="353" xr:uid="{00000000-0005-0000-0000-00004C010000}"/>
    <cellStyle name="Normal 5" xfId="81" xr:uid="{00000000-0005-0000-0000-00004D010000}"/>
    <cellStyle name="Normal 5 2" xfId="354" xr:uid="{00000000-0005-0000-0000-00004E010000}"/>
    <cellStyle name="Normal 5 2 2" xfId="355" xr:uid="{00000000-0005-0000-0000-00004F010000}"/>
    <cellStyle name="Normal 5 3" xfId="356" xr:uid="{00000000-0005-0000-0000-000050010000}"/>
    <cellStyle name="Normal 5 4" xfId="357" xr:uid="{00000000-0005-0000-0000-000051010000}"/>
    <cellStyle name="Normal 5 5" xfId="358" xr:uid="{00000000-0005-0000-0000-000052010000}"/>
    <cellStyle name="Normal 5 6" xfId="359" xr:uid="{00000000-0005-0000-0000-000053010000}"/>
    <cellStyle name="Normal 5_Summary" xfId="360" xr:uid="{00000000-0005-0000-0000-000054010000}"/>
    <cellStyle name="Normal 6" xfId="82" xr:uid="{00000000-0005-0000-0000-000055010000}"/>
    <cellStyle name="Normal 6 2" xfId="361" xr:uid="{00000000-0005-0000-0000-000056010000}"/>
    <cellStyle name="Normal 7" xfId="83" xr:uid="{00000000-0005-0000-0000-000057010000}"/>
    <cellStyle name="Normal 7 2" xfId="362" xr:uid="{00000000-0005-0000-0000-000058010000}"/>
    <cellStyle name="Normal 7 3" xfId="363" xr:uid="{00000000-0005-0000-0000-000059010000}"/>
    <cellStyle name="Normal 8" xfId="84" xr:uid="{00000000-0005-0000-0000-00005A010000}"/>
    <cellStyle name="Normal 8 2" xfId="364" xr:uid="{00000000-0005-0000-0000-00005B010000}"/>
    <cellStyle name="Normal 8 3" xfId="365" xr:uid="{00000000-0005-0000-0000-00005C010000}"/>
    <cellStyle name="Normal 9" xfId="85" xr:uid="{00000000-0005-0000-0000-00005D010000}"/>
    <cellStyle name="Normal 9 2" xfId="366" xr:uid="{00000000-0005-0000-0000-00005E010000}"/>
    <cellStyle name="Normal 9 3" xfId="367" xr:uid="{00000000-0005-0000-0000-00005F010000}"/>
    <cellStyle name="Note" xfId="17" builtinId="10" customBuiltin="1"/>
    <cellStyle name="Output" xfId="12" builtinId="21" customBuiltin="1"/>
    <cellStyle name="Percent" xfId="2" builtinId="5"/>
    <cellStyle name="Percent [0]" xfId="368" xr:uid="{00000000-0005-0000-0000-000063010000}"/>
    <cellStyle name="Percent [00]" xfId="369" xr:uid="{00000000-0005-0000-0000-000064010000}"/>
    <cellStyle name="Percent [2]" xfId="86" xr:uid="{00000000-0005-0000-0000-000065010000}"/>
    <cellStyle name="Percent 10" xfId="370" xr:uid="{00000000-0005-0000-0000-000066010000}"/>
    <cellStyle name="Percent 10 2" xfId="371" xr:uid="{00000000-0005-0000-0000-000067010000}"/>
    <cellStyle name="Percent 10 2 2" xfId="372" xr:uid="{00000000-0005-0000-0000-000068010000}"/>
    <cellStyle name="Percent 10 3" xfId="373" xr:uid="{00000000-0005-0000-0000-000069010000}"/>
    <cellStyle name="Percent 11" xfId="374" xr:uid="{00000000-0005-0000-0000-00006A010000}"/>
    <cellStyle name="Percent 12" xfId="375" xr:uid="{00000000-0005-0000-0000-00006B010000}"/>
    <cellStyle name="Percent 12 2" xfId="376" xr:uid="{00000000-0005-0000-0000-00006C010000}"/>
    <cellStyle name="Percent 13" xfId="103" xr:uid="{00000000-0005-0000-0000-00006D010000}"/>
    <cellStyle name="Percent 14" xfId="377" xr:uid="{00000000-0005-0000-0000-00006E010000}"/>
    <cellStyle name="Percent 15" xfId="378" xr:uid="{00000000-0005-0000-0000-00006F010000}"/>
    <cellStyle name="Percent 15 2" xfId="379" xr:uid="{00000000-0005-0000-0000-000070010000}"/>
    <cellStyle name="Percent 16" xfId="380" xr:uid="{00000000-0005-0000-0000-000071010000}"/>
    <cellStyle name="Percent 16 2" xfId="381" xr:uid="{00000000-0005-0000-0000-000072010000}"/>
    <cellStyle name="Percent 17" xfId="382" xr:uid="{00000000-0005-0000-0000-000073010000}"/>
    <cellStyle name="Percent 17 2" xfId="383" xr:uid="{00000000-0005-0000-0000-000074010000}"/>
    <cellStyle name="Percent 18" xfId="384" xr:uid="{00000000-0005-0000-0000-000075010000}"/>
    <cellStyle name="Percent 19" xfId="385" xr:uid="{00000000-0005-0000-0000-000076010000}"/>
    <cellStyle name="Percent 19 2" xfId="386" xr:uid="{00000000-0005-0000-0000-000077010000}"/>
    <cellStyle name="Percent 2" xfId="87" xr:uid="{00000000-0005-0000-0000-000078010000}"/>
    <cellStyle name="Percent 2 2" xfId="88" xr:uid="{00000000-0005-0000-0000-000079010000}"/>
    <cellStyle name="Percent 2 2 10" xfId="387" xr:uid="{00000000-0005-0000-0000-00007A010000}"/>
    <cellStyle name="Percent 2 2 10 2" xfId="388" xr:uid="{00000000-0005-0000-0000-00007B010000}"/>
    <cellStyle name="Percent 2 2 11" xfId="389" xr:uid="{00000000-0005-0000-0000-00007C010000}"/>
    <cellStyle name="Percent 2 2 12" xfId="390" xr:uid="{00000000-0005-0000-0000-00007D010000}"/>
    <cellStyle name="Percent 2 2 2" xfId="391" xr:uid="{00000000-0005-0000-0000-00007E010000}"/>
    <cellStyle name="Percent 2 2 2 2" xfId="392" xr:uid="{00000000-0005-0000-0000-00007F010000}"/>
    <cellStyle name="Percent 2 2 2 3" xfId="393" xr:uid="{00000000-0005-0000-0000-000080010000}"/>
    <cellStyle name="Percent 2 2 3" xfId="394" xr:uid="{00000000-0005-0000-0000-000081010000}"/>
    <cellStyle name="Percent 2 2 4" xfId="395" xr:uid="{00000000-0005-0000-0000-000082010000}"/>
    <cellStyle name="Percent 2 2 5" xfId="396" xr:uid="{00000000-0005-0000-0000-000083010000}"/>
    <cellStyle name="Percent 2 2 6" xfId="397" xr:uid="{00000000-0005-0000-0000-000084010000}"/>
    <cellStyle name="Percent 2 2 6 2" xfId="398" xr:uid="{00000000-0005-0000-0000-000085010000}"/>
    <cellStyle name="Percent 2 2 7" xfId="399" xr:uid="{00000000-0005-0000-0000-000086010000}"/>
    <cellStyle name="Percent 2 2 7 2" xfId="400" xr:uid="{00000000-0005-0000-0000-000087010000}"/>
    <cellStyle name="Percent 2 2 8" xfId="401" xr:uid="{00000000-0005-0000-0000-000088010000}"/>
    <cellStyle name="Percent 2 2 8 2" xfId="402" xr:uid="{00000000-0005-0000-0000-000089010000}"/>
    <cellStyle name="Percent 2 2 9" xfId="403" xr:uid="{00000000-0005-0000-0000-00008A010000}"/>
    <cellStyle name="Percent 2 2 9 2" xfId="404" xr:uid="{00000000-0005-0000-0000-00008B010000}"/>
    <cellStyle name="Percent 2 3" xfId="45" xr:uid="{00000000-0005-0000-0000-00008C010000}"/>
    <cellStyle name="Percent 2 3 2" xfId="405" xr:uid="{00000000-0005-0000-0000-00008D010000}"/>
    <cellStyle name="Percent 2 3 3" xfId="406" xr:uid="{00000000-0005-0000-0000-00008E010000}"/>
    <cellStyle name="Percent 2 3 4" xfId="407" xr:uid="{00000000-0005-0000-0000-00008F010000}"/>
    <cellStyle name="Percent 2 3 5" xfId="408" xr:uid="{00000000-0005-0000-0000-000090010000}"/>
    <cellStyle name="Percent 2 4" xfId="409" xr:uid="{00000000-0005-0000-0000-000091010000}"/>
    <cellStyle name="Percent 2 4 2" xfId="410" xr:uid="{00000000-0005-0000-0000-000092010000}"/>
    <cellStyle name="Percent 2 5" xfId="411" xr:uid="{00000000-0005-0000-0000-000093010000}"/>
    <cellStyle name="Percent 2 6" xfId="412" xr:uid="{00000000-0005-0000-0000-000094010000}"/>
    <cellStyle name="Percent 2 6 2" xfId="413" xr:uid="{00000000-0005-0000-0000-000095010000}"/>
    <cellStyle name="Percent 2 6 3" xfId="414" xr:uid="{00000000-0005-0000-0000-000096010000}"/>
    <cellStyle name="Percent 2 6 4" xfId="415" xr:uid="{00000000-0005-0000-0000-000097010000}"/>
    <cellStyle name="Percent 2 7" xfId="416" xr:uid="{00000000-0005-0000-0000-000098010000}"/>
    <cellStyle name="Percent 20" xfId="417" xr:uid="{00000000-0005-0000-0000-000099010000}"/>
    <cellStyle name="Percent 21" xfId="418" xr:uid="{00000000-0005-0000-0000-00009A010000}"/>
    <cellStyle name="Percent 3" xfId="89" xr:uid="{00000000-0005-0000-0000-00009B010000}"/>
    <cellStyle name="Percent 3 2" xfId="419" xr:uid="{00000000-0005-0000-0000-00009C010000}"/>
    <cellStyle name="Percent 3 2 2" xfId="420" xr:uid="{00000000-0005-0000-0000-00009D010000}"/>
    <cellStyle name="Percent 3 3" xfId="421" xr:uid="{00000000-0005-0000-0000-00009E010000}"/>
    <cellStyle name="Percent 3 4" xfId="422" xr:uid="{00000000-0005-0000-0000-00009F010000}"/>
    <cellStyle name="Percent 3 5" xfId="423" xr:uid="{00000000-0005-0000-0000-0000A0010000}"/>
    <cellStyle name="Percent 3 6" xfId="424" xr:uid="{00000000-0005-0000-0000-0000A1010000}"/>
    <cellStyle name="Percent 3 7" xfId="425" xr:uid="{00000000-0005-0000-0000-0000A2010000}"/>
    <cellStyle name="Percent 4" xfId="90" xr:uid="{00000000-0005-0000-0000-0000A3010000}"/>
    <cellStyle name="Percent 4 2" xfId="426" xr:uid="{00000000-0005-0000-0000-0000A4010000}"/>
    <cellStyle name="Percent 4 2 2" xfId="427" xr:uid="{00000000-0005-0000-0000-0000A5010000}"/>
    <cellStyle name="Percent 4 3" xfId="428" xr:uid="{00000000-0005-0000-0000-0000A6010000}"/>
    <cellStyle name="Percent 4 4" xfId="429" xr:uid="{00000000-0005-0000-0000-0000A7010000}"/>
    <cellStyle name="Percent 5" xfId="430" xr:uid="{00000000-0005-0000-0000-0000A8010000}"/>
    <cellStyle name="Percent 5 2" xfId="431" xr:uid="{00000000-0005-0000-0000-0000A9010000}"/>
    <cellStyle name="Percent 6" xfId="432" xr:uid="{00000000-0005-0000-0000-0000AA010000}"/>
    <cellStyle name="Percent 6 2" xfId="433" xr:uid="{00000000-0005-0000-0000-0000AB010000}"/>
    <cellStyle name="Percent 7" xfId="434" xr:uid="{00000000-0005-0000-0000-0000AC010000}"/>
    <cellStyle name="Percent 7 2" xfId="435" xr:uid="{00000000-0005-0000-0000-0000AD010000}"/>
    <cellStyle name="Percent 8" xfId="436" xr:uid="{00000000-0005-0000-0000-0000AE010000}"/>
    <cellStyle name="Percent 8 2" xfId="437" xr:uid="{00000000-0005-0000-0000-0000AF010000}"/>
    <cellStyle name="Percent 9" xfId="438" xr:uid="{00000000-0005-0000-0000-0000B0010000}"/>
    <cellStyle name="Percent 9 2" xfId="439" xr:uid="{00000000-0005-0000-0000-0000B1010000}"/>
    <cellStyle name="Percent 9 3" xfId="440" xr:uid="{00000000-0005-0000-0000-0000B2010000}"/>
    <cellStyle name="PrePop Currency (0)" xfId="441" xr:uid="{00000000-0005-0000-0000-0000B3010000}"/>
    <cellStyle name="PrePop Currency (2)" xfId="442" xr:uid="{00000000-0005-0000-0000-0000B4010000}"/>
    <cellStyle name="PrePop Units (0)" xfId="443" xr:uid="{00000000-0005-0000-0000-0000B5010000}"/>
    <cellStyle name="PrePop Units (1)" xfId="444" xr:uid="{00000000-0005-0000-0000-0000B6010000}"/>
    <cellStyle name="PrePop Units (2)" xfId="445" xr:uid="{00000000-0005-0000-0000-0000B7010000}"/>
    <cellStyle name="Text Indent A" xfId="446" xr:uid="{00000000-0005-0000-0000-0000B8010000}"/>
    <cellStyle name="Text Indent B" xfId="447" xr:uid="{00000000-0005-0000-0000-0000B9010000}"/>
    <cellStyle name="Text Indent C" xfId="448" xr:uid="{00000000-0005-0000-0000-0000BA010000}"/>
    <cellStyle name="Title" xfId="3" builtinId="15" customBuiltin="1"/>
    <cellStyle name="Total" xfId="19" builtinId="25" customBuiltin="1"/>
    <cellStyle name="Total 2" xfId="449" xr:uid="{00000000-0005-0000-0000-0000BD010000}"/>
    <cellStyle name="Unprot" xfId="91" xr:uid="{00000000-0005-0000-0000-0000BE010000}"/>
    <cellStyle name="Unprot 2" xfId="450" xr:uid="{00000000-0005-0000-0000-0000BF010000}"/>
    <cellStyle name="Unprot$" xfId="92" xr:uid="{00000000-0005-0000-0000-0000C0010000}"/>
    <cellStyle name="Unprotect" xfId="93" xr:uid="{00000000-0005-0000-0000-0000C1010000}"/>
    <cellStyle name="Warning Text" xfId="16" builtinId="11" customBuiltin="1"/>
  </cellStyles>
  <dxfs count="15">
    <dxf>
      <fill>
        <patternFill>
          <bgColor rgb="FF009900"/>
        </patternFill>
      </fill>
    </dxf>
    <dxf>
      <fill>
        <patternFill>
          <bgColor rgb="FF009900"/>
        </patternFill>
      </fill>
    </dxf>
    <dxf>
      <fill>
        <patternFill>
          <bgColor rgb="FF009900"/>
        </patternFill>
      </fill>
    </dxf>
    <dxf>
      <fill>
        <patternFill>
          <bgColor rgb="FFEDE7DE"/>
        </patternFill>
      </fill>
    </dxf>
    <dxf>
      <fill>
        <patternFill>
          <bgColor rgb="FF009900"/>
        </patternFill>
      </fill>
    </dxf>
    <dxf>
      <fill>
        <patternFill>
          <bgColor rgb="FFEDE7DE"/>
        </patternFill>
      </fill>
    </dxf>
    <dxf>
      <font>
        <color rgb="FF9C0006"/>
      </font>
      <fill>
        <patternFill>
          <bgColor rgb="FFFFC7CE"/>
        </patternFill>
      </fill>
    </dxf>
    <dxf>
      <fill>
        <patternFill>
          <bgColor rgb="FF009900"/>
        </patternFill>
      </fill>
    </dxf>
    <dxf>
      <fill>
        <patternFill>
          <bgColor rgb="FFEDE7DE"/>
        </patternFill>
      </fill>
    </dxf>
    <dxf>
      <fill>
        <patternFill>
          <bgColor rgb="FFEDE7DE"/>
        </patternFill>
      </fill>
    </dxf>
    <dxf>
      <fill>
        <patternFill>
          <bgColor rgb="FF009900"/>
        </patternFill>
      </fill>
    </dxf>
    <dxf>
      <font>
        <color rgb="FFEDE7DE"/>
      </font>
      <fill>
        <patternFill>
          <bgColor rgb="FFEDE7DE"/>
        </patternFill>
      </fill>
    </dxf>
    <dxf>
      <font>
        <color rgb="FFEDE7DE"/>
      </font>
      <fill>
        <patternFill>
          <bgColor rgb="FFEDE7DE"/>
        </patternFill>
      </fill>
    </dxf>
    <dxf>
      <fill>
        <patternFill>
          <bgColor rgb="FF009900"/>
        </patternFill>
      </fill>
    </dxf>
    <dxf>
      <font>
        <color rgb="FFEDE7DE"/>
      </font>
      <fill>
        <patternFill>
          <bgColor rgb="FFEDE7DE"/>
        </patternFill>
      </fill>
    </dxf>
  </dxfs>
  <tableStyles count="0" defaultTableStyle="TableStyleMedium2" defaultPivotStyle="PivotStyleLight16"/>
  <colors>
    <mruColors>
      <color rgb="FF009900"/>
      <color rgb="FF33CC33"/>
      <color rgb="FF00B853"/>
      <color rgb="FF00C057"/>
      <color rgb="FF00BC55"/>
      <color rgb="FF2E8636"/>
      <color rgb="FFF5F5F5"/>
      <color rgb="FF16A837"/>
      <color rgb="FFEDE7DE"/>
      <color rgb="FF7AB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28576</xdr:rowOff>
    </xdr:from>
    <xdr:to>
      <xdr:col>17</xdr:col>
      <xdr:colOff>561975</xdr:colOff>
      <xdr:row>20</xdr:row>
      <xdr:rowOff>285750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19075" y="219076"/>
          <a:ext cx="10296525" cy="3876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0">
              <a:solidFill>
                <a:sysClr val="windowText" lastClr="000000"/>
              </a:solidFill>
              <a:effectLst/>
              <a:latin typeface="Arial" pitchFamily="34" charset="0"/>
              <a:ea typeface="+mn-ea"/>
              <a:cs typeface="Arial" pitchFamily="34" charset="0"/>
            </a:rPr>
            <a:t>AES</a:t>
          </a:r>
          <a:r>
            <a:rPr lang="en-US" sz="1400" b="0" baseline="0">
              <a:solidFill>
                <a:sysClr val="windowText" lastClr="000000"/>
              </a:solidFill>
              <a:effectLst/>
              <a:latin typeface="Arial" pitchFamily="34" charset="0"/>
              <a:ea typeface="+mn-ea"/>
              <a:cs typeface="Arial" pitchFamily="34" charset="0"/>
            </a:rPr>
            <a:t> Indiana Business Rebates &amp; Incentives Program</a:t>
          </a:r>
          <a:endParaRPr lang="en-US" sz="1400" b="0">
            <a:solidFill>
              <a:sysClr val="windowText" lastClr="000000"/>
            </a:solidFill>
            <a:effectLst/>
            <a:latin typeface="Arial" pitchFamily="34" charset="0"/>
            <a:ea typeface="+mn-ea"/>
            <a:cs typeface="Arial" pitchFamily="34" charset="0"/>
          </a:endParaRPr>
        </a:p>
        <a:p>
          <a:r>
            <a:rPr lang="en-US" sz="2400" b="0">
              <a:solidFill>
                <a:sysClr val="windowText" lastClr="000000"/>
              </a:solidFill>
              <a:effectLst/>
              <a:latin typeface="Arial" pitchFamily="34" charset="0"/>
              <a:ea typeface="+mn-ea"/>
              <a:cs typeface="Arial" pitchFamily="34" charset="0"/>
            </a:rPr>
            <a:t>Lighting Retrofit Savings Calculator</a:t>
          </a:r>
        </a:p>
        <a:p>
          <a:endParaRPr lang="en-US" sz="1200" baseline="0">
            <a:solidFill>
              <a:sysClr val="windowText" lastClr="000000"/>
            </a:solidFill>
            <a:effectLst/>
            <a:latin typeface="Arial" pitchFamily="34" charset="0"/>
            <a:ea typeface="+mn-ea"/>
            <a:cs typeface="Arial" pitchFamily="34" charset="0"/>
          </a:endParaRPr>
        </a:p>
        <a:p>
          <a:r>
            <a:rPr lang="en-US" sz="1200" baseline="0">
              <a:solidFill>
                <a:sysClr val="windowText" lastClr="000000"/>
              </a:solidFill>
              <a:effectLst/>
              <a:latin typeface="Arial" pitchFamily="34" charset="0"/>
              <a:ea typeface="+mn-ea"/>
              <a:cs typeface="Arial" pitchFamily="34" charset="0"/>
            </a:rPr>
            <a:t>Welcome. This document has been prepared by CLEAResult. </a:t>
          </a:r>
        </a:p>
        <a:p>
          <a:r>
            <a:rPr lang="en-US" sz="1200" baseline="0">
              <a:solidFill>
                <a:sysClr val="windowText" lastClr="000000"/>
              </a:solidFill>
              <a:effectLst/>
              <a:latin typeface="Arial" pitchFamily="34" charset="0"/>
              <a:ea typeface="+mn-ea"/>
              <a:cs typeface="Arial" pitchFamily="34" charset="0"/>
            </a:rPr>
            <a:t>The purpose of this spreadsheet is to determine the savings from replacing an existing lighting system with a more efficient lighting system. </a:t>
          </a:r>
          <a:endParaRPr lang="en-US" sz="1200">
            <a:solidFill>
              <a:sysClr val="windowText" lastClr="000000"/>
            </a:solidFill>
            <a:effectLst/>
            <a:latin typeface="Arial" pitchFamily="34" charset="0"/>
            <a:cs typeface="Arial" pitchFamily="34" charset="0"/>
          </a:endParaRPr>
        </a:p>
        <a:p>
          <a:endParaRPr lang="en-US" sz="1200" b="1" baseline="0">
            <a:solidFill>
              <a:sysClr val="windowText" lastClr="000000"/>
            </a:solidFill>
            <a:effectLst/>
            <a:latin typeface="Arial" pitchFamily="34" charset="0"/>
            <a:ea typeface="+mn-ea"/>
            <a:cs typeface="Arial" pitchFamily="34" charset="0"/>
          </a:endParaRPr>
        </a:p>
        <a:p>
          <a:r>
            <a:rPr lang="en-US" sz="1200" b="1" i="0" baseline="0">
              <a:solidFill>
                <a:sysClr val="windowText" lastClr="000000"/>
              </a:solidFill>
              <a:effectLst/>
              <a:latin typeface="Arial" pitchFamily="34" charset="0"/>
              <a:ea typeface="+mn-ea"/>
              <a:cs typeface="Arial" pitchFamily="34" charset="0"/>
            </a:rPr>
            <a:t>1. </a:t>
          </a:r>
          <a:r>
            <a:rPr lang="en-US" sz="1200" i="0" baseline="0">
              <a:solidFill>
                <a:sysClr val="windowText" lastClr="000000"/>
              </a:solidFill>
              <a:effectLst/>
              <a:latin typeface="Arial" pitchFamily="34" charset="0"/>
              <a:ea typeface="+mn-ea"/>
              <a:cs typeface="Arial" pitchFamily="34" charset="0"/>
            </a:rPr>
            <a:t>Enter all initial parameters on the "Lighting Calculator" tab. The necessary items are highlighted in Green.</a:t>
          </a:r>
          <a:endParaRPr lang="en-US" sz="1200" i="0">
            <a:solidFill>
              <a:sysClr val="windowText" lastClr="000000"/>
            </a:solidFill>
            <a:effectLst/>
            <a:latin typeface="Arial" pitchFamily="34" charset="0"/>
            <a:cs typeface="Arial" pitchFamily="34" charset="0"/>
          </a:endParaRPr>
        </a:p>
        <a:p>
          <a:pPr eaLnBrk="1" fontAlgn="auto" latinLnBrk="0" hangingPunct="1"/>
          <a:r>
            <a:rPr lang="en-US" sz="1200" b="1" i="0" baseline="0">
              <a:solidFill>
                <a:sysClr val="windowText" lastClr="000000"/>
              </a:solidFill>
              <a:effectLst/>
              <a:latin typeface="Arial" pitchFamily="34" charset="0"/>
              <a:ea typeface="+mn-ea"/>
              <a:cs typeface="Arial" pitchFamily="34" charset="0"/>
            </a:rPr>
            <a:t>2. </a:t>
          </a:r>
          <a:r>
            <a:rPr lang="en-US" sz="1200" i="0" baseline="0">
              <a:solidFill>
                <a:sysClr val="windowText" lastClr="000000"/>
              </a:solidFill>
              <a:effectLst/>
              <a:latin typeface="Arial" pitchFamily="34" charset="0"/>
              <a:ea typeface="+mn-ea"/>
              <a:cs typeface="Arial" pitchFamily="34" charset="0"/>
            </a:rPr>
            <a:t>All required fields must be filled in for savings to be properly displayed.</a:t>
          </a:r>
          <a:endParaRPr lang="en-US" sz="1200" b="1" i="0" baseline="0">
            <a:solidFill>
              <a:sysClr val="windowText" lastClr="000000"/>
            </a:solidFill>
            <a:effectLst/>
            <a:latin typeface="Arial" pitchFamily="34" charset="0"/>
            <a:ea typeface="+mn-ea"/>
            <a:cs typeface="Arial" pitchFamily="34" charset="0"/>
          </a:endParaRPr>
        </a:p>
        <a:p>
          <a:r>
            <a:rPr lang="en-US" sz="1200" b="1" i="0" baseline="0">
              <a:solidFill>
                <a:sysClr val="windowText" lastClr="000000"/>
              </a:solidFill>
              <a:effectLst/>
              <a:latin typeface="Arial" pitchFamily="34" charset="0"/>
              <a:ea typeface="+mn-ea"/>
              <a:cs typeface="Arial" pitchFamily="34" charset="0"/>
            </a:rPr>
            <a:t>3. </a:t>
          </a:r>
          <a:r>
            <a:rPr lang="en-US" sz="1200" b="0" i="0" baseline="0">
              <a:solidFill>
                <a:sysClr val="windowText" lastClr="000000"/>
              </a:solidFill>
              <a:effectLst/>
              <a:latin typeface="Arial" pitchFamily="34" charset="0"/>
              <a:ea typeface="+mn-ea"/>
              <a:cs typeface="Arial" pitchFamily="34" charset="0"/>
            </a:rPr>
            <a:t>For technical support on this tool contact </a:t>
          </a:r>
          <a:r>
            <a:rPr lang="en-US" sz="1200" u="sng">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extLst>
                  <a:ext uri="{A12FA001-AC4F-418D-AE19-62706E023703}">
                    <ahyp:hlinkClr xmlns:ahyp="http://schemas.microsoft.com/office/drawing/2018/hyperlinkcolor" val="tx"/>
                  </a:ext>
                </a:extLst>
              </a:hlinkClick>
            </a:rPr>
            <a:t>custom@aesindianarebates.com</a:t>
          </a:r>
          <a:r>
            <a:rPr lang="en-US" sz="1200" u="sng">
              <a:solidFill>
                <a:sysClr val="windowText" lastClr="000000"/>
              </a:solidFill>
              <a:effectLst/>
              <a:latin typeface="Arial" panose="020B0604020202020204" pitchFamily="34" charset="0"/>
              <a:ea typeface="+mn-ea"/>
              <a:cs typeface="Arial" panose="020B0604020202020204" pitchFamily="34" charset="0"/>
            </a:rPr>
            <a:t>.</a:t>
          </a:r>
        </a:p>
        <a:p>
          <a:endParaRPr lang="en-US" sz="1200" i="1" baseline="0">
            <a:solidFill>
              <a:sysClr val="windowText" lastClr="000000"/>
            </a:solidFill>
            <a:effectLst/>
            <a:latin typeface="Arial" pitchFamily="34" charset="0"/>
            <a:ea typeface="+mn-ea"/>
            <a:cs typeface="Arial" pitchFamily="34" charset="0"/>
          </a:endParaRPr>
        </a:p>
        <a:p>
          <a:pPr eaLnBrk="1" fontAlgn="auto" latinLnBrk="0" hangingPunct="1"/>
          <a:r>
            <a:rPr lang="en-US" sz="1200" b="0" i="1" baseline="0">
              <a:solidFill>
                <a:sysClr val="windowText" lastClr="000000"/>
              </a:solidFill>
              <a:effectLst/>
              <a:latin typeface="Arial" pitchFamily="34" charset="0"/>
              <a:ea typeface="+mn-ea"/>
              <a:cs typeface="Arial" pitchFamily="34" charset="0"/>
            </a:rPr>
            <a:t>Please Note: </a:t>
          </a:r>
          <a:r>
            <a:rPr lang="en-US" sz="1200" i="1" baseline="0">
              <a:solidFill>
                <a:sysClr val="windowText" lastClr="000000"/>
              </a:solidFill>
              <a:effectLst/>
              <a:latin typeface="Arial" pitchFamily="34" charset="0"/>
              <a:ea typeface="+mn-ea"/>
              <a:cs typeface="Arial" pitchFamily="34" charset="0"/>
            </a:rPr>
            <a:t>This calculator is used for estimating savings and does not guarantee the estimated incentive. The methodology presented in this calculator is deemed acceptable for the AES Indiana Custom Incentives program. However, the</a:t>
          </a:r>
          <a:r>
            <a:rPr lang="en-US" sz="1200" b="0" i="1" baseline="0">
              <a:solidFill>
                <a:sysClr val="windowText" lastClr="000000"/>
              </a:solidFill>
              <a:effectLst/>
              <a:latin typeface="Arial" pitchFamily="34" charset="0"/>
              <a:ea typeface="+mn-ea"/>
              <a:cs typeface="Arial" pitchFamily="34" charset="0"/>
            </a:rPr>
            <a:t> assumptions used by the applicant to calculate the annual savings will be reviewed by the </a:t>
          </a:r>
          <a:r>
            <a:rPr lang="en-US" sz="1200" i="1" baseline="0">
              <a:solidFill>
                <a:schemeClr val="dk1"/>
              </a:solidFill>
              <a:effectLst/>
              <a:latin typeface="Arial" panose="020B0604020202020204" pitchFamily="34" charset="0"/>
              <a:ea typeface="+mn-ea"/>
              <a:cs typeface="Arial" panose="020B0604020202020204" pitchFamily="34" charset="0"/>
            </a:rPr>
            <a:t>AES Indiana Custom Incentives program</a:t>
          </a:r>
          <a:r>
            <a:rPr lang="en-US" sz="1200" b="0" i="1" baseline="0">
              <a:solidFill>
                <a:sysClr val="windowText" lastClr="000000"/>
              </a:solidFill>
              <a:effectLst/>
              <a:latin typeface="Arial" pitchFamily="34" charset="0"/>
              <a:ea typeface="+mn-ea"/>
              <a:cs typeface="Arial" pitchFamily="34" charset="0"/>
            </a:rPr>
            <a:t>, which is solely responsible for the final determination of the annual energy savings to be used in calculating the incentive amount. The Program also reserves the right to require the applicant to conduct specific measurement and verification activities, including monitoring both before and after the retrofit, and to base the incentive payment on the results of these activities.	</a:t>
          </a:r>
          <a:endParaRPr lang="en-US" sz="1200" i="1">
            <a:solidFill>
              <a:sysClr val="windowText" lastClr="000000"/>
            </a:solidFill>
            <a:effectLst/>
            <a:latin typeface="Arial" pitchFamily="34" charset="0"/>
            <a:cs typeface="Arial" pitchFamily="34" charset="0"/>
          </a:endParaRPr>
        </a:p>
        <a:p>
          <a:pPr lvl="0"/>
          <a:endParaRPr lang="en-US" sz="1200" b="1" i="0" baseline="0">
            <a:solidFill>
              <a:sysClr val="windowText" lastClr="000000"/>
            </a:solidFill>
            <a:effectLst/>
            <a:latin typeface="Arial" pitchFamily="34" charset="0"/>
            <a:ea typeface="+mn-ea"/>
            <a:cs typeface="Arial" pitchFamily="34" charset="0"/>
          </a:endParaRPr>
        </a:p>
        <a:p>
          <a:pPr marL="0" lvl="0" indent="0" eaLnBrk="1" fontAlgn="auto" latinLnBrk="0" hangingPunct="1"/>
          <a:r>
            <a:rPr lang="en-US" sz="1200" b="0" i="1" baseline="0">
              <a:solidFill>
                <a:sysClr val="windowText" lastClr="000000"/>
              </a:solidFill>
              <a:effectLst/>
              <a:latin typeface="Arial" pitchFamily="34" charset="0"/>
              <a:ea typeface="+mn-ea"/>
              <a:cs typeface="Arial" pitchFamily="34" charset="0"/>
            </a:rPr>
            <a:t>Incentive amount is calculated based on first year energy savings. The incentives are earned at $0.07 per kWh saved. Total combined custom and prescriptive incentives are capped at $1,000,000 per customer per calendar year. </a:t>
          </a:r>
        </a:p>
      </xdr:txBody>
    </xdr:sp>
    <xdr:clientData/>
  </xdr:twoCellAnchor>
  <xdr:twoCellAnchor editAs="oneCell">
    <xdr:from>
      <xdr:col>14</xdr:col>
      <xdr:colOff>66675</xdr:colOff>
      <xdr:row>20</xdr:row>
      <xdr:rowOff>457200</xdr:rowOff>
    </xdr:from>
    <xdr:to>
      <xdr:col>17</xdr:col>
      <xdr:colOff>432435</xdr:colOff>
      <xdr:row>20</xdr:row>
      <xdr:rowOff>860538</xdr:rowOff>
    </xdr:to>
    <xdr:pic>
      <xdr:nvPicPr>
        <xdr:cNvPr id="5" name="Picture 4">
          <a:extLst>
            <a:ext uri="{FF2B5EF4-FFF2-40B4-BE49-F238E27FC236}">
              <a16:creationId xmlns:a16="http://schemas.microsoft.com/office/drawing/2014/main" id="{3D57CAC6-28E7-4F4E-B8DF-F78CDA7449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0" y="4267200"/>
          <a:ext cx="2194560" cy="4033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91440</xdr:colOff>
      <xdr:row>5</xdr:row>
      <xdr:rowOff>99060</xdr:rowOff>
    </xdr:from>
    <xdr:ext cx="4457700" cy="615681"/>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320040" y="1470660"/>
              <a:ext cx="4457700" cy="6156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𝑘𝑊h</m:t>
                        </m:r>
                      </m:e>
                      <m:sub>
                        <m:r>
                          <a:rPr lang="en-US" sz="1100" b="0" i="1">
                            <a:latin typeface="Cambria Math"/>
                          </a:rPr>
                          <m:t>𝐴𝑛𝑛𝑢𝑎𝑙</m:t>
                        </m:r>
                        <m:r>
                          <a:rPr lang="en-US" sz="1100" b="0" i="1">
                            <a:latin typeface="Cambria Math"/>
                          </a:rPr>
                          <m:t> </m:t>
                        </m:r>
                        <m:r>
                          <a:rPr lang="en-US" sz="1100" b="0" i="1">
                            <a:latin typeface="Cambria Math"/>
                          </a:rPr>
                          <m:t>𝑆𝑎𝑣𝑖𝑛𝑔𝑠</m:t>
                        </m:r>
                      </m:sub>
                    </m:sSub>
                    <m:r>
                      <a:rPr lang="en-US" sz="1100" b="0" i="1">
                        <a:latin typeface="Cambria Math"/>
                      </a:rPr>
                      <m:t>=</m:t>
                    </m:r>
                    <m:f>
                      <m:fPr>
                        <m:ctrlPr>
                          <a:rPr lang="en-US" sz="1100" b="0" i="1">
                            <a:latin typeface="Cambria Math" panose="02040503050406030204" pitchFamily="18" charset="0"/>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𝑊𝑎𝑡𝑡𝑠</m:t>
                            </m:r>
                          </m:e>
                          <m:sub>
                            <m:r>
                              <a:rPr lang="en-US" sz="1100" b="0" i="1">
                                <a:solidFill>
                                  <a:schemeClr val="tx1"/>
                                </a:solidFill>
                                <a:effectLst/>
                                <a:latin typeface="Cambria Math"/>
                                <a:ea typeface="+mn-ea"/>
                                <a:cs typeface="+mn-cs"/>
                              </a:rPr>
                              <m:t>𝐵𝑎𝑠𝑒</m:t>
                            </m:r>
                          </m:sub>
                        </m:sSub>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𝑊𝑎𝑡𝑡𝑠</m:t>
                            </m:r>
                          </m:e>
                          <m:sub>
                            <m:r>
                              <a:rPr lang="en-US" sz="1100" b="0" i="1">
                                <a:solidFill>
                                  <a:schemeClr val="tx1"/>
                                </a:solidFill>
                                <a:effectLst/>
                                <a:latin typeface="Cambria Math"/>
                                <a:ea typeface="+mn-ea"/>
                                <a:cs typeface="+mn-cs"/>
                              </a:rPr>
                              <m:t>𝐸𝐸</m:t>
                            </m:r>
                          </m:sub>
                        </m:sSub>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𝐻𝑜𝑢𝑟𝑠</m:t>
                        </m:r>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𝑊𝐻𝐹</m:t>
                            </m:r>
                          </m:e>
                          <m:sub>
                            <m:r>
                              <a:rPr lang="en-US" sz="1100" b="0" i="1">
                                <a:solidFill>
                                  <a:schemeClr val="tx1"/>
                                </a:solidFill>
                                <a:effectLst/>
                                <a:latin typeface="Cambria Math"/>
                                <a:ea typeface="+mn-ea"/>
                                <a:cs typeface="+mn-cs"/>
                              </a:rPr>
                              <m:t>𝐸</m:t>
                            </m:r>
                          </m:sub>
                        </m:sSub>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𝐼𝐹𝑘𝑊h</m:t>
                        </m:r>
                        <m:r>
                          <a:rPr lang="en-US" sz="1100" b="0" i="1">
                            <a:solidFill>
                              <a:schemeClr val="tx1"/>
                            </a:solidFill>
                            <a:effectLst/>
                            <a:latin typeface="Cambria Math"/>
                            <a:ea typeface="+mn-ea"/>
                            <a:cs typeface="+mn-cs"/>
                          </a:rPr>
                          <m:t>)</m:t>
                        </m:r>
                        <m:r>
                          <m:rPr>
                            <m:nor/>
                          </m:rPr>
                          <a:rPr lang="en-US">
                            <a:effectLst/>
                          </a:rPr>
                          <m:t> </m:t>
                        </m:r>
                      </m:num>
                      <m:den>
                        <m:r>
                          <a:rPr lang="en-US" sz="1100" b="0" i="1">
                            <a:latin typeface="Cambria Math"/>
                          </a:rPr>
                          <m:t>1,000</m:t>
                        </m:r>
                      </m:den>
                    </m:f>
                  </m:oMath>
                </m:oMathPara>
              </a14:m>
              <a:endParaRPr lang="en-US" sz="1100"/>
            </a:p>
          </xdr:txBody>
        </xdr:sp>
      </mc:Choice>
      <mc:Fallback xmlns="">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320040" y="1470660"/>
              <a:ext cx="4457700" cy="6156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panose="02040503050406030204" pitchFamily="18" charset="0"/>
                </a:rPr>
                <a:t>〖</a:t>
              </a:r>
              <a:r>
                <a:rPr lang="en-US" sz="1100" b="0" i="0">
                  <a:latin typeface="Cambria Math"/>
                </a:rPr>
                <a:t>𝑘𝑊ℎ</a:t>
              </a:r>
              <a:r>
                <a:rPr lang="en-US" sz="1100" b="0" i="0">
                  <a:latin typeface="Cambria Math" panose="02040503050406030204" pitchFamily="18" charset="0"/>
                </a:rPr>
                <a:t>〗_(</a:t>
              </a:r>
              <a:r>
                <a:rPr lang="en-US" sz="1100" b="0" i="0">
                  <a:latin typeface="Cambria Math"/>
                </a:rPr>
                <a:t>𝐴𝑛𝑛𝑢𝑎𝑙 𝑆𝑎𝑣𝑖𝑛𝑔𝑠</a:t>
              </a:r>
              <a:r>
                <a:rPr lang="en-US" sz="1100" b="0" i="0">
                  <a:latin typeface="Cambria Math" panose="02040503050406030204" pitchFamily="18" charset="0"/>
                </a:rPr>
                <a:t>)</a:t>
              </a:r>
              <a:r>
                <a:rPr lang="en-US" sz="1100" b="0" i="0">
                  <a:latin typeface="Cambria Math"/>
                </a:rPr>
                <a:t>=</a:t>
              </a:r>
              <a:r>
                <a:rPr lang="en-US" sz="1100" b="0" i="0">
                  <a:latin typeface="Cambria Math" panose="02040503050406030204" pitchFamily="18" charset="0"/>
                </a:rPr>
                <a:t>(</a:t>
              </a:r>
              <a:r>
                <a:rPr lang="en-US" sz="1100" b="0" i="0">
                  <a:solidFill>
                    <a:schemeClr val="tx1"/>
                  </a:solidFill>
                  <a:effectLst/>
                  <a:latin typeface="Cambria Math" panose="02040503050406030204" pitchFamily="18" charset="0"/>
                  <a:ea typeface="+mn-ea"/>
                  <a:cs typeface="+mn-cs"/>
                </a:rPr>
                <a:t>〖</a:t>
              </a:r>
              <a:r>
                <a:rPr lang="en-US" sz="1100" b="0" i="0">
                  <a:solidFill>
                    <a:schemeClr val="tx1"/>
                  </a:solidFill>
                  <a:effectLst/>
                  <a:latin typeface="Cambria Math"/>
                  <a:ea typeface="+mn-ea"/>
                  <a:cs typeface="+mn-cs"/>
                </a:rPr>
                <a:t>(𝑊𝑎𝑡𝑡𝑠</a:t>
              </a:r>
              <a:r>
                <a:rPr lang="en-US" sz="1100" b="0" i="0">
                  <a:solidFill>
                    <a:schemeClr val="tx1"/>
                  </a:solidFill>
                  <a:effectLst/>
                  <a:latin typeface="Cambria Math" panose="02040503050406030204" pitchFamily="18" charset="0"/>
                  <a:ea typeface="+mn-ea"/>
                  <a:cs typeface="+mn-cs"/>
                </a:rPr>
                <a:t>〗_</a:t>
              </a:r>
              <a:r>
                <a:rPr lang="en-US" sz="1100" b="0" i="0">
                  <a:solidFill>
                    <a:schemeClr val="tx1"/>
                  </a:solidFill>
                  <a:effectLst/>
                  <a:latin typeface="Cambria Math"/>
                  <a:ea typeface="+mn-ea"/>
                  <a:cs typeface="+mn-cs"/>
                </a:rPr>
                <a:t>𝐵𝑎𝑠𝑒−</a:t>
              </a:r>
              <a:r>
                <a:rPr lang="en-US" sz="1100" b="0" i="0">
                  <a:solidFill>
                    <a:schemeClr val="tx1"/>
                  </a:solidFill>
                  <a:effectLst/>
                  <a:latin typeface="Cambria Math" panose="02040503050406030204" pitchFamily="18" charset="0"/>
                  <a:ea typeface="+mn-ea"/>
                  <a:cs typeface="+mn-cs"/>
                </a:rPr>
                <a:t>〖</a:t>
              </a:r>
              <a:r>
                <a:rPr lang="en-US" sz="1100" b="0" i="0">
                  <a:solidFill>
                    <a:schemeClr val="tx1"/>
                  </a:solidFill>
                  <a:effectLst/>
                  <a:latin typeface="Cambria Math"/>
                  <a:ea typeface="+mn-ea"/>
                  <a:cs typeface="+mn-cs"/>
                </a:rPr>
                <a:t>𝑊𝑎𝑡𝑡𝑠</a:t>
              </a:r>
              <a:r>
                <a:rPr lang="en-US" sz="1100" b="0" i="0">
                  <a:solidFill>
                    <a:schemeClr val="tx1"/>
                  </a:solidFill>
                  <a:effectLst/>
                  <a:latin typeface="Cambria Math" panose="02040503050406030204" pitchFamily="18" charset="0"/>
                  <a:ea typeface="+mn-ea"/>
                  <a:cs typeface="+mn-cs"/>
                </a:rPr>
                <a:t>〗_</a:t>
              </a:r>
              <a:r>
                <a:rPr lang="en-US" sz="1100" b="0" i="0">
                  <a:solidFill>
                    <a:schemeClr val="tx1"/>
                  </a:solidFill>
                  <a:effectLst/>
                  <a:latin typeface="Cambria Math"/>
                  <a:ea typeface="+mn-ea"/>
                  <a:cs typeface="+mn-cs"/>
                </a:rPr>
                <a:t>𝐸𝐸)×𝐻𝑜𝑢𝑟𝑠×(</a:t>
              </a:r>
              <a:r>
                <a:rPr lang="en-US" sz="1100" b="0" i="0">
                  <a:solidFill>
                    <a:schemeClr val="tx1"/>
                  </a:solidFill>
                  <a:effectLst/>
                  <a:latin typeface="Cambria Math" panose="02040503050406030204" pitchFamily="18" charset="0"/>
                  <a:ea typeface="+mn-ea"/>
                  <a:cs typeface="+mn-cs"/>
                </a:rPr>
                <a:t>〖</a:t>
              </a:r>
              <a:r>
                <a:rPr lang="en-US" sz="1100" b="0" i="0">
                  <a:solidFill>
                    <a:schemeClr val="tx1"/>
                  </a:solidFill>
                  <a:effectLst/>
                  <a:latin typeface="Cambria Math"/>
                  <a:ea typeface="+mn-ea"/>
                  <a:cs typeface="+mn-cs"/>
                </a:rPr>
                <a:t>𝑊𝐻𝐹</a:t>
              </a:r>
              <a:r>
                <a:rPr lang="en-US" sz="1100" b="0" i="0">
                  <a:solidFill>
                    <a:schemeClr val="tx1"/>
                  </a:solidFill>
                  <a:effectLst/>
                  <a:latin typeface="Cambria Math" panose="02040503050406030204" pitchFamily="18" charset="0"/>
                  <a:ea typeface="+mn-ea"/>
                  <a:cs typeface="+mn-cs"/>
                </a:rPr>
                <a:t>〗_</a:t>
              </a:r>
              <a:r>
                <a:rPr lang="en-US" sz="1100" b="0" i="0">
                  <a:solidFill>
                    <a:schemeClr val="tx1"/>
                  </a:solidFill>
                  <a:effectLst/>
                  <a:latin typeface="Cambria Math"/>
                  <a:ea typeface="+mn-ea"/>
                  <a:cs typeface="+mn-cs"/>
                </a:rPr>
                <a:t>𝐸</a:t>
              </a:r>
              <a:r>
                <a:rPr lang="en-US" sz="1100" b="0" i="0">
                  <a:solidFill>
                    <a:schemeClr val="tx1"/>
                  </a:solidFill>
                  <a:effectLst/>
                  <a:latin typeface="Cambria Math" panose="02040503050406030204" pitchFamily="18" charset="0"/>
                  <a:ea typeface="+mn-ea"/>
                  <a:cs typeface="+mn-cs"/>
                </a:rPr>
                <a:t>  −𝐼𝐹𝑘𝑊ℎ</a:t>
              </a:r>
              <a:r>
                <a:rPr lang="en-US" sz="1100" b="0" i="0">
                  <a:solidFill>
                    <a:schemeClr val="tx1"/>
                  </a:solidFill>
                  <a:effectLst/>
                  <a:latin typeface="Cambria Math"/>
                  <a:ea typeface="+mn-ea"/>
                  <a:cs typeface="+mn-cs"/>
                </a:rPr>
                <a:t>)"</a:t>
              </a:r>
              <a:r>
                <a:rPr lang="en-US" i="0">
                  <a:effectLst/>
                </a:rPr>
                <a:t> </a:t>
              </a:r>
              <a:r>
                <a:rPr lang="en-US" i="0">
                  <a:effectLst/>
                  <a:latin typeface="Cambria Math" panose="02040503050406030204" pitchFamily="18" charset="0"/>
                </a:rPr>
                <a:t>" </a:t>
              </a:r>
              <a:r>
                <a:rPr lang="en-US" sz="1100" b="0" i="0">
                  <a:effectLst/>
                  <a:latin typeface="Cambria Math" panose="02040503050406030204" pitchFamily="18" charset="0"/>
                </a:rPr>
                <a:t>)/</a:t>
              </a:r>
              <a:r>
                <a:rPr lang="en-US" sz="1100" b="0" i="0">
                  <a:latin typeface="Cambria Math"/>
                </a:rPr>
                <a:t>1,000</a:t>
              </a:r>
              <a:endParaRPr lang="en-US" sz="1100"/>
            </a:p>
          </xdr:txBody>
        </xdr:sp>
      </mc:Fallback>
    </mc:AlternateContent>
    <xdr:clientData/>
  </xdr:oneCellAnchor>
  <xdr:oneCellAnchor>
    <xdr:from>
      <xdr:col>1</xdr:col>
      <xdr:colOff>91440</xdr:colOff>
      <xdr:row>8</xdr:row>
      <xdr:rowOff>121920</xdr:rowOff>
    </xdr:from>
    <xdr:ext cx="6004560" cy="442750"/>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327660" y="1844040"/>
              <a:ext cx="6004560" cy="442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𝑘𝑊</m:t>
                        </m:r>
                      </m:e>
                      <m:sub>
                        <m:r>
                          <a:rPr lang="en-US" sz="1100" b="0" i="1">
                            <a:latin typeface="Cambria Math"/>
                          </a:rPr>
                          <m:t>𝑆𝑢𝑚𝑚𝑒𝑟</m:t>
                        </m:r>
                        <m:r>
                          <a:rPr lang="en-US" sz="1100" b="0" i="1">
                            <a:latin typeface="Cambria Math"/>
                          </a:rPr>
                          <m:t> </m:t>
                        </m:r>
                        <m:r>
                          <a:rPr lang="en-US" sz="1100" b="0" i="1">
                            <a:latin typeface="Cambria Math"/>
                          </a:rPr>
                          <m:t>𝑃𝑒𝑎𝑘</m:t>
                        </m:r>
                        <m:r>
                          <a:rPr lang="en-US" sz="1100" b="0" i="1">
                            <a:latin typeface="Cambria Math"/>
                          </a:rPr>
                          <m:t> </m:t>
                        </m:r>
                        <m:r>
                          <a:rPr lang="en-US" sz="1100" b="0" i="1">
                            <a:latin typeface="Cambria Math"/>
                          </a:rPr>
                          <m:t>𝑆𝑎𝑣𝑖𝑛𝑔𝑠</m:t>
                        </m:r>
                      </m:sub>
                    </m:sSub>
                    <m:r>
                      <a:rPr lang="en-US" sz="1100" b="0" i="1">
                        <a:latin typeface="Cambria Math"/>
                      </a:rPr>
                      <m:t>=</m:t>
                    </m:r>
                    <m:f>
                      <m:fPr>
                        <m:ctrlPr>
                          <a:rPr lang="en-US" sz="1100" b="0" i="1">
                            <a:solidFill>
                              <a:schemeClr val="tx1"/>
                            </a:solidFill>
                            <a:effectLst/>
                            <a:latin typeface="Cambria Math" panose="02040503050406030204" pitchFamily="18" charset="0"/>
                            <a:ea typeface="+mn-ea"/>
                            <a:cs typeface="+mn-cs"/>
                          </a:rPr>
                        </m:ctrlPr>
                      </m:fPr>
                      <m:num>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𝑊𝑎𝑡𝑡𝑠</m:t>
                            </m:r>
                          </m:e>
                          <m:sub>
                            <m:r>
                              <a:rPr lang="en-US" sz="1100" b="0" i="1">
                                <a:solidFill>
                                  <a:schemeClr val="tx1"/>
                                </a:solidFill>
                                <a:effectLst/>
                                <a:latin typeface="Cambria Math"/>
                                <a:ea typeface="+mn-ea"/>
                                <a:cs typeface="+mn-cs"/>
                              </a:rPr>
                              <m:t>𝐵𝑎𝑠𝑒</m:t>
                            </m:r>
                          </m:sub>
                        </m:sSub>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𝑊𝑎𝑡𝑡𝑠</m:t>
                            </m:r>
                          </m:e>
                          <m:sub>
                            <m:r>
                              <a:rPr lang="en-US" sz="1100" b="0" i="1">
                                <a:solidFill>
                                  <a:schemeClr val="tx1"/>
                                </a:solidFill>
                                <a:effectLst/>
                                <a:latin typeface="Cambria Math"/>
                                <a:ea typeface="+mn-ea"/>
                                <a:cs typeface="+mn-cs"/>
                              </a:rPr>
                              <m:t>𝐸𝐸</m:t>
                            </m:r>
                          </m:sub>
                        </m:sSub>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𝐶𝐹</m:t>
                        </m:r>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𝑊𝐻𝐹</m:t>
                            </m:r>
                          </m:e>
                          <m:sub>
                            <m:r>
                              <a:rPr lang="en-US" sz="1100" b="0" i="1">
                                <a:solidFill>
                                  <a:schemeClr val="tx1"/>
                                </a:solidFill>
                                <a:effectLst/>
                                <a:latin typeface="Cambria Math"/>
                                <a:ea typeface="+mn-ea"/>
                                <a:cs typeface="+mn-cs"/>
                              </a:rPr>
                              <m:t>𝐷</m:t>
                            </m:r>
                          </m:sub>
                        </m:sSub>
                        <m:r>
                          <a:rPr lang="en-US" sz="1100" b="0" i="1">
                            <a:solidFill>
                              <a:schemeClr val="tx1"/>
                            </a:solidFill>
                            <a:effectLst/>
                            <a:latin typeface="Cambria Math"/>
                            <a:ea typeface="+mn-ea"/>
                            <a:cs typeface="+mn-cs"/>
                          </a:rPr>
                          <m:t>)</m:t>
                        </m:r>
                        <m:r>
                          <m:rPr>
                            <m:nor/>
                          </m:rPr>
                          <a:rPr lang="en-US" sz="1100" i="1">
                            <a:solidFill>
                              <a:schemeClr val="tx1"/>
                            </a:solidFill>
                            <a:effectLst/>
                            <a:latin typeface="+mn-lt"/>
                            <a:ea typeface="+mn-ea"/>
                            <a:cs typeface="+mn-cs"/>
                          </a:rPr>
                          <m:t> </m:t>
                        </m:r>
                      </m:num>
                      <m:den>
                        <m:r>
                          <a:rPr lang="en-US" sz="1100" b="0" i="1">
                            <a:solidFill>
                              <a:schemeClr val="tx1"/>
                            </a:solidFill>
                            <a:effectLst/>
                            <a:latin typeface="Cambria Math"/>
                            <a:ea typeface="+mn-ea"/>
                            <a:cs typeface="+mn-cs"/>
                          </a:rPr>
                          <m:t>1,000</m:t>
                        </m:r>
                      </m:den>
                    </m:f>
                  </m:oMath>
                </m:oMathPara>
              </a14:m>
              <a:endParaRPr lang="en-US" sz="1100"/>
            </a:p>
          </xdr:txBody>
        </xdr:sp>
      </mc:Choice>
      <mc:Fallback xmlns="">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327660" y="1844040"/>
              <a:ext cx="6004560" cy="442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panose="02040503050406030204" pitchFamily="18" charset="0"/>
                </a:rPr>
                <a:t>〖</a:t>
              </a:r>
              <a:r>
                <a:rPr lang="en-US" sz="1100" b="0" i="0">
                  <a:latin typeface="Cambria Math"/>
                </a:rPr>
                <a:t>𝑘𝑊</a:t>
              </a:r>
              <a:r>
                <a:rPr lang="en-US" sz="1100" b="0" i="0">
                  <a:latin typeface="Cambria Math" panose="02040503050406030204" pitchFamily="18" charset="0"/>
                </a:rPr>
                <a:t>〗_(</a:t>
              </a:r>
              <a:r>
                <a:rPr lang="en-US" sz="1100" b="0" i="0">
                  <a:latin typeface="Cambria Math"/>
                </a:rPr>
                <a:t>𝑆𝑢𝑚𝑚𝑒𝑟 𝑃𝑒𝑎𝑘 𝑆𝑎𝑣𝑖𝑛𝑔𝑠</a:t>
              </a:r>
              <a:r>
                <a:rPr lang="en-US" sz="1100" b="0" i="0">
                  <a:latin typeface="Cambria Math" panose="02040503050406030204" pitchFamily="18" charset="0"/>
                </a:rPr>
                <a:t>)</a:t>
              </a:r>
              <a:r>
                <a:rPr lang="en-US" sz="1100" b="0" i="0">
                  <a:latin typeface="Cambria Math"/>
                </a:rPr>
                <a:t>=</a:t>
              </a:r>
              <a:r>
                <a:rPr lang="en-US" sz="1100" b="0" i="0">
                  <a:solidFill>
                    <a:schemeClr val="tx1"/>
                  </a:solidFill>
                  <a:effectLst/>
                  <a:latin typeface="Cambria Math" panose="02040503050406030204" pitchFamily="18" charset="0"/>
                  <a:ea typeface="+mn-ea"/>
                  <a:cs typeface="+mn-cs"/>
                </a:rPr>
                <a:t>(</a:t>
              </a:r>
              <a:r>
                <a:rPr lang="en-US" sz="1100" b="0" i="0">
                  <a:solidFill>
                    <a:schemeClr val="tx1"/>
                  </a:solidFill>
                  <a:effectLst/>
                  <a:latin typeface="Cambria Math"/>
                  <a:ea typeface="+mn-ea"/>
                  <a:cs typeface="+mn-cs"/>
                </a:rPr>
                <a:t>(</a:t>
              </a:r>
              <a:r>
                <a:rPr lang="en-US" sz="1100" b="0" i="0">
                  <a:solidFill>
                    <a:schemeClr val="tx1"/>
                  </a:solidFill>
                  <a:effectLst/>
                  <a:latin typeface="Cambria Math" panose="02040503050406030204" pitchFamily="18" charset="0"/>
                  <a:ea typeface="+mn-ea"/>
                  <a:cs typeface="+mn-cs"/>
                </a:rPr>
                <a:t>〖</a:t>
              </a:r>
              <a:r>
                <a:rPr lang="en-US" sz="1100" b="0" i="0">
                  <a:solidFill>
                    <a:schemeClr val="tx1"/>
                  </a:solidFill>
                  <a:effectLst/>
                  <a:latin typeface="Cambria Math"/>
                  <a:ea typeface="+mn-ea"/>
                  <a:cs typeface="+mn-cs"/>
                </a:rPr>
                <a:t>𝑊𝑎𝑡𝑡𝑠</a:t>
              </a:r>
              <a:r>
                <a:rPr lang="en-US" sz="1100" b="0" i="0">
                  <a:solidFill>
                    <a:schemeClr val="tx1"/>
                  </a:solidFill>
                  <a:effectLst/>
                  <a:latin typeface="Cambria Math" panose="02040503050406030204" pitchFamily="18" charset="0"/>
                  <a:ea typeface="+mn-ea"/>
                  <a:cs typeface="+mn-cs"/>
                </a:rPr>
                <a:t>〗_</a:t>
              </a:r>
              <a:r>
                <a:rPr lang="en-US" sz="1100" b="0" i="0">
                  <a:solidFill>
                    <a:schemeClr val="tx1"/>
                  </a:solidFill>
                  <a:effectLst/>
                  <a:latin typeface="Cambria Math"/>
                  <a:ea typeface="+mn-ea"/>
                  <a:cs typeface="+mn-cs"/>
                </a:rPr>
                <a:t>𝐵𝑎𝑠𝑒−</a:t>
              </a:r>
              <a:r>
                <a:rPr lang="en-US" sz="1100" b="0" i="0">
                  <a:solidFill>
                    <a:schemeClr val="tx1"/>
                  </a:solidFill>
                  <a:effectLst/>
                  <a:latin typeface="Cambria Math" panose="02040503050406030204" pitchFamily="18" charset="0"/>
                  <a:ea typeface="+mn-ea"/>
                  <a:cs typeface="+mn-cs"/>
                </a:rPr>
                <a:t>〖</a:t>
              </a:r>
              <a:r>
                <a:rPr lang="en-US" sz="1100" b="0" i="0">
                  <a:solidFill>
                    <a:schemeClr val="tx1"/>
                  </a:solidFill>
                  <a:effectLst/>
                  <a:latin typeface="Cambria Math"/>
                  <a:ea typeface="+mn-ea"/>
                  <a:cs typeface="+mn-cs"/>
                </a:rPr>
                <a:t>𝑊𝑎𝑡𝑡𝑠</a:t>
              </a:r>
              <a:r>
                <a:rPr lang="en-US" sz="1100" b="0" i="0">
                  <a:solidFill>
                    <a:schemeClr val="tx1"/>
                  </a:solidFill>
                  <a:effectLst/>
                  <a:latin typeface="Cambria Math" panose="02040503050406030204" pitchFamily="18" charset="0"/>
                  <a:ea typeface="+mn-ea"/>
                  <a:cs typeface="+mn-cs"/>
                </a:rPr>
                <a:t>〗_</a:t>
              </a:r>
              <a:r>
                <a:rPr lang="en-US" sz="1100" b="0" i="0">
                  <a:solidFill>
                    <a:schemeClr val="tx1"/>
                  </a:solidFill>
                  <a:effectLst/>
                  <a:latin typeface="Cambria Math"/>
                  <a:ea typeface="+mn-ea"/>
                  <a:cs typeface="+mn-cs"/>
                </a:rPr>
                <a:t>𝐸𝐸)×𝐶𝐹×(</a:t>
              </a:r>
              <a:r>
                <a:rPr lang="en-US" sz="1100" b="0" i="0">
                  <a:solidFill>
                    <a:schemeClr val="tx1"/>
                  </a:solidFill>
                  <a:effectLst/>
                  <a:latin typeface="Cambria Math" panose="02040503050406030204" pitchFamily="18" charset="0"/>
                  <a:ea typeface="+mn-ea"/>
                  <a:cs typeface="+mn-cs"/>
                </a:rPr>
                <a:t>〖</a:t>
              </a:r>
              <a:r>
                <a:rPr lang="en-US" sz="1100" b="0" i="0">
                  <a:solidFill>
                    <a:schemeClr val="tx1"/>
                  </a:solidFill>
                  <a:effectLst/>
                  <a:latin typeface="Cambria Math"/>
                  <a:ea typeface="+mn-ea"/>
                  <a:cs typeface="+mn-cs"/>
                </a:rPr>
                <a:t>𝑊𝐻𝐹</a:t>
              </a:r>
              <a:r>
                <a:rPr lang="en-US" sz="1100" b="0" i="0">
                  <a:solidFill>
                    <a:schemeClr val="tx1"/>
                  </a:solidFill>
                  <a:effectLst/>
                  <a:latin typeface="Cambria Math" panose="02040503050406030204" pitchFamily="18" charset="0"/>
                  <a:ea typeface="+mn-ea"/>
                  <a:cs typeface="+mn-cs"/>
                </a:rPr>
                <a:t>〗_</a:t>
              </a:r>
              <a:r>
                <a:rPr lang="en-US" sz="1100" b="0" i="0">
                  <a:solidFill>
                    <a:schemeClr val="tx1"/>
                  </a:solidFill>
                  <a:effectLst/>
                  <a:latin typeface="Cambria Math"/>
                  <a:ea typeface="+mn-ea"/>
                  <a:cs typeface="+mn-cs"/>
                </a:rPr>
                <a:t>𝐷)</a:t>
              </a:r>
              <a:r>
                <a:rPr lang="en-US" sz="1100" b="0" i="0">
                  <a:solidFill>
                    <a:schemeClr val="tx1"/>
                  </a:solidFill>
                  <a:effectLst/>
                  <a:latin typeface="+mn-lt"/>
                  <a:ea typeface="+mn-ea"/>
                  <a:cs typeface="+mn-cs"/>
                </a:rPr>
                <a:t>"</a:t>
              </a:r>
              <a:r>
                <a:rPr lang="en-US" sz="1100" i="0">
                  <a:solidFill>
                    <a:schemeClr val="tx1"/>
                  </a:solidFill>
                  <a:effectLst/>
                  <a:latin typeface="+mn-lt"/>
                  <a:ea typeface="+mn-ea"/>
                  <a:cs typeface="+mn-cs"/>
                </a:rPr>
                <a:t> </a:t>
              </a:r>
              <a:r>
                <a:rPr lang="en-US" sz="1100" i="0">
                  <a:solidFill>
                    <a:schemeClr val="tx1"/>
                  </a:solidFill>
                  <a:effectLst/>
                  <a:latin typeface="Cambria Math" panose="02040503050406030204" pitchFamily="18" charset="0"/>
                  <a:ea typeface="+mn-ea"/>
                  <a:cs typeface="+mn-cs"/>
                </a:rPr>
                <a:t>" </a:t>
              </a:r>
              <a:r>
                <a:rPr lang="en-US" sz="1100" b="0" i="0">
                  <a:solidFill>
                    <a:schemeClr val="tx1"/>
                  </a:solidFill>
                  <a:effectLst/>
                  <a:latin typeface="Cambria Math" panose="02040503050406030204" pitchFamily="18" charset="0"/>
                  <a:ea typeface="+mn-ea"/>
                  <a:cs typeface="+mn-cs"/>
                </a:rPr>
                <a:t>)/</a:t>
              </a:r>
              <a:r>
                <a:rPr lang="en-US" sz="1100" b="0" i="0">
                  <a:solidFill>
                    <a:schemeClr val="tx1"/>
                  </a:solidFill>
                  <a:effectLst/>
                  <a:latin typeface="Cambria Math"/>
                  <a:ea typeface="+mn-ea"/>
                  <a:cs typeface="+mn-cs"/>
                </a:rPr>
                <a:t>1,000</a:t>
              </a:r>
              <a:endParaRPr lang="en-US" sz="1100"/>
            </a:p>
          </xdr:txBody>
        </xdr:sp>
      </mc:Fallback>
    </mc:AlternateContent>
    <xdr:clientData/>
  </xdr:oneCellAnchor>
  <xdr:oneCellAnchor>
    <xdr:from>
      <xdr:col>5</xdr:col>
      <xdr:colOff>885825</xdr:colOff>
      <xdr:row>5</xdr:row>
      <xdr:rowOff>108585</xdr:rowOff>
    </xdr:from>
    <xdr:ext cx="4792980" cy="615681"/>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4876800" y="1480185"/>
              <a:ext cx="4792980" cy="6156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𝑘𝑊h</m:t>
                        </m:r>
                      </m:e>
                      <m:sub>
                        <m:r>
                          <a:rPr lang="en-US" sz="1100" b="0" i="1">
                            <a:latin typeface="Cambria Math"/>
                          </a:rPr>
                          <m:t>𝐴𝑛𝑛𝑢𝑎𝑙</m:t>
                        </m:r>
                        <m:r>
                          <a:rPr lang="en-US" sz="1100" b="0" i="1">
                            <a:latin typeface="Cambria Math"/>
                          </a:rPr>
                          <m:t> </m:t>
                        </m:r>
                        <m:r>
                          <a:rPr lang="en-US" sz="1100" b="0" i="1">
                            <a:latin typeface="Cambria Math"/>
                          </a:rPr>
                          <m:t>𝑆𝑎𝑣𝑖𝑛𝑔𝑠</m:t>
                        </m:r>
                        <m:r>
                          <a:rPr lang="en-US" sz="1100" b="0" i="1">
                            <a:latin typeface="Cambria Math"/>
                          </a:rPr>
                          <m:t>, </m:t>
                        </m:r>
                        <m:r>
                          <a:rPr lang="en-US" sz="1100" b="0" i="1">
                            <a:latin typeface="Cambria Math"/>
                          </a:rPr>
                          <m:t>𝐶𝑜𝑛𝑡𝑟𝑜𝑙𝑠</m:t>
                        </m:r>
                      </m:sub>
                    </m:sSub>
                    <m:r>
                      <a:rPr lang="en-US" sz="1100" b="0" i="1">
                        <a:latin typeface="Cambria Math"/>
                      </a:rPr>
                      <m:t>=</m:t>
                    </m:r>
                    <m:f>
                      <m:fPr>
                        <m:ctrlPr>
                          <a:rPr lang="en-US" sz="1100" b="0" i="1">
                            <a:latin typeface="Cambria Math" panose="02040503050406030204" pitchFamily="18" charset="0"/>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𝑊𝑎𝑡𝑡𝑠</m:t>
                            </m:r>
                          </m:e>
                          <m:sub>
                            <m:r>
                              <a:rPr lang="en-US" sz="1100" b="0" i="1">
                                <a:solidFill>
                                  <a:schemeClr val="tx1"/>
                                </a:solidFill>
                                <a:effectLst/>
                                <a:latin typeface="Cambria Math"/>
                                <a:ea typeface="+mn-ea"/>
                                <a:cs typeface="+mn-cs"/>
                              </a:rPr>
                              <m:t>𝐶𝑜𝑛𝑡𝑟𝑜𝑙𝑙𝑒𝑑</m:t>
                            </m:r>
                          </m:sub>
                        </m:sSub>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𝐻𝑜𝑢𝑟𝑠</m:t>
                        </m:r>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𝑊𝐻𝐹</m:t>
                            </m:r>
                          </m:e>
                          <m:sub>
                            <m:r>
                              <a:rPr lang="en-US" sz="1100" b="0" i="1">
                                <a:solidFill>
                                  <a:schemeClr val="tx1"/>
                                </a:solidFill>
                                <a:effectLst/>
                                <a:latin typeface="Cambria Math"/>
                                <a:ea typeface="+mn-ea"/>
                                <a:cs typeface="+mn-cs"/>
                              </a:rPr>
                              <m:t>𝐸</m:t>
                            </m:r>
                            <m:r>
                              <a:rPr lang="en-US" sz="1100" b="0" i="1">
                                <a:solidFill>
                                  <a:schemeClr val="tx1"/>
                                </a:solidFill>
                                <a:effectLst/>
                                <a:latin typeface="Cambria Math" panose="02040503050406030204" pitchFamily="18" charset="0"/>
                                <a:ea typeface="+mn-ea"/>
                                <a:cs typeface="+mn-cs"/>
                              </a:rPr>
                              <m:t> </m:t>
                            </m:r>
                          </m:sub>
                        </m:sSub>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𝐼𝐹𝑘𝑊h</m:t>
                        </m:r>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𝐸𝑆𝐹</m:t>
                        </m:r>
                      </m:num>
                      <m:den>
                        <m:r>
                          <a:rPr lang="en-US" sz="1100" b="0" i="1">
                            <a:latin typeface="Cambria Math"/>
                          </a:rPr>
                          <m:t>1,000</m:t>
                        </m:r>
                      </m:den>
                    </m:f>
                  </m:oMath>
                </m:oMathPara>
              </a14:m>
              <a:endParaRPr lang="en-US" sz="1100"/>
            </a:p>
          </xdr:txBody>
        </xdr:sp>
      </mc:Choice>
      <mc:Fallback xmlns="">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4876800" y="1480185"/>
              <a:ext cx="4792980" cy="6156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panose="02040503050406030204" pitchFamily="18" charset="0"/>
                </a:rPr>
                <a:t>〖</a:t>
              </a:r>
              <a:r>
                <a:rPr lang="en-US" sz="1100" b="0" i="0">
                  <a:latin typeface="Cambria Math"/>
                </a:rPr>
                <a:t>𝑘𝑊ℎ</a:t>
              </a:r>
              <a:r>
                <a:rPr lang="en-US" sz="1100" b="0" i="0">
                  <a:latin typeface="Cambria Math" panose="02040503050406030204" pitchFamily="18" charset="0"/>
                </a:rPr>
                <a:t>〗_(</a:t>
              </a:r>
              <a:r>
                <a:rPr lang="en-US" sz="1100" b="0" i="0">
                  <a:latin typeface="Cambria Math"/>
                </a:rPr>
                <a:t>𝐴𝑛𝑛𝑢𝑎𝑙 𝑆𝑎𝑣𝑖𝑛𝑔𝑠, 𝐶𝑜𝑛𝑡𝑟𝑜𝑙𝑠</a:t>
              </a:r>
              <a:r>
                <a:rPr lang="en-US" sz="1100" b="0" i="0">
                  <a:latin typeface="Cambria Math" panose="02040503050406030204" pitchFamily="18" charset="0"/>
                </a:rPr>
                <a:t>)</a:t>
              </a:r>
              <a:r>
                <a:rPr lang="en-US" sz="1100" b="0" i="0">
                  <a:latin typeface="Cambria Math"/>
                </a:rPr>
                <a:t>=</a:t>
              </a:r>
              <a:r>
                <a:rPr lang="en-US" sz="1100" b="0" i="0">
                  <a:latin typeface="Cambria Math" panose="02040503050406030204" pitchFamily="18" charset="0"/>
                </a:rPr>
                <a:t>(</a:t>
              </a:r>
              <a:r>
                <a:rPr lang="en-US" sz="1100" b="0" i="0">
                  <a:solidFill>
                    <a:schemeClr val="tx1"/>
                  </a:solidFill>
                  <a:effectLst/>
                  <a:latin typeface="Cambria Math" panose="02040503050406030204" pitchFamily="18" charset="0"/>
                  <a:ea typeface="+mn-ea"/>
                  <a:cs typeface="+mn-cs"/>
                </a:rPr>
                <a:t>〖</a:t>
              </a:r>
              <a:r>
                <a:rPr lang="en-US" sz="1100" b="0" i="0">
                  <a:solidFill>
                    <a:schemeClr val="tx1"/>
                  </a:solidFill>
                  <a:effectLst/>
                  <a:latin typeface="Cambria Math"/>
                  <a:ea typeface="+mn-ea"/>
                  <a:cs typeface="+mn-cs"/>
                </a:rPr>
                <a:t>𝑊𝑎𝑡𝑡𝑠</a:t>
              </a:r>
              <a:r>
                <a:rPr lang="en-US" sz="1100" b="0" i="0">
                  <a:solidFill>
                    <a:schemeClr val="tx1"/>
                  </a:solidFill>
                  <a:effectLst/>
                  <a:latin typeface="Cambria Math" panose="02040503050406030204" pitchFamily="18" charset="0"/>
                  <a:ea typeface="+mn-ea"/>
                  <a:cs typeface="+mn-cs"/>
                </a:rPr>
                <a:t>〗_</a:t>
              </a:r>
              <a:r>
                <a:rPr lang="en-US" sz="1100" b="0" i="0">
                  <a:solidFill>
                    <a:schemeClr val="tx1"/>
                  </a:solidFill>
                  <a:effectLst/>
                  <a:latin typeface="Cambria Math"/>
                  <a:ea typeface="+mn-ea"/>
                  <a:cs typeface="+mn-cs"/>
                </a:rPr>
                <a:t>𝐶𝑜𝑛𝑡𝑟𝑜𝑙𝑙𝑒𝑑×𝐻𝑜𝑢𝑟𝑠×(</a:t>
              </a:r>
              <a:r>
                <a:rPr lang="en-US" sz="1100" b="0" i="0">
                  <a:solidFill>
                    <a:schemeClr val="tx1"/>
                  </a:solidFill>
                  <a:effectLst/>
                  <a:latin typeface="Cambria Math" panose="02040503050406030204" pitchFamily="18" charset="0"/>
                  <a:ea typeface="+mn-ea"/>
                  <a:cs typeface="+mn-cs"/>
                </a:rPr>
                <a:t>〖</a:t>
              </a:r>
              <a:r>
                <a:rPr lang="en-US" sz="1100" b="0" i="0">
                  <a:solidFill>
                    <a:schemeClr val="tx1"/>
                  </a:solidFill>
                  <a:effectLst/>
                  <a:latin typeface="Cambria Math"/>
                  <a:ea typeface="+mn-ea"/>
                  <a:cs typeface="+mn-cs"/>
                </a:rPr>
                <a:t>𝑊𝐻𝐹</a:t>
              </a:r>
              <a:r>
                <a:rPr lang="en-US" sz="1100" b="0" i="0">
                  <a:solidFill>
                    <a:schemeClr val="tx1"/>
                  </a:solidFill>
                  <a:effectLst/>
                  <a:latin typeface="Cambria Math" panose="02040503050406030204" pitchFamily="18" charset="0"/>
                  <a:ea typeface="+mn-ea"/>
                  <a:cs typeface="+mn-cs"/>
                </a:rPr>
                <a:t>〗_(</a:t>
              </a:r>
              <a:r>
                <a:rPr lang="en-US" sz="1100" b="0" i="0">
                  <a:solidFill>
                    <a:schemeClr val="tx1"/>
                  </a:solidFill>
                  <a:effectLst/>
                  <a:latin typeface="Cambria Math"/>
                  <a:ea typeface="+mn-ea"/>
                  <a:cs typeface="+mn-cs"/>
                </a:rPr>
                <a:t>𝐸</a:t>
              </a:r>
              <a:r>
                <a:rPr lang="en-US" sz="1100" b="0" i="0">
                  <a:solidFill>
                    <a:schemeClr val="tx1"/>
                  </a:solidFill>
                  <a:effectLst/>
                  <a:latin typeface="Cambria Math" panose="02040503050406030204" pitchFamily="18" charset="0"/>
                  <a:ea typeface="+mn-ea"/>
                  <a:cs typeface="+mn-cs"/>
                </a:rPr>
                <a:t> )−𝐼𝐹𝑘𝑊ℎ</a:t>
              </a:r>
              <a:r>
                <a:rPr lang="en-US" sz="1100" b="0" i="0">
                  <a:solidFill>
                    <a:schemeClr val="tx1"/>
                  </a:solidFill>
                  <a:effectLst/>
                  <a:latin typeface="Cambria Math"/>
                  <a:ea typeface="+mn-ea"/>
                  <a:cs typeface="+mn-cs"/>
                </a:rPr>
                <a:t>)×𝐸𝑆𝐹</a:t>
              </a:r>
              <a:r>
                <a:rPr lang="en-US" sz="1100" b="0" i="0">
                  <a:solidFill>
                    <a:schemeClr val="tx1"/>
                  </a:solidFill>
                  <a:effectLst/>
                  <a:latin typeface="Cambria Math" panose="02040503050406030204" pitchFamily="18" charset="0"/>
                  <a:ea typeface="+mn-ea"/>
                  <a:cs typeface="+mn-cs"/>
                </a:rPr>
                <a:t>)/</a:t>
              </a:r>
              <a:r>
                <a:rPr lang="en-US" sz="1100" b="0" i="0">
                  <a:latin typeface="Cambria Math"/>
                </a:rPr>
                <a:t>1,000</a:t>
              </a:r>
              <a:endParaRPr lang="en-US" sz="1100"/>
            </a:p>
          </xdr:txBody>
        </xdr:sp>
      </mc:Fallback>
    </mc:AlternateContent>
    <xdr:clientData/>
  </xdr:oneCellAnchor>
  <xdr:oneCellAnchor>
    <xdr:from>
      <xdr:col>5</xdr:col>
      <xdr:colOff>885825</xdr:colOff>
      <xdr:row>8</xdr:row>
      <xdr:rowOff>131445</xdr:rowOff>
    </xdr:from>
    <xdr:ext cx="5471160" cy="432683"/>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4876800" y="2074545"/>
              <a:ext cx="5471160" cy="432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𝑘𝑊</m:t>
                        </m:r>
                      </m:e>
                      <m:sub>
                        <m:r>
                          <a:rPr lang="en-US" sz="1100" b="0" i="1">
                            <a:latin typeface="Cambria Math"/>
                          </a:rPr>
                          <m:t>𝑆𝑢𝑚𝑚𝑒𝑟</m:t>
                        </m:r>
                        <m:r>
                          <a:rPr lang="en-US" sz="1100" b="0" i="1">
                            <a:latin typeface="Cambria Math"/>
                          </a:rPr>
                          <m:t> </m:t>
                        </m:r>
                        <m:r>
                          <a:rPr lang="en-US" sz="1100" b="0" i="1">
                            <a:latin typeface="Cambria Math"/>
                          </a:rPr>
                          <m:t>𝑃𝑒𝑎𝑘</m:t>
                        </m:r>
                        <m:r>
                          <a:rPr lang="en-US" sz="1100" b="0" i="1">
                            <a:latin typeface="Cambria Math"/>
                          </a:rPr>
                          <m:t> </m:t>
                        </m:r>
                        <m:r>
                          <a:rPr lang="en-US" sz="1100" b="0" i="1">
                            <a:latin typeface="Cambria Math"/>
                          </a:rPr>
                          <m:t>𝑆𝑎𝑣𝑖𝑛𝑔𝑠</m:t>
                        </m:r>
                        <m:r>
                          <a:rPr lang="en-US" sz="1100" b="0" i="1">
                            <a:latin typeface="Cambria Math"/>
                          </a:rPr>
                          <m:t>, </m:t>
                        </m:r>
                        <m:r>
                          <a:rPr lang="en-US" sz="1100" b="0" i="1">
                            <a:latin typeface="Cambria Math"/>
                          </a:rPr>
                          <m:t>𝐶𝑜𝑛𝑡𝑟𝑜𝑙𝑠</m:t>
                        </m:r>
                      </m:sub>
                    </m:sSub>
                    <m:r>
                      <a:rPr lang="en-US" sz="1100" b="0" i="1">
                        <a:latin typeface="Cambria Math"/>
                      </a:rPr>
                      <m:t>=</m:t>
                    </m:r>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𝑊𝑎𝑡𝑡𝑠</m:t>
                            </m:r>
                          </m:e>
                          <m:sub>
                            <m:r>
                              <a:rPr lang="en-US" sz="1100" b="0" i="1">
                                <a:solidFill>
                                  <a:schemeClr val="tx1"/>
                                </a:solidFill>
                                <a:effectLst/>
                                <a:latin typeface="Cambria Math"/>
                                <a:ea typeface="+mn-ea"/>
                                <a:cs typeface="+mn-cs"/>
                              </a:rPr>
                              <m:t>𝐶𝑜𝑛𝑡𝑟𝑜𝑙𝑙𝑒𝑑</m:t>
                            </m:r>
                          </m:sub>
                        </m:sSub>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𝐶𝐹</m:t>
                            </m:r>
                          </m:e>
                          <m:sub>
                            <m:r>
                              <a:rPr lang="en-US" sz="1100" b="0" i="1">
                                <a:solidFill>
                                  <a:schemeClr val="tx1"/>
                                </a:solidFill>
                                <a:effectLst/>
                                <a:latin typeface="Cambria Math"/>
                                <a:ea typeface="+mn-ea"/>
                                <a:cs typeface="+mn-cs"/>
                              </a:rPr>
                              <m:t>𝐶𝑜𝑛𝑡𝑟𝑜𝑙𝑙𝑒𝑑</m:t>
                            </m:r>
                          </m:sub>
                        </m:sSub>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𝑊𝐻𝐹</m:t>
                            </m:r>
                          </m:e>
                          <m:sub>
                            <m:r>
                              <a:rPr lang="en-US" sz="1100" b="0" i="1">
                                <a:solidFill>
                                  <a:schemeClr val="tx1"/>
                                </a:solidFill>
                                <a:effectLst/>
                                <a:latin typeface="Cambria Math"/>
                                <a:ea typeface="+mn-ea"/>
                                <a:cs typeface="+mn-cs"/>
                              </a:rPr>
                              <m:t>𝐷</m:t>
                            </m:r>
                          </m:sub>
                        </m:sSub>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𝐸𝑆𝐹</m:t>
                        </m:r>
                      </m:num>
                      <m:den>
                        <m:r>
                          <a:rPr lang="en-US" sz="1100" b="0" i="1">
                            <a:solidFill>
                              <a:schemeClr val="tx1"/>
                            </a:solidFill>
                            <a:effectLst/>
                            <a:latin typeface="Cambria Math"/>
                            <a:ea typeface="+mn-ea"/>
                            <a:cs typeface="+mn-cs"/>
                          </a:rPr>
                          <m:t>1,000</m:t>
                        </m:r>
                      </m:den>
                    </m:f>
                  </m:oMath>
                </m:oMathPara>
              </a14:m>
              <a:endParaRPr lang="en-US" sz="1100"/>
            </a:p>
          </xdr:txBody>
        </xdr:sp>
      </mc:Choice>
      <mc:Fallback xmlns="">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4876800" y="2074545"/>
              <a:ext cx="5471160" cy="432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panose="02040503050406030204" pitchFamily="18" charset="0"/>
                </a:rPr>
                <a:t>〖</a:t>
              </a:r>
              <a:r>
                <a:rPr lang="en-US" sz="1100" b="0" i="0">
                  <a:latin typeface="Cambria Math"/>
                </a:rPr>
                <a:t>𝑘𝑊</a:t>
              </a:r>
              <a:r>
                <a:rPr lang="en-US" sz="1100" b="0" i="0">
                  <a:latin typeface="Cambria Math" panose="02040503050406030204" pitchFamily="18" charset="0"/>
                </a:rPr>
                <a:t>〗_(</a:t>
              </a:r>
              <a:r>
                <a:rPr lang="en-US" sz="1100" b="0" i="0">
                  <a:latin typeface="Cambria Math"/>
                </a:rPr>
                <a:t>𝑆𝑢𝑚𝑚𝑒𝑟 𝑃𝑒𝑎𝑘 𝑆𝑎𝑣𝑖𝑛𝑔𝑠, 𝐶𝑜𝑛𝑡𝑟𝑜𝑙𝑠</a:t>
              </a:r>
              <a:r>
                <a:rPr lang="en-US" sz="1100" b="0" i="0">
                  <a:latin typeface="Cambria Math" panose="02040503050406030204" pitchFamily="18" charset="0"/>
                </a:rPr>
                <a:t>)</a:t>
              </a:r>
              <a:r>
                <a:rPr lang="en-US" sz="1100" b="0" i="0">
                  <a:latin typeface="Cambria Math"/>
                </a:rPr>
                <a:t>=</a:t>
              </a:r>
              <a:r>
                <a:rPr lang="en-US" sz="1100" b="0" i="0">
                  <a:solidFill>
                    <a:schemeClr val="tx1"/>
                  </a:solidFill>
                  <a:effectLst/>
                  <a:latin typeface="Cambria Math" panose="02040503050406030204" pitchFamily="18" charset="0"/>
                  <a:ea typeface="+mn-ea"/>
                  <a:cs typeface="+mn-cs"/>
                </a:rPr>
                <a:t>(〖</a:t>
              </a:r>
              <a:r>
                <a:rPr lang="en-US" sz="1100" b="0" i="0">
                  <a:solidFill>
                    <a:schemeClr val="tx1"/>
                  </a:solidFill>
                  <a:effectLst/>
                  <a:latin typeface="Cambria Math"/>
                  <a:ea typeface="+mn-ea"/>
                  <a:cs typeface="+mn-cs"/>
                </a:rPr>
                <a:t>𝑊𝑎𝑡𝑡𝑠</a:t>
              </a:r>
              <a:r>
                <a:rPr lang="en-US" sz="1100" b="0" i="0">
                  <a:solidFill>
                    <a:schemeClr val="tx1"/>
                  </a:solidFill>
                  <a:effectLst/>
                  <a:latin typeface="Cambria Math" panose="02040503050406030204" pitchFamily="18" charset="0"/>
                  <a:ea typeface="+mn-ea"/>
                  <a:cs typeface="+mn-cs"/>
                </a:rPr>
                <a:t>〗_</a:t>
              </a:r>
              <a:r>
                <a:rPr lang="en-US" sz="1100" b="0" i="0">
                  <a:solidFill>
                    <a:schemeClr val="tx1"/>
                  </a:solidFill>
                  <a:effectLst/>
                  <a:latin typeface="Cambria Math"/>
                  <a:ea typeface="+mn-ea"/>
                  <a:cs typeface="+mn-cs"/>
                </a:rPr>
                <a:t>𝐶𝑜𝑛𝑡𝑟𝑜𝑙𝑙𝑒𝑑×</a:t>
              </a:r>
              <a:r>
                <a:rPr lang="en-US" sz="1100" b="0" i="0">
                  <a:solidFill>
                    <a:schemeClr val="tx1"/>
                  </a:solidFill>
                  <a:effectLst/>
                  <a:latin typeface="Cambria Math" panose="02040503050406030204" pitchFamily="18" charset="0"/>
                  <a:ea typeface="+mn-ea"/>
                  <a:cs typeface="+mn-cs"/>
                </a:rPr>
                <a:t>〖</a:t>
              </a:r>
              <a:r>
                <a:rPr lang="en-US" sz="1100" b="0" i="0">
                  <a:solidFill>
                    <a:schemeClr val="tx1"/>
                  </a:solidFill>
                  <a:effectLst/>
                  <a:latin typeface="Cambria Math"/>
                  <a:ea typeface="+mn-ea"/>
                  <a:cs typeface="+mn-cs"/>
                </a:rPr>
                <a:t>𝐶𝐹</a:t>
              </a:r>
              <a:r>
                <a:rPr lang="en-US" sz="1100" b="0" i="0">
                  <a:solidFill>
                    <a:schemeClr val="tx1"/>
                  </a:solidFill>
                  <a:effectLst/>
                  <a:latin typeface="Cambria Math" panose="02040503050406030204" pitchFamily="18" charset="0"/>
                  <a:ea typeface="+mn-ea"/>
                  <a:cs typeface="+mn-cs"/>
                </a:rPr>
                <a:t>〗_</a:t>
              </a:r>
              <a:r>
                <a:rPr lang="en-US" sz="1100" b="0" i="0">
                  <a:solidFill>
                    <a:schemeClr val="tx1"/>
                  </a:solidFill>
                  <a:effectLst/>
                  <a:latin typeface="Cambria Math"/>
                  <a:ea typeface="+mn-ea"/>
                  <a:cs typeface="+mn-cs"/>
                </a:rPr>
                <a:t>𝐶𝑜𝑛𝑡𝑟𝑜𝑙𝑙𝑒𝑑×(</a:t>
              </a:r>
              <a:r>
                <a:rPr lang="en-US" sz="1100" b="0" i="0">
                  <a:solidFill>
                    <a:schemeClr val="tx1"/>
                  </a:solidFill>
                  <a:effectLst/>
                  <a:latin typeface="Cambria Math" panose="02040503050406030204" pitchFamily="18" charset="0"/>
                  <a:ea typeface="+mn-ea"/>
                  <a:cs typeface="+mn-cs"/>
                </a:rPr>
                <a:t>〖</a:t>
              </a:r>
              <a:r>
                <a:rPr lang="en-US" sz="1100" b="0" i="0">
                  <a:solidFill>
                    <a:schemeClr val="tx1"/>
                  </a:solidFill>
                  <a:effectLst/>
                  <a:latin typeface="Cambria Math"/>
                  <a:ea typeface="+mn-ea"/>
                  <a:cs typeface="+mn-cs"/>
                </a:rPr>
                <a:t>𝑊𝐻𝐹</a:t>
              </a:r>
              <a:r>
                <a:rPr lang="en-US" sz="1100" b="0" i="0">
                  <a:solidFill>
                    <a:schemeClr val="tx1"/>
                  </a:solidFill>
                  <a:effectLst/>
                  <a:latin typeface="Cambria Math" panose="02040503050406030204" pitchFamily="18" charset="0"/>
                  <a:ea typeface="+mn-ea"/>
                  <a:cs typeface="+mn-cs"/>
                </a:rPr>
                <a:t>〗_</a:t>
              </a:r>
              <a:r>
                <a:rPr lang="en-US" sz="1100" b="0" i="0">
                  <a:solidFill>
                    <a:schemeClr val="tx1"/>
                  </a:solidFill>
                  <a:effectLst/>
                  <a:latin typeface="Cambria Math"/>
                  <a:ea typeface="+mn-ea"/>
                  <a:cs typeface="+mn-cs"/>
                </a:rPr>
                <a:t>𝐷)×𝐸𝑆𝐹</a:t>
              </a:r>
              <a:r>
                <a:rPr lang="en-US" sz="1100" b="0" i="0">
                  <a:solidFill>
                    <a:schemeClr val="tx1"/>
                  </a:solidFill>
                  <a:effectLst/>
                  <a:latin typeface="Cambria Math" panose="02040503050406030204" pitchFamily="18" charset="0"/>
                  <a:ea typeface="+mn-ea"/>
                  <a:cs typeface="+mn-cs"/>
                </a:rPr>
                <a:t>)/</a:t>
              </a:r>
              <a:r>
                <a:rPr lang="en-US" sz="1100" b="0" i="0">
                  <a:solidFill>
                    <a:schemeClr val="tx1"/>
                  </a:solidFill>
                  <a:effectLst/>
                  <a:latin typeface="Cambria Math"/>
                  <a:ea typeface="+mn-ea"/>
                  <a:cs typeface="+mn-cs"/>
                </a:rPr>
                <a:t>1,000</a:t>
              </a:r>
              <a:endParaRPr lang="en-US" sz="11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editAs="oneCell">
    <xdr:from>
      <xdr:col>5</xdr:col>
      <xdr:colOff>583407</xdr:colOff>
      <xdr:row>90</xdr:row>
      <xdr:rowOff>35718</xdr:rowOff>
    </xdr:from>
    <xdr:to>
      <xdr:col>7</xdr:col>
      <xdr:colOff>15717</xdr:colOff>
      <xdr:row>92</xdr:row>
      <xdr:rowOff>58056</xdr:rowOff>
    </xdr:to>
    <xdr:pic>
      <xdr:nvPicPr>
        <xdr:cNvPr id="5" name="Picture 4">
          <a:extLst>
            <a:ext uri="{FF2B5EF4-FFF2-40B4-BE49-F238E27FC236}">
              <a16:creationId xmlns:a16="http://schemas.microsoft.com/office/drawing/2014/main" id="{50002908-42CA-4617-90D6-FE199E3CB1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96376" y="11608593"/>
          <a:ext cx="2194560" cy="40333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21"/>
  <sheetViews>
    <sheetView workbookViewId="0">
      <selection activeCell="K21" sqref="K21"/>
    </sheetView>
  </sheetViews>
  <sheetFormatPr defaultColWidth="0" defaultRowHeight="15" zeroHeight="1"/>
  <cols>
    <col min="1" max="1" width="3" style="8" customWidth="1"/>
    <col min="2" max="18" width="9.140625" style="8" customWidth="1"/>
    <col min="19" max="19" width="3" style="8" customWidth="1"/>
    <col min="20" max="21" width="0" style="8" hidden="1" customWidth="1"/>
    <col min="22" max="16384" width="9.140625" style="8" hidden="1"/>
  </cols>
  <sheetData>
    <row r="1"/>
    <row r="2"/>
    <row r="3"/>
    <row r="4"/>
    <row r="5"/>
    <row r="6"/>
    <row r="7"/>
    <row r="8"/>
    <row r="9"/>
    <row r="10"/>
    <row r="11"/>
    <row r="12"/>
    <row r="13"/>
    <row r="14"/>
    <row r="15"/>
    <row r="16"/>
    <row r="17"/>
    <row r="18"/>
    <row r="19"/>
    <row r="20"/>
    <row r="21" ht="91.5" customHeight="1"/>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2:K24"/>
  <sheetViews>
    <sheetView showGridLines="0" workbookViewId="0">
      <selection activeCell="K6" sqref="K6"/>
    </sheetView>
  </sheetViews>
  <sheetFormatPr defaultRowHeight="15"/>
  <cols>
    <col min="1" max="1" width="3.42578125" style="9" customWidth="1"/>
    <col min="2" max="2" width="29" style="9" customWidth="1"/>
    <col min="3" max="5" width="9.140625" style="9"/>
    <col min="6" max="6" width="45" style="9" customWidth="1"/>
    <col min="7" max="7" width="12.7109375" style="9" customWidth="1"/>
    <col min="8" max="8" width="12.7109375" style="9" bestFit="1" customWidth="1"/>
    <col min="9" max="16384" width="9.140625" style="9"/>
  </cols>
  <sheetData>
    <row r="2" spans="2:11" ht="18">
      <c r="B2" s="10" t="s">
        <v>222</v>
      </c>
    </row>
    <row r="3" spans="2:11" ht="30">
      <c r="B3" s="11" t="s">
        <v>10</v>
      </c>
    </row>
    <row r="5" spans="2:11" ht="30" customHeight="1">
      <c r="B5" s="92" t="s">
        <v>286</v>
      </c>
      <c r="C5" s="92"/>
      <c r="D5" s="92"/>
      <c r="E5" s="92"/>
      <c r="F5" s="92"/>
      <c r="G5" s="92"/>
      <c r="H5" s="92"/>
    </row>
    <row r="6" spans="2:11">
      <c r="B6" s="12"/>
    </row>
    <row r="13" spans="2:11">
      <c r="B13" s="9" t="s">
        <v>15</v>
      </c>
    </row>
    <row r="14" spans="2:11" ht="20.25" customHeight="1">
      <c r="B14" s="91" t="s">
        <v>223</v>
      </c>
      <c r="C14" s="91"/>
      <c r="D14" s="91"/>
      <c r="E14" s="91"/>
      <c r="F14" s="91"/>
      <c r="G14" s="91"/>
      <c r="H14" s="91"/>
      <c r="I14" s="91"/>
      <c r="J14" s="91"/>
      <c r="K14" s="91"/>
    </row>
    <row r="15" spans="2:11" ht="18.75" customHeight="1">
      <c r="B15" s="91" t="s">
        <v>224</v>
      </c>
      <c r="C15" s="91"/>
      <c r="D15" s="91"/>
      <c r="E15" s="91"/>
      <c r="F15" s="91"/>
      <c r="G15" s="91"/>
      <c r="H15" s="91"/>
      <c r="I15" s="91"/>
      <c r="J15" s="91"/>
      <c r="K15" s="91"/>
    </row>
    <row r="16" spans="2:11" ht="16.5" customHeight="1">
      <c r="B16" s="91" t="s">
        <v>225</v>
      </c>
      <c r="C16" s="91"/>
      <c r="D16" s="91"/>
      <c r="E16" s="91"/>
      <c r="F16" s="91"/>
      <c r="G16" s="91"/>
      <c r="H16" s="91"/>
      <c r="I16" s="91"/>
      <c r="J16" s="91"/>
      <c r="K16" s="91"/>
    </row>
    <row r="17" spans="2:11" ht="35.25" customHeight="1">
      <c r="B17" s="91" t="s">
        <v>289</v>
      </c>
      <c r="C17" s="91"/>
      <c r="D17" s="91"/>
      <c r="E17" s="91"/>
      <c r="F17" s="91"/>
      <c r="G17" s="91"/>
      <c r="H17" s="91"/>
      <c r="I17" s="91"/>
      <c r="J17" s="91"/>
      <c r="K17" s="91"/>
    </row>
    <row r="18" spans="2:11" ht="32.25" customHeight="1">
      <c r="B18" s="91" t="s">
        <v>292</v>
      </c>
      <c r="C18" s="91"/>
      <c r="D18" s="91"/>
      <c r="E18" s="91"/>
      <c r="F18" s="91"/>
      <c r="G18" s="91"/>
      <c r="H18" s="91"/>
      <c r="I18" s="91"/>
      <c r="J18" s="91"/>
      <c r="K18" s="91"/>
    </row>
    <row r="19" spans="2:11" ht="49.5" customHeight="1">
      <c r="B19" s="91" t="s">
        <v>293</v>
      </c>
      <c r="C19" s="91"/>
      <c r="D19" s="91"/>
      <c r="E19" s="91"/>
      <c r="F19" s="91"/>
      <c r="G19" s="91"/>
      <c r="H19" s="91"/>
      <c r="I19" s="91"/>
      <c r="J19" s="91"/>
      <c r="K19" s="91"/>
    </row>
    <row r="20" spans="2:11" ht="18.75" customHeight="1">
      <c r="B20" s="91" t="s">
        <v>226</v>
      </c>
      <c r="C20" s="91"/>
      <c r="D20" s="91"/>
      <c r="E20" s="91"/>
      <c r="F20" s="91"/>
      <c r="G20" s="91"/>
      <c r="H20" s="91"/>
      <c r="I20" s="91"/>
      <c r="J20" s="91"/>
      <c r="K20" s="91"/>
    </row>
    <row r="21" spans="2:11" ht="34.5" customHeight="1">
      <c r="B21" s="91" t="s">
        <v>290</v>
      </c>
      <c r="C21" s="91"/>
      <c r="D21" s="91"/>
      <c r="E21" s="91"/>
      <c r="F21" s="91"/>
      <c r="G21" s="91"/>
      <c r="H21" s="91"/>
      <c r="I21" s="91"/>
      <c r="J21" s="91"/>
      <c r="K21" s="91"/>
    </row>
    <row r="22" spans="2:11" ht="34.5" customHeight="1">
      <c r="B22" s="91" t="s">
        <v>291</v>
      </c>
      <c r="C22" s="91"/>
      <c r="D22" s="91"/>
      <c r="E22" s="91"/>
      <c r="F22" s="91"/>
      <c r="G22" s="91"/>
      <c r="H22" s="91"/>
      <c r="I22" s="91"/>
      <c r="J22" s="91"/>
      <c r="K22" s="91"/>
    </row>
    <row r="23" spans="2:11" ht="50.25" customHeight="1">
      <c r="B23" s="91" t="s">
        <v>294</v>
      </c>
      <c r="C23" s="91"/>
      <c r="D23" s="91"/>
      <c r="E23" s="91"/>
      <c r="F23" s="91"/>
      <c r="G23" s="91"/>
      <c r="H23" s="91"/>
      <c r="I23" s="91"/>
      <c r="J23" s="91"/>
      <c r="K23" s="91"/>
    </row>
    <row r="24" spans="2:11" ht="33" customHeight="1">
      <c r="B24" s="91" t="s">
        <v>295</v>
      </c>
      <c r="C24" s="91"/>
      <c r="D24" s="91"/>
      <c r="E24" s="91"/>
      <c r="F24" s="91"/>
      <c r="G24" s="91"/>
      <c r="H24" s="91"/>
      <c r="I24" s="91"/>
      <c r="J24" s="91"/>
      <c r="K24" s="91"/>
    </row>
  </sheetData>
  <mergeCells count="12">
    <mergeCell ref="B5:H5"/>
    <mergeCell ref="B14:K14"/>
    <mergeCell ref="B15:K15"/>
    <mergeCell ref="B16:K16"/>
    <mergeCell ref="B17:K17"/>
    <mergeCell ref="B24:K24"/>
    <mergeCell ref="B18:K18"/>
    <mergeCell ref="B20:K20"/>
    <mergeCell ref="B21:K21"/>
    <mergeCell ref="B22:K22"/>
    <mergeCell ref="B23:K23"/>
    <mergeCell ref="B19:K19"/>
  </mergeCells>
  <pageMargins left="0.7" right="0.7" top="0.75" bottom="0.75" header="0.3" footer="0.3"/>
  <pageSetup paperSize="5"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2:XFC134"/>
  <sheetViews>
    <sheetView showGridLines="0" tabSelected="1" zoomScaleNormal="100" workbookViewId="0">
      <selection activeCell="E6" sqref="E6"/>
    </sheetView>
  </sheetViews>
  <sheetFormatPr defaultColWidth="0" defaultRowHeight="15"/>
  <cols>
    <col min="1" max="1" width="3" style="15" customWidth="1"/>
    <col min="2" max="2" width="62.5703125" style="15" bestFit="1" customWidth="1"/>
    <col min="3" max="7" width="20.7109375" style="15" customWidth="1"/>
    <col min="8" max="8" width="10.7109375" style="15" bestFit="1" customWidth="1"/>
    <col min="9" max="9" width="18.5703125" style="15" hidden="1"/>
    <col min="10" max="10" width="36.5703125" style="15" hidden="1"/>
    <col min="11" max="11" width="7.28515625" style="15" hidden="1"/>
    <col min="12" max="12" width="9.5703125" style="15" hidden="1"/>
    <col min="13" max="14" width="11" style="15" hidden="1"/>
    <col min="15" max="15" width="7.5703125" style="15" hidden="1"/>
    <col min="16" max="16" width="12.7109375" style="15" hidden="1"/>
    <col min="17" max="17" width="9.140625" style="15" hidden="1"/>
    <col min="18" max="18" width="11.85546875" style="15" hidden="1"/>
    <col min="19" max="19" width="15.7109375" style="15" hidden="1"/>
    <col min="20" max="21" width="9.140625" style="15" hidden="1"/>
    <col min="22" max="22" width="33.5703125" style="15" hidden="1"/>
    <col min="23" max="23" width="5.5703125" style="15" hidden="1"/>
    <col min="24" max="162" width="0" style="15" hidden="1"/>
    <col min="163" max="16381" width="9.140625" style="15" hidden="1"/>
    <col min="16382" max="16382" width="9.140625" style="15" hidden="1" customWidth="1"/>
    <col min="16383" max="16383" width="9.140625" style="15" hidden="1"/>
    <col min="16384" max="16384" width="26.85546875" style="15" hidden="1"/>
  </cols>
  <sheetData>
    <row r="2" spans="1:15" s="16" customFormat="1" ht="18">
      <c r="A2" s="15"/>
      <c r="B2" s="93" t="s">
        <v>222</v>
      </c>
      <c r="C2" s="93"/>
      <c r="D2" s="93"/>
      <c r="E2" s="93"/>
      <c r="F2" s="93"/>
      <c r="G2" s="93"/>
      <c r="H2" s="15"/>
    </row>
    <row r="3" spans="1:15" s="16" customFormat="1">
      <c r="A3" s="15"/>
      <c r="B3" s="99" t="s">
        <v>70</v>
      </c>
      <c r="C3" s="99"/>
      <c r="D3" s="99"/>
      <c r="E3" s="99"/>
      <c r="F3" s="99"/>
      <c r="G3" s="99"/>
      <c r="H3" s="15"/>
      <c r="O3" s="18"/>
    </row>
    <row r="4" spans="1:15" s="16" customFormat="1" ht="21" customHeight="1">
      <c r="A4" s="15"/>
      <c r="B4" s="99"/>
      <c r="C4" s="99"/>
      <c r="D4" s="99"/>
      <c r="E4" s="99"/>
      <c r="F4" s="99"/>
      <c r="G4" s="99"/>
      <c r="H4" s="15"/>
      <c r="O4" s="18"/>
    </row>
    <row r="5" spans="1:15" s="16" customFormat="1" ht="21" customHeight="1">
      <c r="A5" s="15"/>
      <c r="B5" s="23"/>
      <c r="C5" s="23"/>
      <c r="D5" s="23"/>
      <c r="E5" s="23"/>
      <c r="F5" s="23"/>
      <c r="G5" s="23"/>
      <c r="H5" s="15"/>
      <c r="O5" s="18"/>
    </row>
    <row r="6" spans="1:15" s="16" customFormat="1" ht="15.75">
      <c r="A6" s="15"/>
      <c r="B6" s="9"/>
      <c r="C6" s="25" t="s">
        <v>7</v>
      </c>
      <c r="D6" s="9"/>
      <c r="E6" s="9"/>
      <c r="F6" s="9"/>
      <c r="G6" s="9"/>
      <c r="H6" s="15"/>
    </row>
    <row r="7" spans="1:15" s="16" customFormat="1">
      <c r="A7" s="15"/>
      <c r="B7" s="26" t="s">
        <v>8</v>
      </c>
      <c r="C7" s="58"/>
      <c r="D7" s="9"/>
      <c r="E7" s="9"/>
      <c r="F7" s="9"/>
      <c r="G7" s="9"/>
      <c r="H7" s="15"/>
    </row>
    <row r="8" spans="1:15" s="16" customFormat="1">
      <c r="A8" s="15"/>
      <c r="B8" s="26" t="s">
        <v>9</v>
      </c>
      <c r="C8" s="24"/>
      <c r="D8" s="9"/>
      <c r="E8" s="9"/>
      <c r="F8" s="9"/>
      <c r="G8" s="9"/>
      <c r="H8" s="15"/>
    </row>
    <row r="9" spans="1:15" s="16" customFormat="1">
      <c r="A9" s="15"/>
      <c r="B9" s="26"/>
      <c r="C9" s="9"/>
      <c r="D9" s="9"/>
      <c r="E9" s="9"/>
      <c r="F9" s="9"/>
      <c r="G9" s="9"/>
      <c r="H9" s="15"/>
    </row>
    <row r="10" spans="1:15" s="16" customFormat="1" ht="15.75">
      <c r="A10" s="15"/>
      <c r="B10" s="101" t="s">
        <v>3</v>
      </c>
      <c r="C10" s="101"/>
      <c r="D10" s="101"/>
      <c r="E10" s="101"/>
      <c r="F10" s="101"/>
      <c r="G10" s="101"/>
      <c r="H10" s="15"/>
      <c r="O10" s="18"/>
    </row>
    <row r="11" spans="1:15" s="16" customFormat="1">
      <c r="A11" s="15"/>
      <c r="B11" s="13" t="s">
        <v>80</v>
      </c>
      <c r="C11" s="102"/>
      <c r="D11" s="102"/>
      <c r="E11" s="102"/>
      <c r="F11" s="102"/>
      <c r="G11" s="102"/>
      <c r="H11" s="15"/>
      <c r="O11" s="18"/>
    </row>
    <row r="12" spans="1:15" s="16" customFormat="1">
      <c r="A12" s="15"/>
      <c r="B12" s="13" t="s">
        <v>35</v>
      </c>
      <c r="C12" s="102"/>
      <c r="D12" s="102"/>
      <c r="E12" s="102"/>
      <c r="F12" s="102"/>
      <c r="G12" s="102"/>
      <c r="H12" s="15"/>
      <c r="O12" s="18"/>
    </row>
    <row r="13" spans="1:15" s="16" customFormat="1">
      <c r="A13" s="15"/>
      <c r="B13" s="13" t="s">
        <v>196</v>
      </c>
      <c r="C13" s="102"/>
      <c r="D13" s="102"/>
      <c r="E13" s="102"/>
      <c r="F13" s="102"/>
      <c r="G13" s="102"/>
      <c r="H13" s="15"/>
      <c r="O13" s="18"/>
    </row>
    <row r="14" spans="1:15" s="16" customFormat="1">
      <c r="A14" s="15"/>
      <c r="B14" s="13" t="s">
        <v>272</v>
      </c>
      <c r="C14" s="102"/>
      <c r="D14" s="102"/>
      <c r="E14" s="102"/>
      <c r="F14" s="102"/>
      <c r="G14" s="102"/>
      <c r="H14" s="15"/>
      <c r="O14" s="18"/>
    </row>
    <row r="15" spans="1:15" s="16" customFormat="1">
      <c r="A15" s="15"/>
      <c r="B15" s="13" t="s">
        <v>194</v>
      </c>
      <c r="C15" s="103">
        <v>0.08</v>
      </c>
      <c r="D15" s="103"/>
      <c r="E15" s="103"/>
      <c r="F15" s="103"/>
      <c r="G15" s="103"/>
      <c r="H15" s="15"/>
      <c r="O15" s="18"/>
    </row>
    <row r="16" spans="1:15" s="16" customFormat="1">
      <c r="A16" s="15"/>
      <c r="B16" s="13" t="s">
        <v>193</v>
      </c>
      <c r="C16" s="103"/>
      <c r="D16" s="103"/>
      <c r="E16" s="103"/>
      <c r="F16" s="103"/>
      <c r="G16" s="103"/>
      <c r="H16" s="15"/>
      <c r="O16" s="18"/>
    </row>
    <row r="17" spans="1:15" s="16" customFormat="1" ht="15.75">
      <c r="A17" s="15"/>
      <c r="B17" s="101" t="s">
        <v>42</v>
      </c>
      <c r="C17" s="101"/>
      <c r="D17" s="101"/>
      <c r="E17" s="101"/>
      <c r="F17" s="101"/>
      <c r="G17" s="101"/>
      <c r="H17" s="15"/>
      <c r="O17" s="18"/>
    </row>
    <row r="18" spans="1:15" s="16" customFormat="1">
      <c r="A18" s="15"/>
      <c r="B18" s="30" t="s">
        <v>41</v>
      </c>
      <c r="C18" s="96" t="str">
        <f>IF(_3._Building_Type="", "", VLOOKUP(_3._Building_Type, 'LookUp Tables'!B14:I44, 2, FALSE))</f>
        <v/>
      </c>
      <c r="D18" s="96"/>
      <c r="E18" s="96"/>
      <c r="F18" s="96"/>
      <c r="G18" s="96"/>
      <c r="H18" s="15"/>
      <c r="O18" s="18"/>
    </row>
    <row r="19" spans="1:15" s="16" customFormat="1">
      <c r="A19" s="15"/>
      <c r="B19" s="30" t="s">
        <v>40</v>
      </c>
      <c r="C19" s="98" t="str">
        <f>IF(_3._Building_Type="", "", VLOOKUP(_3._Building_Type, 'LookUp Tables'!B14:F44, 3, FALSE))</f>
        <v/>
      </c>
      <c r="D19" s="98"/>
      <c r="E19" s="98"/>
      <c r="F19" s="98"/>
      <c r="G19" s="98"/>
      <c r="H19" s="15"/>
      <c r="O19" s="18"/>
    </row>
    <row r="20" spans="1:15" s="16" customFormat="1">
      <c r="A20" s="15"/>
      <c r="B20" s="13" t="s">
        <v>197</v>
      </c>
      <c r="C20" s="102"/>
      <c r="D20" s="102"/>
      <c r="E20" s="102"/>
      <c r="F20" s="102"/>
      <c r="G20" s="102"/>
      <c r="H20" s="15"/>
      <c r="O20" s="18"/>
    </row>
    <row r="21" spans="1:15" s="16" customFormat="1">
      <c r="A21" s="15"/>
      <c r="B21" s="31" t="s">
        <v>198</v>
      </c>
      <c r="C21" s="95"/>
      <c r="D21" s="95"/>
      <c r="E21" s="95"/>
      <c r="F21" s="95"/>
      <c r="G21" s="95"/>
      <c r="H21" s="15"/>
      <c r="O21" s="18"/>
    </row>
    <row r="22" spans="1:15" s="16" customFormat="1" ht="15.75">
      <c r="A22" s="15"/>
      <c r="B22" s="97" t="s">
        <v>1</v>
      </c>
      <c r="C22" s="97"/>
      <c r="D22" s="97"/>
      <c r="E22" s="97"/>
      <c r="F22" s="97"/>
      <c r="G22" s="97"/>
      <c r="H22" s="15"/>
      <c r="O22" s="18"/>
    </row>
    <row r="23" spans="1:15" s="16" customFormat="1">
      <c r="A23" s="15"/>
      <c r="B23" s="13" t="s">
        <v>227</v>
      </c>
      <c r="C23" s="57"/>
      <c r="D23" s="57"/>
      <c r="E23" s="57"/>
      <c r="F23" s="57"/>
      <c r="G23" s="57"/>
      <c r="H23" s="15"/>
      <c r="O23" s="18"/>
    </row>
    <row r="24" spans="1:15" s="16" customFormat="1">
      <c r="A24" s="15"/>
      <c r="B24" s="32" t="s">
        <v>1</v>
      </c>
      <c r="C24" s="47">
        <v>1</v>
      </c>
      <c r="D24" s="47">
        <v>2</v>
      </c>
      <c r="E24" s="47">
        <v>3</v>
      </c>
      <c r="F24" s="47">
        <v>4</v>
      </c>
      <c r="G24" s="47">
        <v>5</v>
      </c>
      <c r="H24" s="15"/>
      <c r="O24" s="18"/>
    </row>
    <row r="25" spans="1:15" s="16" customFormat="1">
      <c r="A25" s="15"/>
      <c r="B25" s="13" t="s">
        <v>285</v>
      </c>
      <c r="C25" s="56"/>
      <c r="D25" s="56"/>
      <c r="E25" s="56"/>
      <c r="F25" s="56"/>
      <c r="G25" s="56"/>
      <c r="H25" s="15"/>
      <c r="O25" s="18"/>
    </row>
    <row r="26" spans="1:15" s="16" customFormat="1">
      <c r="A26" s="15"/>
      <c r="B26" s="13" t="s">
        <v>195</v>
      </c>
      <c r="C26" s="56"/>
      <c r="D26" s="56"/>
      <c r="E26" s="56"/>
      <c r="F26" s="56"/>
      <c r="G26" s="56"/>
      <c r="H26" s="15"/>
      <c r="O26" s="18"/>
    </row>
    <row r="27" spans="1:15" s="16" customFormat="1">
      <c r="A27" s="15"/>
      <c r="B27" s="13" t="s">
        <v>36</v>
      </c>
      <c r="C27" s="56"/>
      <c r="D27" s="56"/>
      <c r="E27" s="56"/>
      <c r="F27" s="56"/>
      <c r="G27" s="56"/>
      <c r="H27" s="15"/>
      <c r="O27" s="18"/>
    </row>
    <row r="28" spans="1:15" s="16" customFormat="1">
      <c r="A28" s="15"/>
      <c r="B28" s="13" t="s">
        <v>68</v>
      </c>
      <c r="C28" s="48"/>
      <c r="D28" s="48"/>
      <c r="E28" s="48"/>
      <c r="F28" s="48"/>
      <c r="G28" s="48"/>
      <c r="H28" s="15"/>
      <c r="O28" s="18"/>
    </row>
    <row r="29" spans="1:15" s="16" customFormat="1">
      <c r="A29" s="15"/>
      <c r="B29" s="13" t="s">
        <v>69</v>
      </c>
      <c r="C29" s="49"/>
      <c r="D29" s="49"/>
      <c r="E29" s="49"/>
      <c r="F29" s="49"/>
      <c r="G29" s="49"/>
      <c r="H29" s="15"/>
      <c r="O29" s="18"/>
    </row>
    <row r="30" spans="1:15" s="16" customFormat="1">
      <c r="A30" s="15"/>
      <c r="B30" s="13" t="s">
        <v>49</v>
      </c>
      <c r="C30" s="50"/>
      <c r="D30" s="50"/>
      <c r="E30" s="50"/>
      <c r="F30" s="50"/>
      <c r="G30" s="50"/>
      <c r="H30" s="15"/>
      <c r="O30" s="18"/>
    </row>
    <row r="31" spans="1:15" s="16" customFormat="1">
      <c r="A31" s="15"/>
      <c r="B31" s="100" t="s">
        <v>46</v>
      </c>
      <c r="C31" s="100"/>
      <c r="D31" s="100"/>
      <c r="E31" s="100"/>
      <c r="F31" s="100"/>
      <c r="G31" s="100"/>
      <c r="H31" s="15"/>
      <c r="O31" s="18"/>
    </row>
    <row r="32" spans="1:15" s="16" customFormat="1">
      <c r="A32" s="15"/>
      <c r="B32" s="30" t="s">
        <v>44</v>
      </c>
      <c r="C32" s="51" t="str">
        <f>IF(C30="", "", IF(C30="Custom", "N/A", VLOOKUP(C30, 'LookUp Tables'!$L$13:$N$25, 2, FALSE)))</f>
        <v/>
      </c>
      <c r="D32" s="51" t="str">
        <f>IF(D30="", "", IF(D30="Custom", "N/A", VLOOKUP(D30, 'LookUp Tables'!$L$13:$N$25, 2, FALSE)))</f>
        <v/>
      </c>
      <c r="E32" s="51" t="str">
        <f>IF(E30="", "", IF(E30="Custom", "N/A", VLOOKUP(E30, 'LookUp Tables'!$L$13:$N$25, 2, FALSE)))</f>
        <v/>
      </c>
      <c r="F32" s="51" t="str">
        <f>IF(F30="", "", IF(F30="Custom", "N/A", VLOOKUP(F30, 'LookUp Tables'!$L$13:$N$25, 2, FALSE)))</f>
        <v/>
      </c>
      <c r="G32" s="51" t="str">
        <f>IF(G30="", "", IF(G30="Custom", "N/A", VLOOKUP(G30, 'LookUp Tables'!$L$13:$N$25, 2, FALSE)))</f>
        <v/>
      </c>
      <c r="H32" s="15"/>
      <c r="O32" s="18"/>
    </row>
    <row r="33" spans="1:15" s="16" customFormat="1">
      <c r="A33" s="15"/>
      <c r="B33" s="30" t="s">
        <v>45</v>
      </c>
      <c r="C33" s="52" t="str">
        <f>IF(C30="", "", IF(C30="Custom", "N/A", VLOOKUP(C30, 'LookUp Tables'!$L$13:$N$25, 3, FALSE)))</f>
        <v/>
      </c>
      <c r="D33" s="52" t="str">
        <f>IF(D30="", "", IF(D30="Custom", "N/A", VLOOKUP(D30, 'LookUp Tables'!$L$13:$N$25, 3, FALSE)))</f>
        <v/>
      </c>
      <c r="E33" s="52" t="str">
        <f>IF(E30="", "", IF(E30="Custom", "N/A", VLOOKUP(E30, 'LookUp Tables'!$L$13:$N$25, 3, FALSE)))</f>
        <v/>
      </c>
      <c r="F33" s="52" t="str">
        <f>IF(F30="", "", IF(F30="Custom", "N/A", VLOOKUP(F30, 'LookUp Tables'!$L$13:$N$25, 3, FALSE)))</f>
        <v/>
      </c>
      <c r="G33" s="52" t="str">
        <f>IF(G30="", "", IF(G30="Custom", "N/A", VLOOKUP(G30, 'LookUp Tables'!$L$13:$N$25, 3, FALSE)))</f>
        <v/>
      </c>
      <c r="H33" s="15"/>
      <c r="O33" s="18"/>
    </row>
    <row r="34" spans="1:15" s="16" customFormat="1">
      <c r="A34" s="15"/>
      <c r="B34" s="30" t="s">
        <v>43</v>
      </c>
      <c r="C34" s="53" t="str">
        <f>IF(C30="", "", IF(C30="Custom","Customer","Program Default"))</f>
        <v/>
      </c>
      <c r="D34" s="53" t="str">
        <f>IF(D30="", "", IF(D30="Custom","Customer","Program Default"))</f>
        <v/>
      </c>
      <c r="E34" s="53" t="str">
        <f>IF(E30="", "", IF(E30="Custom","Customer","Program Default"))</f>
        <v/>
      </c>
      <c r="F34" s="53" t="str">
        <f>IF(F30="", "", IF(F30="Custom","Customer","Program Default"))</f>
        <v/>
      </c>
      <c r="G34" s="53" t="str">
        <f>IF(G30="", "", IF(G30="Custom","Customer","Program Default"))</f>
        <v/>
      </c>
      <c r="H34" s="15"/>
      <c r="O34" s="18"/>
    </row>
    <row r="35" spans="1:15" s="16" customFormat="1">
      <c r="A35" s="15"/>
      <c r="B35" s="13" t="s">
        <v>48</v>
      </c>
      <c r="C35" s="54"/>
      <c r="D35" s="54"/>
      <c r="E35" s="54"/>
      <c r="F35" s="54"/>
      <c r="G35" s="54"/>
      <c r="H35" s="15"/>
      <c r="O35" s="18"/>
    </row>
    <row r="36" spans="1:15" s="16" customFormat="1">
      <c r="A36" s="15"/>
      <c r="B36" s="14" t="s">
        <v>51</v>
      </c>
      <c r="C36" s="55"/>
      <c r="D36" s="55"/>
      <c r="E36" s="55"/>
      <c r="F36" s="55"/>
      <c r="G36" s="55"/>
      <c r="H36" s="15"/>
      <c r="O36" s="18"/>
    </row>
    <row r="37" spans="1:15" s="16" customFormat="1" ht="15.75">
      <c r="A37" s="15"/>
      <c r="B37" s="97" t="s">
        <v>2</v>
      </c>
      <c r="C37" s="97"/>
      <c r="D37" s="97"/>
      <c r="E37" s="97"/>
      <c r="F37" s="97"/>
      <c r="G37" s="97"/>
      <c r="H37" s="15"/>
      <c r="N37" s="18"/>
    </row>
    <row r="38" spans="1:15" s="16" customFormat="1">
      <c r="A38" s="15"/>
      <c r="B38" s="13" t="s">
        <v>228</v>
      </c>
      <c r="C38" s="57"/>
      <c r="D38" s="57"/>
      <c r="E38" s="57"/>
      <c r="F38" s="57"/>
      <c r="G38" s="57"/>
      <c r="H38" s="15"/>
      <c r="N38" s="18"/>
    </row>
    <row r="39" spans="1:15" s="16" customFormat="1">
      <c r="A39" s="15"/>
      <c r="B39" s="32" t="s">
        <v>2</v>
      </c>
      <c r="C39" s="47">
        <v>1</v>
      </c>
      <c r="D39" s="47">
        <v>2</v>
      </c>
      <c r="E39" s="47">
        <v>3</v>
      </c>
      <c r="F39" s="47">
        <v>4</v>
      </c>
      <c r="G39" s="47">
        <v>5</v>
      </c>
      <c r="H39" s="15"/>
      <c r="N39" s="18"/>
    </row>
    <row r="40" spans="1:15" s="16" customFormat="1">
      <c r="A40" s="15"/>
      <c r="B40" s="13" t="s">
        <v>36</v>
      </c>
      <c r="C40" s="56"/>
      <c r="D40" s="56"/>
      <c r="E40" s="56"/>
      <c r="F40" s="56"/>
      <c r="G40" s="56"/>
      <c r="H40" s="15"/>
      <c r="N40" s="18"/>
    </row>
    <row r="41" spans="1:15" s="16" customFormat="1">
      <c r="A41" s="15"/>
      <c r="B41" s="13" t="s">
        <v>37</v>
      </c>
      <c r="C41" s="48"/>
      <c r="D41" s="48"/>
      <c r="E41" s="48"/>
      <c r="F41" s="48"/>
      <c r="G41" s="48"/>
      <c r="H41" s="15"/>
      <c r="N41" s="18"/>
    </row>
    <row r="42" spans="1:15" s="16" customFormat="1">
      <c r="A42" s="15"/>
      <c r="B42" s="13" t="s">
        <v>38</v>
      </c>
      <c r="C42" s="49"/>
      <c r="D42" s="49"/>
      <c r="E42" s="49"/>
      <c r="F42" s="49"/>
      <c r="G42" s="49"/>
      <c r="H42" s="15"/>
      <c r="O42" s="18"/>
    </row>
    <row r="43" spans="1:15" s="16" customFormat="1" ht="30">
      <c r="A43" s="15"/>
      <c r="B43" s="27" t="s">
        <v>50</v>
      </c>
      <c r="C43" s="50"/>
      <c r="D43" s="50"/>
      <c r="E43" s="50"/>
      <c r="F43" s="50"/>
      <c r="G43" s="50"/>
      <c r="H43" s="15"/>
      <c r="O43" s="18"/>
    </row>
    <row r="44" spans="1:15" s="16" customFormat="1">
      <c r="A44" s="15"/>
      <c r="B44" s="100" t="s">
        <v>47</v>
      </c>
      <c r="C44" s="100"/>
      <c r="D44" s="100"/>
      <c r="E44" s="100"/>
      <c r="F44" s="100"/>
      <c r="G44" s="100"/>
      <c r="H44" s="15"/>
      <c r="O44" s="18"/>
    </row>
    <row r="45" spans="1:15" s="16" customFormat="1">
      <c r="A45" s="15"/>
      <c r="B45" s="30" t="s">
        <v>44</v>
      </c>
      <c r="C45" s="51" t="str">
        <f>IF(C43="", "", IF(C43="Custom", "N/A", VLOOKUP(C43, 'LookUp Tables'!$L$13:$N$25, 2, FALSE)))</f>
        <v/>
      </c>
      <c r="D45" s="51" t="str">
        <f>IF(D43="", "", IF(D43="Custom", "N/A", VLOOKUP(D43, 'LookUp Tables'!$L$13:$N$25, 2, FALSE)))</f>
        <v/>
      </c>
      <c r="E45" s="51" t="str">
        <f>IF(E43="", "", IF(E43="Custom", "N/A", VLOOKUP(E43, 'LookUp Tables'!$L$13:$N$25, 2, FALSE)))</f>
        <v/>
      </c>
      <c r="F45" s="51" t="str">
        <f>IF(F43="", "", IF(F43="Custom", "N/A", VLOOKUP(F43, 'LookUp Tables'!$L$13:$N$25, 2, FALSE)))</f>
        <v/>
      </c>
      <c r="G45" s="51" t="str">
        <f>IF(G43="", "", IF(G43="Custom", "N/A", VLOOKUP(G43, 'LookUp Tables'!$L$13:$N$25, 2, FALSE)))</f>
        <v/>
      </c>
      <c r="H45" s="15"/>
      <c r="O45" s="18"/>
    </row>
    <row r="46" spans="1:15" s="16" customFormat="1">
      <c r="A46" s="15"/>
      <c r="B46" s="30" t="s">
        <v>45</v>
      </c>
      <c r="C46" s="52" t="str">
        <f>IF(C43="", "", IF(C43="Custom", "N/A", VLOOKUP(C43, 'LookUp Tables'!$L$13:$N$25, 3, FALSE)))</f>
        <v/>
      </c>
      <c r="D46" s="52" t="str">
        <f>IF(D43="", "", IF(D43="Custom", "N/A", VLOOKUP(D43, 'LookUp Tables'!$L$13:$N$25, 3, FALSE)))</f>
        <v/>
      </c>
      <c r="E46" s="52" t="str">
        <f>IF(E43="", "", IF(E43="Custom", "N/A", VLOOKUP(E43, 'LookUp Tables'!$L$13:$N$25, 3, FALSE)))</f>
        <v/>
      </c>
      <c r="F46" s="52" t="str">
        <f>IF(F43="", "", IF(F43="Custom", "N/A", VLOOKUP(F43, 'LookUp Tables'!$L$13:$N$25, 3, FALSE)))</f>
        <v/>
      </c>
      <c r="G46" s="52" t="str">
        <f>IF(G43="", "", IF(G43="Custom", "N/A", VLOOKUP(G43, 'LookUp Tables'!$L$13:$N$25, 3, FALSE)))</f>
        <v/>
      </c>
      <c r="H46" s="15"/>
      <c r="O46" s="18"/>
    </row>
    <row r="47" spans="1:15" s="16" customFormat="1">
      <c r="A47" s="15"/>
      <c r="B47" s="30" t="s">
        <v>43</v>
      </c>
      <c r="C47" s="53" t="str">
        <f>IF(C43="", "", IF(C43="Custom","Customer","Program Default"))</f>
        <v/>
      </c>
      <c r="D47" s="53" t="str">
        <f>IF(D43="", "", IF(D43="Custom","Customer","Program Default"))</f>
        <v/>
      </c>
      <c r="E47" s="53" t="str">
        <f>IF(E43="", "", IF(E43="Custom","Customer","Program Default"))</f>
        <v/>
      </c>
      <c r="F47" s="53" t="str">
        <f>IF(F43="", "", IF(F43="Custom","Customer","Program Default"))</f>
        <v/>
      </c>
      <c r="G47" s="53" t="str">
        <f>IF(G43="", "", IF(G43="Custom","Customer","Program Default"))</f>
        <v/>
      </c>
      <c r="H47" s="15"/>
      <c r="O47" s="18"/>
    </row>
    <row r="48" spans="1:15" s="16" customFormat="1">
      <c r="A48" s="15"/>
      <c r="B48" s="13" t="s">
        <v>48</v>
      </c>
      <c r="C48" s="54"/>
      <c r="D48" s="54"/>
      <c r="E48" s="54"/>
      <c r="F48" s="54"/>
      <c r="G48" s="54"/>
      <c r="H48" s="15"/>
      <c r="O48" s="18"/>
    </row>
    <row r="49" spans="1:15" s="16" customFormat="1">
      <c r="A49" s="15"/>
      <c r="B49" s="14" t="s">
        <v>51</v>
      </c>
      <c r="C49" s="55"/>
      <c r="D49" s="55"/>
      <c r="E49" s="55"/>
      <c r="F49" s="55"/>
      <c r="G49" s="55"/>
      <c r="H49" s="15"/>
      <c r="O49" s="18"/>
    </row>
    <row r="50" spans="1:15" s="16" customFormat="1" ht="15.75" hidden="1">
      <c r="A50" s="15"/>
      <c r="B50" s="109"/>
      <c r="C50" s="109"/>
      <c r="D50" s="109"/>
      <c r="E50" s="109"/>
      <c r="F50" s="109"/>
      <c r="G50" s="109"/>
      <c r="H50" s="17" t="s">
        <v>39</v>
      </c>
      <c r="O50" s="18"/>
    </row>
    <row r="51" spans="1:15" s="16" customFormat="1" ht="15.75" hidden="1">
      <c r="A51" s="15"/>
      <c r="B51" s="110" t="s">
        <v>33</v>
      </c>
      <c r="C51" s="110"/>
      <c r="D51" s="110"/>
      <c r="E51" s="110"/>
      <c r="F51" s="110"/>
      <c r="G51" s="110"/>
      <c r="H51" s="17" t="s">
        <v>39</v>
      </c>
      <c r="N51" s="18"/>
    </row>
    <row r="52" spans="1:15" s="16" customFormat="1" ht="15.75" hidden="1">
      <c r="A52" s="15"/>
      <c r="B52" s="33"/>
      <c r="C52" s="33"/>
      <c r="D52" s="33"/>
      <c r="E52" s="33"/>
      <c r="F52" s="33"/>
      <c r="G52" s="33"/>
      <c r="H52" s="17" t="s">
        <v>39</v>
      </c>
      <c r="N52" s="18"/>
    </row>
    <row r="53" spans="1:15" s="16" customFormat="1" ht="15.75" hidden="1">
      <c r="A53" s="15"/>
      <c r="B53" s="34" t="s">
        <v>14</v>
      </c>
      <c r="C53" s="69">
        <f>IF(_3._Building_Type="", 0, IF(C26="Yes", 'LookUp Tables'!$C$14, IF($C$20="Custom",_2._Customer_Operating_Hours,_1._Program_Operating_Hours_for_Your_Building_Type)))</f>
        <v>0</v>
      </c>
      <c r="D53" s="69">
        <f>IF(_3._Building_Type="", 0, IF(D26="Yes", 'LookUp Tables'!$C$14, IF($C$20="Custom",_2._Customer_Operating_Hours,_1._Program_Operating_Hours_for_Your_Building_Type)))</f>
        <v>0</v>
      </c>
      <c r="E53" s="69">
        <f>IF(_3._Building_Type="", 0, IF(E26="Yes", 'LookUp Tables'!$C$14, IF($C$20="Custom",_2._Customer_Operating_Hours,_1._Program_Operating_Hours_for_Your_Building_Type)))</f>
        <v>0</v>
      </c>
      <c r="F53" s="69">
        <f>IF(_3._Building_Type="", 0, IF(F26="Yes", 'LookUp Tables'!$C$14, IF($C$20="Custom",_2._Customer_Operating_Hours,_1._Program_Operating_Hours_for_Your_Building_Type)))</f>
        <v>0</v>
      </c>
      <c r="G53" s="69">
        <f>IF(_3._Building_Type="", 0, IF(G26="Yes", 'LookUp Tables'!$C$14, IF($C$20="Custom",_2._Customer_Operating_Hours,_1._Program_Operating_Hours_for_Your_Building_Type)))</f>
        <v>0</v>
      </c>
      <c r="H53" s="17" t="s">
        <v>39</v>
      </c>
      <c r="J53" s="18"/>
      <c r="O53" s="18"/>
    </row>
    <row r="54" spans="1:15" s="16" customFormat="1" ht="15.75" hidden="1">
      <c r="A54" s="15"/>
      <c r="B54" s="34" t="s">
        <v>13</v>
      </c>
      <c r="C54" s="70" t="e">
        <f>IF(C26="Yes",0, IF(_2._Customer_Operating_Hours&gt;=8760, 1, VLOOKUP( _3._Building_Type, 'LookUp Tables'!$B$14:$I$44, 3, FALSE)))</f>
        <v>#N/A</v>
      </c>
      <c r="D54" s="70" t="e">
        <f>IF(D26="Yes",0, IF(_2._Customer_Operating_Hours&gt;=8760, 1, VLOOKUP( _3._Building_Type, 'LookUp Tables'!$B$14:$I$44, 3, FALSE)))</f>
        <v>#N/A</v>
      </c>
      <c r="E54" s="70" t="e">
        <f>IF(E26="Yes",0, IF(_2._Customer_Operating_Hours&gt;=8760, 1, VLOOKUP( _3._Building_Type, 'LookUp Tables'!$B$14:$I$44, 3, FALSE)))</f>
        <v>#N/A</v>
      </c>
      <c r="F54" s="70" t="e">
        <f>IF(F26="Yes",0, IF(_2._Customer_Operating_Hours&gt;=8760, 1, VLOOKUP( _3._Building_Type, 'LookUp Tables'!$B$14:$I$44, 3, FALSE)))</f>
        <v>#N/A</v>
      </c>
      <c r="G54" s="70" t="e">
        <f>IF(G26="Yes",0, IF(_2._Customer_Operating_Hours&gt;=8760, 1, VLOOKUP( _3._Building_Type, 'LookUp Tables'!$B$14:$I$44, 3, FALSE)))</f>
        <v>#N/A</v>
      </c>
      <c r="H54" s="17" t="s">
        <v>39</v>
      </c>
      <c r="J54" s="18"/>
      <c r="O54" s="18"/>
    </row>
    <row r="55" spans="1:15" s="16" customFormat="1" ht="15.75" hidden="1">
      <c r="A55" s="15"/>
      <c r="B55" s="34" t="s">
        <v>21</v>
      </c>
      <c r="C55" s="70" t="e">
        <f>IF(C26="Yes", 1, IF(C$25="No", 1, VLOOKUP($C$13, 'LookUp Tables'!$B$14:$I$44, 4, FALSE)))</f>
        <v>#N/A</v>
      </c>
      <c r="D55" s="70" t="e">
        <f>IF(D26="Yes", 1, IF(D$25="No", 1, VLOOKUP($C$13, 'LookUp Tables'!$B$14:$I$44, 4, FALSE)))</f>
        <v>#N/A</v>
      </c>
      <c r="E55" s="70" t="e">
        <f>IF(E26="Yes", 1, IF(E$25="No", 1, VLOOKUP($C$13, 'LookUp Tables'!$B$14:$I$44, 4, FALSE)))</f>
        <v>#N/A</v>
      </c>
      <c r="F55" s="70" t="e">
        <f>IF(F26="Yes", 1, IF(F$25="No", 1, VLOOKUP($C$13, 'LookUp Tables'!$B$14:$I$44, 4, FALSE)))</f>
        <v>#N/A</v>
      </c>
      <c r="G55" s="70" t="e">
        <f>IF(G26="Yes", 1, IF(G$25="No", 1, VLOOKUP($C$13, 'LookUp Tables'!$B$14:$I$44, 4, FALSE)))</f>
        <v>#N/A</v>
      </c>
      <c r="H55" s="17" t="s">
        <v>39</v>
      </c>
      <c r="J55" s="18"/>
      <c r="O55" s="18"/>
    </row>
    <row r="56" spans="1:15" s="16" customFormat="1" ht="15.75" hidden="1">
      <c r="A56" s="15"/>
      <c r="B56" s="34" t="s">
        <v>22</v>
      </c>
      <c r="C56" s="70" t="e">
        <f>IF(C26="Yes", 1, IF(C$25="No", 1, VLOOKUP($C$13, 'LookUp Tables'!$B$14:$I$44, 5, FALSE)))</f>
        <v>#N/A</v>
      </c>
      <c r="D56" s="70" t="e">
        <f>IF(D26="Yes", 1, IF(D$25="No", 1, VLOOKUP($C$13, 'LookUp Tables'!$B$14:$I$44, 5, FALSE)))</f>
        <v>#N/A</v>
      </c>
      <c r="E56" s="70" t="e">
        <f>IF(E26="Yes", 1, IF(E$25="No", 1, VLOOKUP($C$13, 'LookUp Tables'!$B$14:$I$44, 5, FALSE)))</f>
        <v>#N/A</v>
      </c>
      <c r="F56" s="70" t="e">
        <f>IF(F26="Yes", 1, IF(F$25="No", 1, VLOOKUP($C$13, 'LookUp Tables'!$B$14:$I$44, 5, FALSE)))</f>
        <v>#N/A</v>
      </c>
      <c r="G56" s="70" t="e">
        <f>IF(G26="Yes", 1, IF(G$25="No", 1, VLOOKUP($C$13, 'LookUp Tables'!$B$14:$I$44, 5, FALSE)))</f>
        <v>#N/A</v>
      </c>
      <c r="H56" s="17" t="s">
        <v>39</v>
      </c>
      <c r="J56" s="18"/>
      <c r="O56" s="18"/>
    </row>
    <row r="57" spans="1:15" s="16" customFormat="1" ht="15.75" hidden="1">
      <c r="A57" s="15"/>
      <c r="B57" s="34" t="s">
        <v>244</v>
      </c>
      <c r="C57" s="68" t="e">
        <f>IF(C26="Yes", 0, INDEX('LookUp Tables'!$L$31:$M$33, MATCH($C$14, 'LookUp Tables'!$L$31:$L$33, 0), 2))</f>
        <v>#N/A</v>
      </c>
      <c r="D57" s="68" t="e">
        <f>IF(D26="Yes", 0, INDEX('LookUp Tables'!$L$31:$M$33, MATCH($C$14, 'LookUp Tables'!$L$31:$L$33, 0), 2))</f>
        <v>#N/A</v>
      </c>
      <c r="E57" s="68" t="e">
        <f>IF(E26="Yes", 0, INDEX('LookUp Tables'!$L$31:$M$33, MATCH($C$14, 'LookUp Tables'!$L$31:$L$33, 0), 2))</f>
        <v>#N/A</v>
      </c>
      <c r="F57" s="68" t="e">
        <f>IF(F26="Yes", 0, INDEX('LookUp Tables'!$L$31:$M$33, MATCH($C$14, 'LookUp Tables'!$L$31:$L$33, 0), 2))</f>
        <v>#N/A</v>
      </c>
      <c r="G57" s="68" t="e">
        <f>IF(G26="Yes", 0, INDEX('LookUp Tables'!$L$31:$M$33, MATCH($C$14, 'LookUp Tables'!$L$31:$L$33, 0), 2))</f>
        <v>#N/A</v>
      </c>
      <c r="H57" s="17"/>
      <c r="J57" s="18"/>
      <c r="O57" s="18"/>
    </row>
    <row r="58" spans="1:15" s="16" customFormat="1" ht="15.75" hidden="1">
      <c r="A58" s="15"/>
      <c r="B58" s="34" t="s">
        <v>23</v>
      </c>
      <c r="C58" s="74">
        <f>IF(C30="Custom", C35, IF(C30="", 0, VLOOKUP(C30, 'LookUp Tables'!$L$13:$N$25, 2, FALSE)))</f>
        <v>0</v>
      </c>
      <c r="D58" s="74">
        <f>IF(D30="Custom", D35, IF(D30="", 0, VLOOKUP(D30, 'LookUp Tables'!$L$13:$N$25, 2, FALSE)))</f>
        <v>0</v>
      </c>
      <c r="E58" s="74">
        <f>IF(E30="Custom", E35, IF(E30="", 0, VLOOKUP(E30, 'LookUp Tables'!$L$13:$N$25, 2, FALSE)))</f>
        <v>0</v>
      </c>
      <c r="F58" s="74">
        <f>IF(F30="Custom", F35, IF(F30="", 0, VLOOKUP(F30, 'LookUp Tables'!$L$13:$N$25, 2, FALSE)))</f>
        <v>0</v>
      </c>
      <c r="G58" s="74">
        <f>IF(G30="Custom", G35, IF(G30="", 0, VLOOKUP(G30, 'LookUp Tables'!$L$13:$N$25, 2, FALSE)))</f>
        <v>0</v>
      </c>
      <c r="H58" s="17" t="s">
        <v>39</v>
      </c>
      <c r="J58" s="18"/>
      <c r="O58" s="18"/>
    </row>
    <row r="59" spans="1:15" s="16" customFormat="1" ht="15.75" hidden="1">
      <c r="A59" s="15"/>
      <c r="B59" s="34" t="s">
        <v>24</v>
      </c>
      <c r="C59" s="74">
        <f>IF(C43="Custom", C48, IF(C43="", 0, VLOOKUP(C43, 'LookUp Tables'!$L$13:$N$25, 2, FALSE)))</f>
        <v>0</v>
      </c>
      <c r="D59" s="74">
        <f>IF(D43="Custom", D48, IF(D43="", 0, VLOOKUP(D43, 'LookUp Tables'!$L$13:$N$25, 2, FALSE)))</f>
        <v>0</v>
      </c>
      <c r="E59" s="74">
        <f>IF(E43="Custom", E48, IF(E43="", 0, VLOOKUP(E43, 'LookUp Tables'!$L$13:$N$25, 2, FALSE)))</f>
        <v>0</v>
      </c>
      <c r="F59" s="74">
        <f>IF(F43="Custom", F48, IF(F43="", 0, VLOOKUP(F43, 'LookUp Tables'!$L$13:$N$25, 2, FALSE)))</f>
        <v>0</v>
      </c>
      <c r="G59" s="74">
        <f>IF(G43="Custom", G48, IF(G43="", 0, VLOOKUP(G43, 'LookUp Tables'!$L$13:$N$25, 2, FALSE)))</f>
        <v>0</v>
      </c>
      <c r="H59" s="17" t="s">
        <v>39</v>
      </c>
      <c r="J59" s="18"/>
      <c r="O59" s="18"/>
    </row>
    <row r="60" spans="1:15" s="16" customFormat="1" ht="15.75" hidden="1">
      <c r="A60" s="15"/>
      <c r="B60" s="34" t="s">
        <v>25</v>
      </c>
      <c r="C60" s="67">
        <f>IF(C30="Custom", C36, IF(C30="", 0, VLOOKUP(C30, 'LookUp Tables'!$L$13:$N$25, 3, FALSE)))</f>
        <v>0</v>
      </c>
      <c r="D60" s="67">
        <f>IF(D30="Custom", D36, IF(D30="", 0, VLOOKUP(D30, 'LookUp Tables'!$L$13:$N$25, 3, FALSE)))</f>
        <v>0</v>
      </c>
      <c r="E60" s="67">
        <f>IF(E30="Custom", E36, IF(E30="", 0, VLOOKUP(E30, 'LookUp Tables'!$L$13:$N$25, 3, FALSE)))</f>
        <v>0</v>
      </c>
      <c r="F60" s="67">
        <f>IF(F30="Custom", F36, IF(F30="", 0, VLOOKUP(F30, 'LookUp Tables'!$L$13:$N$25, 3, FALSE)))</f>
        <v>0</v>
      </c>
      <c r="G60" s="67">
        <f>IF(G30="Custom", G36, IF(G30="", 0, VLOOKUP(G30, 'LookUp Tables'!$L$13:$N$25, 3, FALSE)))</f>
        <v>0</v>
      </c>
      <c r="H60" s="17" t="s">
        <v>39</v>
      </c>
      <c r="J60" s="18"/>
      <c r="O60" s="18"/>
    </row>
    <row r="61" spans="1:15" s="16" customFormat="1" ht="15.75" hidden="1">
      <c r="A61" s="15"/>
      <c r="B61" s="34" t="s">
        <v>26</v>
      </c>
      <c r="C61" s="67">
        <f>IF(C43="Custom", C49, IF(C43="", 0, VLOOKUP(C43, 'LookUp Tables'!$L$13:$N$25, 3, FALSE)))</f>
        <v>0</v>
      </c>
      <c r="D61" s="67">
        <f>IF(D43="Custom", D49, IF(D43="", 0, VLOOKUP(D43, 'LookUp Tables'!$L$13:$N$25, 3, FALSE)))</f>
        <v>0</v>
      </c>
      <c r="E61" s="67">
        <f>IF(E43="Custom", E49, IF(E43="", 0, VLOOKUP(E43, 'LookUp Tables'!$L$13:$N$25, 3, FALSE)))</f>
        <v>0</v>
      </c>
      <c r="F61" s="67">
        <f>IF(F43="Custom", F49, IF(F43="", 0, VLOOKUP(F43, 'LookUp Tables'!$L$13:$N$25, 3, FALSE)))</f>
        <v>0</v>
      </c>
      <c r="G61" s="67">
        <f>IF(G43="Custom", G49, IF(G43="", 0, VLOOKUP(G43, 'LookUp Tables'!$L$13:$N$25, 3, FALSE)))</f>
        <v>0</v>
      </c>
      <c r="H61" s="17" t="s">
        <v>39</v>
      </c>
      <c r="J61" s="18"/>
      <c r="O61" s="18"/>
    </row>
    <row r="62" spans="1:15" s="16" customFormat="1" ht="15.75" hidden="1">
      <c r="A62" s="15"/>
      <c r="B62" s="34" t="s">
        <v>191</v>
      </c>
      <c r="C62" s="71" t="e">
        <f>(C28*C29)*C53*(C55-C57)/1000</f>
        <v>#N/A</v>
      </c>
      <c r="D62" s="71" t="e">
        <f>(D28*D29)*D53*(D55-D57)/1000</f>
        <v>#N/A</v>
      </c>
      <c r="E62" s="71" t="e">
        <f t="shared" ref="E62:G62" si="0">(E28*E29)*E53*(E55-E57)/1000</f>
        <v>#N/A</v>
      </c>
      <c r="F62" s="71" t="e">
        <f t="shared" si="0"/>
        <v>#N/A</v>
      </c>
      <c r="G62" s="71" t="e">
        <f t="shared" si="0"/>
        <v>#N/A</v>
      </c>
      <c r="H62" s="17" t="s">
        <v>39</v>
      </c>
      <c r="J62" s="18"/>
      <c r="O62" s="18"/>
    </row>
    <row r="63" spans="1:15" s="16" customFormat="1" ht="15.75" hidden="1">
      <c r="A63" s="15"/>
      <c r="B63" s="34" t="s">
        <v>187</v>
      </c>
      <c r="C63" s="71" t="e">
        <f>(C28*C29*C53*(C55-C57)*C58/1000)</f>
        <v>#N/A</v>
      </c>
      <c r="D63" s="71" t="e">
        <f t="shared" ref="D63:G63" si="1">(D28*D29*D53*(D55-D57)*D58/1000)</f>
        <v>#N/A</v>
      </c>
      <c r="E63" s="71" t="e">
        <f t="shared" si="1"/>
        <v>#N/A</v>
      </c>
      <c r="F63" s="71" t="e">
        <f t="shared" si="1"/>
        <v>#N/A</v>
      </c>
      <c r="G63" s="71" t="e">
        <f t="shared" si="1"/>
        <v>#N/A</v>
      </c>
      <c r="H63" s="17" t="s">
        <v>39</v>
      </c>
      <c r="J63" s="18"/>
      <c r="O63" s="18"/>
    </row>
    <row r="64" spans="1:15" s="16" customFormat="1" ht="15.75" hidden="1">
      <c r="A64" s="15"/>
      <c r="B64" s="34" t="s">
        <v>186</v>
      </c>
      <c r="C64" s="71" t="e">
        <f>C62-C63</f>
        <v>#N/A</v>
      </c>
      <c r="D64" s="71" t="e">
        <f t="shared" ref="D64:G64" si="2">D62-D63</f>
        <v>#N/A</v>
      </c>
      <c r="E64" s="71" t="e">
        <f>E62-E63</f>
        <v>#N/A</v>
      </c>
      <c r="F64" s="71" t="e">
        <f t="shared" si="2"/>
        <v>#N/A</v>
      </c>
      <c r="G64" s="71" t="e">
        <f t="shared" si="2"/>
        <v>#N/A</v>
      </c>
      <c r="H64" s="17" t="s">
        <v>39</v>
      </c>
      <c r="J64" s="18"/>
      <c r="O64" s="18"/>
    </row>
    <row r="65" spans="1:15" s="16" customFormat="1" ht="15.75" hidden="1">
      <c r="A65" s="15"/>
      <c r="B65" s="34" t="s">
        <v>78</v>
      </c>
      <c r="C65" s="71" t="e">
        <f>(C41*C42)*C53*(C55-C57)/1000</f>
        <v>#N/A</v>
      </c>
      <c r="D65" s="71" t="e">
        <f t="shared" ref="D65:G65" si="3">(D41*D42)*D53*(D55-D57)/1000</f>
        <v>#N/A</v>
      </c>
      <c r="E65" s="71" t="e">
        <f>(E41*E42)*E53*(E55-E57)/1000</f>
        <v>#N/A</v>
      </c>
      <c r="F65" s="71" t="e">
        <f t="shared" si="3"/>
        <v>#N/A</v>
      </c>
      <c r="G65" s="71" t="e">
        <f t="shared" si="3"/>
        <v>#N/A</v>
      </c>
      <c r="H65" s="17" t="s">
        <v>39</v>
      </c>
      <c r="J65" s="18"/>
      <c r="O65" s="18"/>
    </row>
    <row r="66" spans="1:15" s="16" customFormat="1" ht="15.75" hidden="1">
      <c r="A66" s="15"/>
      <c r="B66" s="34" t="s">
        <v>188</v>
      </c>
      <c r="C66" s="71" t="e">
        <f>(C41*C42*C53*(C55-C57)*C59/1000)</f>
        <v>#N/A</v>
      </c>
      <c r="D66" s="71" t="e">
        <f t="shared" ref="D66:G66" si="4">(D41*D42*D53*(D55-D57)*D59/1000)</f>
        <v>#N/A</v>
      </c>
      <c r="E66" s="71" t="e">
        <f t="shared" si="4"/>
        <v>#N/A</v>
      </c>
      <c r="F66" s="71" t="e">
        <f t="shared" si="4"/>
        <v>#N/A</v>
      </c>
      <c r="G66" s="71" t="e">
        <f t="shared" si="4"/>
        <v>#N/A</v>
      </c>
      <c r="H66" s="17" t="s">
        <v>39</v>
      </c>
      <c r="J66" s="18"/>
      <c r="O66" s="18"/>
    </row>
    <row r="67" spans="1:15" s="16" customFormat="1" ht="15.75" hidden="1">
      <c r="A67" s="15"/>
      <c r="B67" s="34" t="s">
        <v>190</v>
      </c>
      <c r="C67" s="71" t="e">
        <f>C65-C66</f>
        <v>#N/A</v>
      </c>
      <c r="D67" s="71" t="e">
        <f>D65-D66</f>
        <v>#N/A</v>
      </c>
      <c r="E67" s="71" t="e">
        <f>E65-E66</f>
        <v>#N/A</v>
      </c>
      <c r="F67" s="71" t="e">
        <f t="shared" ref="F67:G67" si="5">F65-F66</f>
        <v>#N/A</v>
      </c>
      <c r="G67" s="71" t="e">
        <f t="shared" si="5"/>
        <v>#N/A</v>
      </c>
      <c r="H67" s="17" t="s">
        <v>39</v>
      </c>
      <c r="J67" s="18"/>
      <c r="O67" s="18"/>
    </row>
    <row r="68" spans="1:15" s="16" customFormat="1" ht="15.75" hidden="1">
      <c r="A68" s="15"/>
      <c r="B68" s="36" t="s">
        <v>27</v>
      </c>
      <c r="C68" s="72" t="e">
        <f>(C28*C29-C41*C42)*C53*(C55-C57)/1000</f>
        <v>#N/A</v>
      </c>
      <c r="D68" s="72" t="e">
        <f>(D28*D29-D41*D42)*D53*(D55-D57)/1000</f>
        <v>#N/A</v>
      </c>
      <c r="E68" s="72" t="e">
        <f t="shared" ref="E68:G68" si="6">(E28*E29-E41*E42)*E53*(E55-E57)/1000</f>
        <v>#N/A</v>
      </c>
      <c r="F68" s="72" t="e">
        <f t="shared" si="6"/>
        <v>#N/A</v>
      </c>
      <c r="G68" s="72" t="e">
        <f t="shared" si="6"/>
        <v>#N/A</v>
      </c>
      <c r="H68" s="17" t="s">
        <v>39</v>
      </c>
      <c r="J68" s="18"/>
      <c r="O68" s="18"/>
    </row>
    <row r="69" spans="1:15" s="16" customFormat="1" ht="15.75" hidden="1">
      <c r="A69" s="15"/>
      <c r="B69" s="36" t="s">
        <v>29</v>
      </c>
      <c r="C69" s="72" t="e">
        <f>(C41*C42*C53*(C55-C57)*C59/1000)-(C28*C29*C53*(C55-C57)*C58/1000)</f>
        <v>#N/A</v>
      </c>
      <c r="D69" s="72" t="e">
        <f t="shared" ref="D69:F69" si="7">(D41*D42*D53*(D55-D57)*D59/1000)-(D28*D29*D53*(D55-D57)*D58/1000)</f>
        <v>#N/A</v>
      </c>
      <c r="E69" s="72" t="e">
        <f>(E41*E42*E53*(E55-E57)*E59/1000)-(E28*E29*E53*(E55-E57)*E58/1000)</f>
        <v>#N/A</v>
      </c>
      <c r="F69" s="72" t="e">
        <f t="shared" si="7"/>
        <v>#N/A</v>
      </c>
      <c r="G69" s="72" t="e">
        <f>(G41*G42*G53*(G55-G57)*G59/1000)-(G28*G29*G53*(G55-G57)*G58/1000)</f>
        <v>#N/A</v>
      </c>
      <c r="H69" s="17" t="s">
        <v>39</v>
      </c>
      <c r="J69" s="18"/>
      <c r="O69" s="18"/>
    </row>
    <row r="70" spans="1:15" s="16" customFormat="1" ht="15.75" hidden="1">
      <c r="A70" s="15"/>
      <c r="B70" s="36" t="s">
        <v>189</v>
      </c>
      <c r="C70" s="72">
        <f>SUMIF(C68:C69, "&lt;&gt;#N/A")</f>
        <v>0</v>
      </c>
      <c r="D70" s="72">
        <f t="shared" ref="D70:G70" si="8">SUMIF(D68:D69, "&lt;&gt;#N/A")</f>
        <v>0</v>
      </c>
      <c r="E70" s="72">
        <f t="shared" si="8"/>
        <v>0</v>
      </c>
      <c r="F70" s="72">
        <f t="shared" si="8"/>
        <v>0</v>
      </c>
      <c r="G70" s="72">
        <f t="shared" si="8"/>
        <v>0</v>
      </c>
      <c r="H70" s="17" t="s">
        <v>39</v>
      </c>
      <c r="J70" s="18"/>
      <c r="O70" s="18"/>
    </row>
    <row r="71" spans="1:15" s="16" customFormat="1" ht="15.75" hidden="1">
      <c r="A71" s="15"/>
      <c r="B71" s="36" t="s">
        <v>28</v>
      </c>
      <c r="C71" s="73" t="e">
        <f>(C28*C29-C41*C42)*C54*(C56)/1000</f>
        <v>#N/A</v>
      </c>
      <c r="D71" s="73" t="e">
        <f t="shared" ref="D71:G71" si="9">(D28*D29-D41*D42)*D54*(D56)/1000</f>
        <v>#N/A</v>
      </c>
      <c r="E71" s="73" t="e">
        <f t="shared" si="9"/>
        <v>#N/A</v>
      </c>
      <c r="F71" s="73" t="e">
        <f t="shared" si="9"/>
        <v>#N/A</v>
      </c>
      <c r="G71" s="73" t="e">
        <f t="shared" si="9"/>
        <v>#N/A</v>
      </c>
      <c r="H71" s="17" t="s">
        <v>39</v>
      </c>
      <c r="J71" s="18"/>
      <c r="O71" s="18"/>
    </row>
    <row r="72" spans="1:15" s="16" customFormat="1" ht="15.75" hidden="1">
      <c r="A72" s="15"/>
      <c r="B72" s="36" t="s">
        <v>30</v>
      </c>
      <c r="C72" s="73" t="e">
        <f>IF(C26="Yes", 0, (C41*C42*C61*C59*(C56)/1000)-(C28*C29*C60*C58*(C56)/1000))</f>
        <v>#N/A</v>
      </c>
      <c r="D72" s="73" t="e">
        <f t="shared" ref="D72:G72" si="10">IF(D26="Yes", 0, (D41*D42*D61*D59*(D56)/1000)-(D28*D29*D60*D58*(D56)/1000))</f>
        <v>#N/A</v>
      </c>
      <c r="E72" s="73" t="e">
        <f>IF(E26="Yes", 0, (E41*E42*E61*E59*(E56)/1000)-(E28*E29*E60*E58*(E56)/1000))</f>
        <v>#N/A</v>
      </c>
      <c r="F72" s="73" t="e">
        <f t="shared" si="10"/>
        <v>#N/A</v>
      </c>
      <c r="G72" s="73" t="e">
        <f t="shared" si="10"/>
        <v>#N/A</v>
      </c>
      <c r="H72" s="17" t="s">
        <v>39</v>
      </c>
      <c r="J72" s="18"/>
      <c r="O72" s="18"/>
    </row>
    <row r="73" spans="1:15" s="16" customFormat="1" ht="15.75" hidden="1">
      <c r="A73" s="15"/>
      <c r="B73" s="36" t="s">
        <v>192</v>
      </c>
      <c r="C73" s="73">
        <f>SUMIF(C71:C72, "&lt;&gt;#N/A")</f>
        <v>0</v>
      </c>
      <c r="D73" s="73">
        <f>SUMIF(D71:D72, "&lt;&gt;#N/A")</f>
        <v>0</v>
      </c>
      <c r="E73" s="73">
        <f t="shared" ref="E73:G73" si="11">SUMIF(E71:E72, "&lt;&gt;#N/A")</f>
        <v>0</v>
      </c>
      <c r="F73" s="73">
        <f t="shared" si="11"/>
        <v>0</v>
      </c>
      <c r="G73" s="73">
        <f t="shared" si="11"/>
        <v>0</v>
      </c>
      <c r="H73" s="17" t="s">
        <v>39</v>
      </c>
      <c r="J73" s="18"/>
      <c r="O73" s="18"/>
    </row>
    <row r="74" spans="1:15" s="16" customFormat="1" ht="15.75" hidden="1">
      <c r="A74" s="15"/>
      <c r="B74" s="109"/>
      <c r="C74" s="109"/>
      <c r="D74" s="109"/>
      <c r="E74" s="109"/>
      <c r="F74" s="109"/>
      <c r="G74" s="109"/>
      <c r="H74" s="17" t="s">
        <v>39</v>
      </c>
      <c r="O74" s="18"/>
    </row>
    <row r="75" spans="1:15" s="16" customFormat="1" ht="15.75" hidden="1">
      <c r="A75" s="15"/>
      <c r="B75" s="110" t="s">
        <v>32</v>
      </c>
      <c r="C75" s="110"/>
      <c r="D75" s="110"/>
      <c r="E75" s="110"/>
      <c r="F75" s="110"/>
      <c r="G75" s="110"/>
      <c r="H75" s="17" t="s">
        <v>39</v>
      </c>
      <c r="N75" s="18"/>
    </row>
    <row r="76" spans="1:15" s="16" customFormat="1" ht="15.75" hidden="1">
      <c r="A76" s="15"/>
      <c r="B76" s="33"/>
      <c r="C76" s="33"/>
      <c r="D76" s="33"/>
      <c r="E76" s="33"/>
      <c r="F76" s="33"/>
      <c r="G76" s="33"/>
      <c r="H76" s="17" t="s">
        <v>39</v>
      </c>
      <c r="N76" s="18"/>
    </row>
    <row r="77" spans="1:15" s="16" customFormat="1" ht="15.75" hidden="1">
      <c r="A77" s="15"/>
      <c r="B77" s="34" t="s">
        <v>52</v>
      </c>
      <c r="C77" s="37">
        <f>MIN(1000000, C16*0.5)</f>
        <v>0</v>
      </c>
      <c r="D77" s="38"/>
      <c r="E77" s="38"/>
      <c r="F77" s="38"/>
      <c r="G77" s="38"/>
      <c r="H77" s="17" t="s">
        <v>39</v>
      </c>
      <c r="J77" s="18"/>
      <c r="O77" s="18"/>
    </row>
    <row r="78" spans="1:15" s="16" customFormat="1" ht="15.75" hidden="1">
      <c r="A78" s="15"/>
      <c r="B78" s="34" t="s">
        <v>218</v>
      </c>
      <c r="C78" s="37">
        <f>C83*0.07</f>
        <v>0</v>
      </c>
      <c r="D78" s="35"/>
      <c r="E78" s="35"/>
      <c r="F78" s="35"/>
      <c r="G78" s="35"/>
      <c r="H78" s="17" t="s">
        <v>39</v>
      </c>
      <c r="J78" s="18"/>
      <c r="O78" s="18"/>
    </row>
    <row r="79" spans="1:15" s="16" customFormat="1" ht="15.75" hidden="1">
      <c r="A79" s="15"/>
      <c r="B79" s="34" t="s">
        <v>34</v>
      </c>
      <c r="C79" s="37">
        <f>MIN(C77:C78)</f>
        <v>0</v>
      </c>
      <c r="D79" s="35"/>
      <c r="E79" s="35"/>
      <c r="F79" s="35"/>
      <c r="G79" s="35"/>
      <c r="H79" s="17" t="s">
        <v>39</v>
      </c>
      <c r="J79" s="18"/>
      <c r="O79" s="18"/>
    </row>
    <row r="80" spans="1:15" s="16" customFormat="1" ht="15.75">
      <c r="A80" s="15"/>
      <c r="B80" s="97" t="s">
        <v>0</v>
      </c>
      <c r="C80" s="97"/>
      <c r="D80" s="97"/>
      <c r="E80" s="97"/>
      <c r="F80" s="97"/>
      <c r="G80" s="97"/>
      <c r="H80" s="15"/>
      <c r="O80" s="18"/>
    </row>
    <row r="81" spans="1:15" s="16" customFormat="1">
      <c r="A81" s="15"/>
      <c r="B81" s="13" t="s">
        <v>71</v>
      </c>
      <c r="C81" s="106">
        <f>SUMIF(C64:G64, "&lt;&gt;#N/A")</f>
        <v>0</v>
      </c>
      <c r="D81" s="106"/>
      <c r="E81" s="106"/>
      <c r="F81" s="106"/>
      <c r="G81" s="106"/>
      <c r="H81" s="19"/>
      <c r="O81" s="18"/>
    </row>
    <row r="82" spans="1:15" s="16" customFormat="1">
      <c r="A82" s="15"/>
      <c r="B82" s="13" t="s">
        <v>72</v>
      </c>
      <c r="C82" s="106">
        <f>SUMIF(C67:G67, "&lt;&gt;#N/A")</f>
        <v>0</v>
      </c>
      <c r="D82" s="106"/>
      <c r="E82" s="106"/>
      <c r="F82" s="106"/>
      <c r="G82" s="106"/>
      <c r="H82" s="15"/>
      <c r="O82" s="18"/>
    </row>
    <row r="83" spans="1:15" s="16" customFormat="1" ht="15.75">
      <c r="A83" s="15"/>
      <c r="B83" s="39" t="s">
        <v>73</v>
      </c>
      <c r="C83" s="107">
        <f>C81-C82</f>
        <v>0</v>
      </c>
      <c r="D83" s="107"/>
      <c r="E83" s="107"/>
      <c r="F83" s="107"/>
      <c r="G83" s="107"/>
      <c r="H83" s="20"/>
      <c r="O83" s="18"/>
    </row>
    <row r="84" spans="1:15" s="16" customFormat="1" ht="15.75">
      <c r="A84" s="15"/>
      <c r="B84" s="39" t="s">
        <v>79</v>
      </c>
      <c r="C84" s="108">
        <f>SUMIF(C71:G72, "&lt;&gt;#N/A")</f>
        <v>0</v>
      </c>
      <c r="D84" s="108"/>
      <c r="E84" s="108"/>
      <c r="F84" s="108"/>
      <c r="G84" s="108"/>
      <c r="H84" s="15"/>
      <c r="J84" s="18"/>
      <c r="K84" s="18"/>
      <c r="L84" s="18"/>
      <c r="M84" s="18"/>
      <c r="N84" s="18"/>
      <c r="O84" s="18"/>
    </row>
    <row r="85" spans="1:15" s="16" customFormat="1" ht="15.75">
      <c r="A85" s="15"/>
      <c r="B85" s="39" t="s">
        <v>75</v>
      </c>
      <c r="C85" s="94" t="str">
        <f>IF(C15=0,"Need Electricity Rate",IF(C16=0, "Need Project Cost", IF(C83=0,"Need Total Annual kWh Saved", IF(C88&lt;1, "Doesn't meet Simple Payback Requirements", C79))))</f>
        <v>Need Project Cost</v>
      </c>
      <c r="D85" s="94"/>
      <c r="E85" s="94"/>
      <c r="F85" s="94"/>
      <c r="G85" s="94"/>
      <c r="H85" s="15"/>
      <c r="J85" s="21"/>
      <c r="K85" s="21"/>
      <c r="L85" s="21"/>
      <c r="M85" s="21"/>
      <c r="N85" s="21"/>
      <c r="O85" s="18"/>
    </row>
    <row r="86" spans="1:15" s="16" customFormat="1" ht="15.75">
      <c r="A86" s="15"/>
      <c r="B86" s="39" t="s">
        <v>199</v>
      </c>
      <c r="C86" s="94" t="str">
        <f>IF(C85=C78, "$0.07 per kWh Saved", IF(C85 = 100000, "$100,000 Program Cap", IF(C85=C77, "50% of Project Cost Cap", "")))</f>
        <v/>
      </c>
      <c r="D86" s="94"/>
      <c r="E86" s="94"/>
      <c r="F86" s="94"/>
      <c r="G86" s="94"/>
      <c r="H86" s="15"/>
      <c r="J86" s="21"/>
      <c r="K86" s="21"/>
      <c r="L86" s="21"/>
      <c r="M86" s="21"/>
      <c r="N86" s="21"/>
      <c r="O86" s="18"/>
    </row>
    <row r="87" spans="1:15" s="16" customFormat="1" ht="15.75">
      <c r="A87" s="15"/>
      <c r="B87" s="39" t="s">
        <v>74</v>
      </c>
      <c r="C87" s="94" t="str">
        <f>IF(C15=0,"Need Electricity Rate",IF(C83=0,"Need Total Annual kWh Saved",C15*C83))</f>
        <v>Need Total Annual kWh Saved</v>
      </c>
      <c r="D87" s="94"/>
      <c r="E87" s="94"/>
      <c r="F87" s="94"/>
      <c r="G87" s="94"/>
      <c r="H87" s="15"/>
      <c r="O87" s="18"/>
    </row>
    <row r="88" spans="1:15" s="16" customFormat="1" ht="15.75">
      <c r="A88" s="15"/>
      <c r="B88" s="39" t="s">
        <v>76</v>
      </c>
      <c r="C88" s="104" t="str">
        <f>IF(C16=0,"Need Project Cost",(C16)/C87)</f>
        <v>Need Project Cost</v>
      </c>
      <c r="D88" s="104"/>
      <c r="E88" s="104"/>
      <c r="F88" s="104"/>
      <c r="G88" s="104"/>
      <c r="H88" s="15"/>
      <c r="O88" s="18"/>
    </row>
    <row r="89" spans="1:15" s="16" customFormat="1" ht="15.75">
      <c r="A89" s="15"/>
      <c r="B89" s="39" t="s">
        <v>77</v>
      </c>
      <c r="C89" s="105" t="str">
        <f>IF(C16=0,"Need Project Cost", IF(C85="Doesn't meet Simple Payback Requirements", "N/A", (C16-C85)/C87))</f>
        <v>Need Project Cost</v>
      </c>
      <c r="D89" s="105"/>
      <c r="E89" s="105"/>
      <c r="F89" s="105"/>
      <c r="G89" s="105"/>
      <c r="H89" s="15"/>
      <c r="O89" s="18"/>
    </row>
    <row r="90" spans="1:15">
      <c r="O90" s="20"/>
    </row>
    <row r="91" spans="1:15">
      <c r="O91" s="20"/>
    </row>
    <row r="92" spans="1:15">
      <c r="O92" s="20"/>
    </row>
    <row r="93" spans="1:15">
      <c r="O93" s="20"/>
    </row>
    <row r="94" spans="1:15">
      <c r="O94" s="20"/>
    </row>
    <row r="95" spans="1:15">
      <c r="K95" s="20"/>
    </row>
    <row r="96" spans="1:15">
      <c r="K96" s="20"/>
    </row>
    <row r="97" spans="10:12">
      <c r="K97" s="20"/>
      <c r="L97" s="22"/>
    </row>
    <row r="98" spans="10:12">
      <c r="K98" s="20"/>
    </row>
    <row r="99" spans="10:12">
      <c r="K99" s="20"/>
    </row>
    <row r="100" spans="10:12">
      <c r="K100" s="20"/>
    </row>
    <row r="101" spans="10:12">
      <c r="K101" s="20"/>
    </row>
    <row r="102" spans="10:12">
      <c r="K102" s="20"/>
    </row>
    <row r="103" spans="10:12">
      <c r="K103" s="20"/>
    </row>
    <row r="104" spans="10:12">
      <c r="K104" s="20"/>
    </row>
    <row r="105" spans="10:12">
      <c r="K105" s="20"/>
    </row>
    <row r="106" spans="10:12">
      <c r="K106" s="20"/>
    </row>
    <row r="107" spans="10:12">
      <c r="K107" s="20"/>
    </row>
    <row r="108" spans="10:12">
      <c r="J108" s="20"/>
      <c r="K108" s="20"/>
    </row>
    <row r="109" spans="10:12">
      <c r="J109" s="20"/>
    </row>
    <row r="110" spans="10:12">
      <c r="J110" s="20"/>
    </row>
    <row r="111" spans="10:12">
      <c r="J111" s="20"/>
    </row>
    <row r="112" spans="10:12">
      <c r="J112" s="20"/>
    </row>
    <row r="113" spans="10:10">
      <c r="J113" s="20"/>
    </row>
    <row r="114" spans="10:10">
      <c r="J114" s="20"/>
    </row>
    <row r="115" spans="10:10">
      <c r="J115" s="20"/>
    </row>
    <row r="116" spans="10:10">
      <c r="J116" s="20"/>
    </row>
    <row r="117" spans="10:10">
      <c r="J117" s="20"/>
    </row>
    <row r="118" spans="10:10">
      <c r="J118" s="20"/>
    </row>
    <row r="119" spans="10:10">
      <c r="J119" s="20"/>
    </row>
    <row r="120" spans="10:10">
      <c r="J120" s="20"/>
    </row>
    <row r="121" spans="10:10">
      <c r="J121" s="20"/>
    </row>
    <row r="122" spans="10:10">
      <c r="J122" s="20"/>
    </row>
    <row r="123" spans="10:10">
      <c r="J123" s="20"/>
    </row>
    <row r="124" spans="10:10">
      <c r="J124" s="20"/>
    </row>
    <row r="125" spans="10:10">
      <c r="J125" s="20"/>
    </row>
    <row r="126" spans="10:10">
      <c r="J126" s="20"/>
    </row>
    <row r="127" spans="10:10">
      <c r="J127" s="20"/>
    </row>
    <row r="128" spans="10:10">
      <c r="J128" s="20"/>
    </row>
    <row r="129" spans="10:10">
      <c r="J129" s="20"/>
    </row>
    <row r="130" spans="10:10">
      <c r="J130" s="20"/>
    </row>
    <row r="131" spans="10:10">
      <c r="J131" s="20"/>
    </row>
    <row r="132" spans="10:10">
      <c r="J132" s="20"/>
    </row>
    <row r="133" spans="10:10">
      <c r="J133" s="20"/>
    </row>
    <row r="134" spans="10:10">
      <c r="J134" s="20"/>
    </row>
  </sheetData>
  <sheetProtection algorithmName="SHA-512" hashValue="JkJoMMEYBH9GMZzHZl2aAVLp9c5DqQ4ml8crFTQC7s/belJjm0UpOFFzs/xt1SGQlKr8vcSPv9S1JCsE/d2QgA==" saltValue="ebYlDyR5NCqAxrrAHtU5OA==" spinCount="100000" sheet="1" objects="1" scenarios="1"/>
  <protectedRanges>
    <protectedRange sqref="C11:G16 C35:G36 C48:G49 C21:G21 C27:G30 C40:G43" name="Range1"/>
  </protectedRanges>
  <sortState xmlns:xlrd2="http://schemas.microsoft.com/office/spreadsheetml/2017/richdata2" ref="J14:S18">
    <sortCondition ref="J14:J18"/>
  </sortState>
  <mergeCells count="32">
    <mergeCell ref="C20:G20"/>
    <mergeCell ref="C87:G87"/>
    <mergeCell ref="C88:G88"/>
    <mergeCell ref="C89:G89"/>
    <mergeCell ref="C81:G81"/>
    <mergeCell ref="C82:G82"/>
    <mergeCell ref="C83:G83"/>
    <mergeCell ref="C84:G84"/>
    <mergeCell ref="C85:G85"/>
    <mergeCell ref="B80:G80"/>
    <mergeCell ref="B37:G37"/>
    <mergeCell ref="B50:G50"/>
    <mergeCell ref="B51:G51"/>
    <mergeCell ref="B74:G74"/>
    <mergeCell ref="B75:G75"/>
    <mergeCell ref="B44:G44"/>
    <mergeCell ref="B2:G2"/>
    <mergeCell ref="C86:G86"/>
    <mergeCell ref="C21:G21"/>
    <mergeCell ref="C18:G18"/>
    <mergeCell ref="B22:G22"/>
    <mergeCell ref="C19:G19"/>
    <mergeCell ref="B3:G4"/>
    <mergeCell ref="B31:G31"/>
    <mergeCell ref="B10:G10"/>
    <mergeCell ref="C11:G11"/>
    <mergeCell ref="C12:G12"/>
    <mergeCell ref="C13:G13"/>
    <mergeCell ref="B17:G17"/>
    <mergeCell ref="C14:G14"/>
    <mergeCell ref="C16:G16"/>
    <mergeCell ref="C15:G15"/>
  </mergeCells>
  <conditionalFormatting sqref="B18:G19 B20">
    <cfRule type="expression" dxfId="14" priority="106">
      <formula>$C$13="Custom"</formula>
    </cfRule>
  </conditionalFormatting>
  <conditionalFormatting sqref="B21:G21">
    <cfRule type="expression" dxfId="13" priority="4">
      <formula>$C$20="Custom"</formula>
    </cfRule>
  </conditionalFormatting>
  <conditionalFormatting sqref="B32:G34">
    <cfRule type="expression" dxfId="12" priority="97">
      <formula>AND($C$30="Custom",$D$30="Custom",$E$30="Custom",$F$30="Custom",$G$30="Custom")</formula>
    </cfRule>
  </conditionalFormatting>
  <conditionalFormatting sqref="B45:G47">
    <cfRule type="expression" dxfId="11" priority="90">
      <formula>AND($C$43="Custom",$D$43="Custom",$E$43="Custom",$F$43="Custom",$G$43="Custom")</formula>
    </cfRule>
  </conditionalFormatting>
  <conditionalFormatting sqref="C28:C30">
    <cfRule type="expression" dxfId="10" priority="88">
      <formula>NOT(C$27="")</formula>
    </cfRule>
  </conditionalFormatting>
  <conditionalFormatting sqref="C28:G29">
    <cfRule type="expression" dxfId="9" priority="13">
      <formula>NOT(C28="")</formula>
    </cfRule>
  </conditionalFormatting>
  <conditionalFormatting sqref="C30:G30">
    <cfRule type="expression" dxfId="8" priority="1">
      <formula>NOT(C$30="")</formula>
    </cfRule>
  </conditionalFormatting>
  <conditionalFormatting sqref="C35:G36">
    <cfRule type="expression" dxfId="7" priority="99">
      <formula>C$30="Custom"</formula>
    </cfRule>
  </conditionalFormatting>
  <conditionalFormatting sqref="C36:G36">
    <cfRule type="cellIs" dxfId="6" priority="6" operator="greaterThan">
      <formula>1</formula>
    </cfRule>
  </conditionalFormatting>
  <conditionalFormatting sqref="C41:G42">
    <cfRule type="expression" dxfId="5" priority="8">
      <formula>NOT(C41="")</formula>
    </cfRule>
  </conditionalFormatting>
  <conditionalFormatting sqref="C41:G43">
    <cfRule type="expression" dxfId="4" priority="10">
      <formula>NOT(C$40="")</formula>
    </cfRule>
  </conditionalFormatting>
  <conditionalFormatting sqref="C43:G43">
    <cfRule type="expression" dxfId="3" priority="7">
      <formula>NOT(C$43="")</formula>
    </cfRule>
  </conditionalFormatting>
  <conditionalFormatting sqref="C48:G49">
    <cfRule type="expression" dxfId="2" priority="92">
      <formula>C$43="Custom"</formula>
    </cfRule>
  </conditionalFormatting>
  <conditionalFormatting sqref="D28:G29">
    <cfRule type="expression" dxfId="1" priority="15">
      <formula>NOT(D$27="")</formula>
    </cfRule>
  </conditionalFormatting>
  <conditionalFormatting sqref="D30:G30">
    <cfRule type="expression" dxfId="0" priority="2">
      <formula>NOT(D$27="")</formula>
    </cfRule>
  </conditionalFormatting>
  <dataValidations count="4">
    <dataValidation allowBlank="1" showInputMessage="1" showErrorMessage="1" errorTitle="Value Error" error="Percent of load is less than the boiler's low fire percentage." sqref="C51:G52 C75:G76 C37:G39" xr:uid="{00000000-0002-0000-0200-000000000000}"/>
    <dataValidation allowBlank="1" showInputMessage="1" showErrorMessage="1" prompt="Total connected wattage including ballast factor" sqref="C29:G29 C42:G42" xr:uid="{00000000-0002-0000-0200-000001000000}"/>
    <dataValidation type="list" allowBlank="1" showInputMessage="1" showErrorMessage="1" sqref="C25:G26" xr:uid="{00000000-0002-0000-0200-000002000000}">
      <formula1>"Yes, No"</formula1>
    </dataValidation>
    <dataValidation type="list" allowBlank="1" showInputMessage="1" showErrorMessage="1" sqref="C20:G20" xr:uid="{00000000-0002-0000-0200-000003000000}">
      <formula1>"Default, Custom"</formula1>
    </dataValidation>
  </dataValidations>
  <pageMargins left="0.7" right="0.7" top="0.75" bottom="0.75" header="0.3" footer="0.3"/>
  <pageSetup scale="67"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4000000}">
          <x14:formula1>
            <xm:f>'LookUp Tables'!$B$15:$B$44</xm:f>
          </x14:formula1>
          <xm:sqref>C13:G13</xm:sqref>
        </x14:dataValidation>
        <x14:dataValidation type="list" allowBlank="1" showInputMessage="1" showErrorMessage="1" xr:uid="{00000000-0002-0000-0200-000005000000}">
          <x14:formula1>
            <xm:f>'LookUp Tables'!$G$12:$I$12</xm:f>
          </x14:formula1>
          <xm:sqref>C14:G14</xm:sqref>
        </x14:dataValidation>
        <x14:dataValidation type="list" allowBlank="1" showInputMessage="1" showErrorMessage="1" xr:uid="{00000000-0002-0000-0200-000007000000}">
          <x14:formula1>
            <xm:f>'LookUp Tables'!$P$13:$P$27</xm:f>
          </x14:formula1>
          <xm:sqref>C27:G27 C40:G40</xm:sqref>
        </x14:dataValidation>
        <x14:dataValidation type="list" allowBlank="1" showInputMessage="1" showErrorMessage="1" xr:uid="{00000000-0002-0000-0200-000006000000}">
          <x14:formula1>
            <xm:f>'LookUp Tables'!$L$13:$L$25</xm:f>
          </x14:formula1>
          <xm:sqref>C30:G30 C43:G43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85207-E6BB-462F-BDE8-70E393C5591B}">
  <sheetPr codeName="Sheet4"/>
  <dimension ref="A1:K14"/>
  <sheetViews>
    <sheetView workbookViewId="0">
      <selection activeCell="E8" sqref="E8"/>
    </sheetView>
  </sheetViews>
  <sheetFormatPr defaultColWidth="11.42578125" defaultRowHeight="15"/>
  <cols>
    <col min="1" max="16384" width="11.42578125" style="1"/>
  </cols>
  <sheetData>
    <row r="1" spans="1:11">
      <c r="A1" s="111" t="s">
        <v>221</v>
      </c>
      <c r="B1" s="111"/>
      <c r="C1" s="111"/>
      <c r="D1" s="111"/>
      <c r="E1" s="111"/>
      <c r="F1" s="111"/>
      <c r="G1" s="111"/>
      <c r="H1" s="111"/>
      <c r="I1" s="111"/>
      <c r="J1" s="111"/>
      <c r="K1" s="111"/>
    </row>
    <row r="2" spans="1:11">
      <c r="A2" s="111"/>
      <c r="B2" s="111"/>
      <c r="C2" s="111"/>
      <c r="D2" s="111"/>
      <c r="E2" s="111"/>
      <c r="F2" s="111"/>
      <c r="G2" s="111"/>
      <c r="H2" s="111"/>
      <c r="I2" s="111"/>
      <c r="J2" s="111"/>
      <c r="K2" s="111"/>
    </row>
    <row r="3" spans="1:11">
      <c r="C3" s="75"/>
    </row>
    <row r="5" spans="1:11">
      <c r="B5" s="75"/>
      <c r="C5" s="75"/>
    </row>
    <row r="6" spans="1:11">
      <c r="B6" s="75"/>
      <c r="C6" s="75"/>
    </row>
    <row r="7" spans="1:11">
      <c r="B7" s="75"/>
      <c r="C7" s="75"/>
    </row>
    <row r="8" spans="1:11">
      <c r="B8" s="75"/>
      <c r="C8" s="75"/>
    </row>
    <row r="9" spans="1:11">
      <c r="B9" s="75"/>
      <c r="C9" s="75"/>
    </row>
    <row r="10" spans="1:11">
      <c r="B10" s="75"/>
      <c r="C10" s="75"/>
    </row>
    <row r="11" spans="1:11">
      <c r="B11" s="75"/>
      <c r="C11" s="75"/>
    </row>
    <row r="12" spans="1:11">
      <c r="B12" s="75"/>
      <c r="C12" s="75"/>
    </row>
    <row r="13" spans="1:11">
      <c r="B13" s="75"/>
      <c r="C13" s="75"/>
    </row>
    <row r="14" spans="1:11">
      <c r="B14" s="75"/>
      <c r="C14" s="75"/>
    </row>
  </sheetData>
  <mergeCells count="1">
    <mergeCell ref="A1:K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2:P44"/>
  <sheetViews>
    <sheetView zoomScaleNormal="100" workbookViewId="0">
      <selection activeCell="G29" sqref="G29"/>
    </sheetView>
  </sheetViews>
  <sheetFormatPr defaultColWidth="8.85546875" defaultRowHeight="15"/>
  <cols>
    <col min="1" max="1" width="4.140625" style="80" customWidth="1"/>
    <col min="2" max="2" width="30" style="80" bestFit="1" customWidth="1"/>
    <col min="3" max="3" width="6.42578125" style="80" bestFit="1" customWidth="1"/>
    <col min="4" max="4" width="4.5703125" style="80" bestFit="1" customWidth="1"/>
    <col min="5" max="6" width="6.28515625" style="80" bestFit="1" customWidth="1"/>
    <col min="7" max="7" width="10.42578125" style="80" bestFit="1" customWidth="1"/>
    <col min="8" max="8" width="6.5703125" style="80" bestFit="1" customWidth="1"/>
    <col min="9" max="9" width="14.42578125" style="80" bestFit="1" customWidth="1"/>
    <col min="10" max="10" width="7.85546875" style="80" bestFit="1" customWidth="1"/>
    <col min="11" max="11" width="24.140625" style="80" bestFit="1" customWidth="1"/>
    <col min="12" max="12" width="65.42578125" style="80" bestFit="1" customWidth="1"/>
    <col min="13" max="13" width="8.140625" style="80" bestFit="1" customWidth="1"/>
    <col min="14" max="14" width="16.5703125" style="80" bestFit="1" customWidth="1"/>
    <col min="15" max="15" width="8" style="80" bestFit="1" customWidth="1"/>
    <col min="16" max="16" width="24.140625" style="80" bestFit="1" customWidth="1"/>
    <col min="17" max="17" width="8" style="80" bestFit="1" customWidth="1"/>
    <col min="18" max="18" width="9" style="80" bestFit="1" customWidth="1"/>
    <col min="19" max="19" width="8.85546875" style="80"/>
    <col min="20" max="21" width="8.85546875" style="80" customWidth="1"/>
    <col min="22" max="22" width="8.85546875" style="80"/>
    <col min="23" max="23" width="30" style="80" bestFit="1" customWidth="1"/>
    <col min="24" max="24" width="6.42578125" style="80" bestFit="1" customWidth="1"/>
    <col min="25" max="25" width="4.5703125" style="80" bestFit="1" customWidth="1"/>
    <col min="26" max="27" width="6.28515625" style="80" bestFit="1" customWidth="1"/>
    <col min="28" max="28" width="10.5703125" style="80" customWidth="1"/>
    <col min="29" max="29" width="6.5703125" style="80" bestFit="1" customWidth="1"/>
    <col min="30" max="30" width="14.42578125" style="80" customWidth="1"/>
    <col min="31" max="16384" width="8.85546875" style="80"/>
  </cols>
  <sheetData>
    <row r="2" spans="2:16">
      <c r="B2" s="113" t="s">
        <v>222</v>
      </c>
      <c r="C2" s="113"/>
      <c r="D2" s="113"/>
      <c r="E2" s="113"/>
      <c r="F2" s="113"/>
      <c r="G2" s="113"/>
      <c r="H2" s="113"/>
      <c r="I2" s="113"/>
    </row>
    <row r="3" spans="2:16">
      <c r="B3" s="114" t="s">
        <v>31</v>
      </c>
      <c r="C3" s="114"/>
      <c r="D3" s="114"/>
      <c r="E3" s="114"/>
      <c r="F3" s="114"/>
      <c r="G3" s="114"/>
      <c r="H3" s="114"/>
      <c r="I3" s="114"/>
    </row>
    <row r="4" spans="2:16" ht="6" customHeight="1"/>
    <row r="10" spans="2:16">
      <c r="G10" s="112" t="s">
        <v>240</v>
      </c>
      <c r="H10" s="112"/>
      <c r="I10" s="112"/>
    </row>
    <row r="11" spans="2:16">
      <c r="G11" s="62">
        <v>0</v>
      </c>
      <c r="H11" s="62">
        <v>1</v>
      </c>
      <c r="I11" s="62">
        <v>2</v>
      </c>
    </row>
    <row r="12" spans="2:16" ht="30">
      <c r="G12" s="63" t="s">
        <v>241</v>
      </c>
      <c r="H12" s="63" t="s">
        <v>20</v>
      </c>
      <c r="I12" s="63" t="s">
        <v>242</v>
      </c>
      <c r="L12" s="81" t="s">
        <v>16</v>
      </c>
      <c r="M12" s="81" t="s">
        <v>17</v>
      </c>
      <c r="N12" s="81" t="s">
        <v>18</v>
      </c>
      <c r="O12" s="82"/>
      <c r="P12" s="81" t="s">
        <v>53</v>
      </c>
    </row>
    <row r="13" spans="2:16">
      <c r="B13" s="62" t="s">
        <v>4</v>
      </c>
      <c r="C13" s="62" t="s">
        <v>243</v>
      </c>
      <c r="D13" s="62" t="s">
        <v>13</v>
      </c>
      <c r="E13" s="62" t="s">
        <v>81</v>
      </c>
      <c r="F13" s="62" t="s">
        <v>82</v>
      </c>
      <c r="G13" s="62" t="s">
        <v>244</v>
      </c>
      <c r="H13" s="62" t="s">
        <v>244</v>
      </c>
      <c r="I13" s="62" t="s">
        <v>244</v>
      </c>
      <c r="L13" s="90" t="s">
        <v>283</v>
      </c>
      <c r="M13" s="84">
        <v>0.24</v>
      </c>
      <c r="N13" s="85">
        <v>0.15</v>
      </c>
      <c r="O13" s="86"/>
      <c r="P13" s="83" t="s">
        <v>62</v>
      </c>
    </row>
    <row r="14" spans="2:16">
      <c r="B14" s="76" t="s">
        <v>11</v>
      </c>
      <c r="C14" s="64">
        <v>4303</v>
      </c>
      <c r="D14" s="65">
        <v>0</v>
      </c>
      <c r="E14" s="65">
        <v>1</v>
      </c>
      <c r="F14" s="65">
        <v>1</v>
      </c>
      <c r="G14" s="66">
        <v>0</v>
      </c>
      <c r="H14" s="66">
        <v>0</v>
      </c>
      <c r="I14" s="66">
        <v>0</v>
      </c>
      <c r="L14" s="90" t="s">
        <v>282</v>
      </c>
      <c r="M14" s="84">
        <v>0.31</v>
      </c>
      <c r="N14" s="85">
        <v>0.15</v>
      </c>
      <c r="O14" s="86"/>
      <c r="P14" s="83" t="s">
        <v>54</v>
      </c>
    </row>
    <row r="15" spans="2:16">
      <c r="B15" s="76" t="s">
        <v>245</v>
      </c>
      <c r="C15" s="64">
        <v>3379</v>
      </c>
      <c r="D15" s="65">
        <v>0.67</v>
      </c>
      <c r="E15" s="65">
        <v>1.08</v>
      </c>
      <c r="F15" s="65">
        <v>1.3</v>
      </c>
      <c r="G15" s="66">
        <v>0.35399999999999998</v>
      </c>
      <c r="H15" s="66">
        <v>0.154</v>
      </c>
      <c r="I15" s="66">
        <v>0</v>
      </c>
      <c r="L15" s="90" t="s">
        <v>275</v>
      </c>
      <c r="M15" s="84">
        <v>0.28000000000000003</v>
      </c>
      <c r="N15" s="85">
        <v>0.15</v>
      </c>
      <c r="O15" s="86"/>
      <c r="P15" s="83" t="s">
        <v>55</v>
      </c>
    </row>
    <row r="16" spans="2:16">
      <c r="B16" s="76" t="s">
        <v>246</v>
      </c>
      <c r="C16" s="64">
        <v>7862</v>
      </c>
      <c r="D16" s="65">
        <v>0.66</v>
      </c>
      <c r="E16" s="65">
        <v>1.1399999999999999</v>
      </c>
      <c r="F16" s="65">
        <v>1.3</v>
      </c>
      <c r="G16" s="66">
        <v>0.82299999999999995</v>
      </c>
      <c r="H16" s="66">
        <v>0.35799999999999998</v>
      </c>
      <c r="I16" s="66">
        <v>0</v>
      </c>
      <c r="L16" s="90" t="s">
        <v>274</v>
      </c>
      <c r="M16" s="84">
        <v>0.38</v>
      </c>
      <c r="N16" s="85">
        <v>0.15</v>
      </c>
      <c r="O16" s="86"/>
      <c r="P16" s="83" t="s">
        <v>56</v>
      </c>
    </row>
    <row r="17" spans="2:16">
      <c r="B17" s="76" t="s">
        <v>247</v>
      </c>
      <c r="C17" s="64">
        <v>4099</v>
      </c>
      <c r="D17" s="65">
        <v>0.97</v>
      </c>
      <c r="E17" s="65">
        <v>1.1599999999999999</v>
      </c>
      <c r="F17" s="65">
        <v>1.24</v>
      </c>
      <c r="G17" s="66">
        <v>0.315</v>
      </c>
      <c r="H17" s="66">
        <v>0.13700000000000001</v>
      </c>
      <c r="I17" s="66">
        <v>0</v>
      </c>
      <c r="L17" s="90" t="s">
        <v>276</v>
      </c>
      <c r="M17" s="84">
        <v>0.61</v>
      </c>
      <c r="N17" s="85">
        <v>0.15</v>
      </c>
      <c r="O17" s="86"/>
      <c r="P17" s="83" t="s">
        <v>57</v>
      </c>
    </row>
    <row r="18" spans="2:16">
      <c r="B18" s="76" t="s">
        <v>248</v>
      </c>
      <c r="C18" s="64">
        <v>2860</v>
      </c>
      <c r="D18" s="65">
        <v>0.72</v>
      </c>
      <c r="E18" s="65">
        <v>1.17</v>
      </c>
      <c r="F18" s="65">
        <v>1.29</v>
      </c>
      <c r="G18" s="66">
        <v>0.42</v>
      </c>
      <c r="H18" s="66">
        <v>0.183</v>
      </c>
      <c r="I18" s="66">
        <v>0</v>
      </c>
      <c r="L18" s="90" t="s">
        <v>277</v>
      </c>
      <c r="M18" s="84">
        <v>0.35</v>
      </c>
      <c r="N18" s="85">
        <v>0.15</v>
      </c>
      <c r="O18" s="86"/>
      <c r="P18" s="83" t="s">
        <v>58</v>
      </c>
    </row>
    <row r="19" spans="2:16">
      <c r="B19" s="76" t="s">
        <v>249</v>
      </c>
      <c r="C19" s="64">
        <v>3395</v>
      </c>
      <c r="D19" s="65">
        <v>0.63</v>
      </c>
      <c r="E19" s="65">
        <v>1.02</v>
      </c>
      <c r="F19" s="65">
        <v>1.54</v>
      </c>
      <c r="G19" s="66">
        <v>0.54800000000000004</v>
      </c>
      <c r="H19" s="66">
        <v>0.23799999999999999</v>
      </c>
      <c r="I19" s="66">
        <v>0</v>
      </c>
      <c r="L19" s="90" t="s">
        <v>278</v>
      </c>
      <c r="M19" s="84">
        <v>0.49</v>
      </c>
      <c r="N19" s="85">
        <v>0.15</v>
      </c>
      <c r="O19" s="86"/>
      <c r="P19" s="83" t="s">
        <v>59</v>
      </c>
    </row>
    <row r="20" spans="2:16">
      <c r="B20" s="76" t="s">
        <v>250</v>
      </c>
      <c r="C20" s="64">
        <v>4672</v>
      </c>
      <c r="D20" s="65">
        <v>0.76</v>
      </c>
      <c r="E20" s="65">
        <v>1.0900000000000001</v>
      </c>
      <c r="F20" s="65">
        <v>1.26</v>
      </c>
      <c r="G20" s="66">
        <v>0.82799999999999996</v>
      </c>
      <c r="H20" s="66">
        <v>0.36</v>
      </c>
      <c r="I20" s="66">
        <v>0</v>
      </c>
      <c r="L20" s="90" t="s">
        <v>279</v>
      </c>
      <c r="M20" s="84">
        <v>0.27</v>
      </c>
      <c r="N20" s="85">
        <v>0.15</v>
      </c>
      <c r="O20" s="86"/>
      <c r="P20" s="83" t="s">
        <v>60</v>
      </c>
    </row>
    <row r="21" spans="2:16">
      <c r="B21" s="76" t="s">
        <v>251</v>
      </c>
      <c r="C21" s="64">
        <v>4093</v>
      </c>
      <c r="D21" s="65">
        <v>1</v>
      </c>
      <c r="E21" s="65">
        <v>1.05</v>
      </c>
      <c r="F21" s="65">
        <v>1.34</v>
      </c>
      <c r="G21" s="66">
        <v>0.39400000000000002</v>
      </c>
      <c r="H21" s="66">
        <v>0.17100000000000001</v>
      </c>
      <c r="I21" s="66">
        <v>0</v>
      </c>
      <c r="L21" s="90" t="s">
        <v>280</v>
      </c>
      <c r="M21" s="84">
        <v>0.27</v>
      </c>
      <c r="N21" s="85">
        <v>0</v>
      </c>
      <c r="O21" s="86"/>
      <c r="P21" s="83" t="s">
        <v>61</v>
      </c>
    </row>
    <row r="22" spans="2:16">
      <c r="B22" s="76" t="s">
        <v>252</v>
      </c>
      <c r="C22" s="64">
        <v>3038</v>
      </c>
      <c r="D22" s="65">
        <v>0.65</v>
      </c>
      <c r="E22" s="65">
        <v>1.04</v>
      </c>
      <c r="F22" s="65">
        <v>1.51</v>
      </c>
      <c r="G22" s="66">
        <v>0.45500000000000002</v>
      </c>
      <c r="H22" s="66">
        <v>0.19800000000000001</v>
      </c>
      <c r="I22" s="66">
        <v>0</v>
      </c>
      <c r="L22" s="90" t="s">
        <v>281</v>
      </c>
      <c r="M22" s="84">
        <v>0.48</v>
      </c>
      <c r="N22" s="85">
        <v>0</v>
      </c>
      <c r="O22" s="86"/>
      <c r="P22" s="83" t="s">
        <v>63</v>
      </c>
    </row>
    <row r="23" spans="2:16">
      <c r="B23" s="76" t="s">
        <v>253</v>
      </c>
      <c r="C23" s="64">
        <v>2698</v>
      </c>
      <c r="D23" s="65">
        <v>0.65</v>
      </c>
      <c r="E23" s="65">
        <v>1.06</v>
      </c>
      <c r="F23" s="65">
        <v>1.0900000000000001</v>
      </c>
      <c r="G23" s="66">
        <v>1.4E-2</v>
      </c>
      <c r="H23" s="66">
        <v>6.0000000000000001E-3</v>
      </c>
      <c r="I23" s="66">
        <v>0</v>
      </c>
      <c r="L23" s="90" t="s">
        <v>284</v>
      </c>
      <c r="M23" s="84">
        <v>0.13</v>
      </c>
      <c r="N23" s="85">
        <v>0.15</v>
      </c>
      <c r="O23" s="86"/>
      <c r="P23" s="83" t="s">
        <v>64</v>
      </c>
    </row>
    <row r="24" spans="2:16">
      <c r="B24" s="76" t="s">
        <v>254</v>
      </c>
      <c r="C24" s="64">
        <v>3401</v>
      </c>
      <c r="D24" s="65">
        <v>0.92</v>
      </c>
      <c r="E24" s="65">
        <v>1</v>
      </c>
      <c r="F24" s="65">
        <v>1</v>
      </c>
      <c r="G24" s="66">
        <v>0</v>
      </c>
      <c r="H24" s="66">
        <v>0</v>
      </c>
      <c r="I24" s="66">
        <v>0</v>
      </c>
      <c r="L24" s="90" t="s">
        <v>6</v>
      </c>
      <c r="M24" s="84"/>
      <c r="N24" s="85"/>
      <c r="O24" s="86"/>
      <c r="P24" s="83" t="s">
        <v>65</v>
      </c>
    </row>
    <row r="25" spans="2:16">
      <c r="B25" s="76" t="s">
        <v>83</v>
      </c>
      <c r="C25" s="64">
        <v>5468</v>
      </c>
      <c r="D25" s="65">
        <v>0.82</v>
      </c>
      <c r="E25" s="65">
        <v>1.05</v>
      </c>
      <c r="F25" s="65">
        <v>1.22</v>
      </c>
      <c r="G25" s="66">
        <v>0.23</v>
      </c>
      <c r="H25" s="66">
        <v>0.1</v>
      </c>
      <c r="I25" s="66">
        <v>0</v>
      </c>
      <c r="L25" s="90" t="s">
        <v>19</v>
      </c>
      <c r="M25" s="84">
        <v>0</v>
      </c>
      <c r="N25" s="85">
        <v>0</v>
      </c>
      <c r="O25" s="86"/>
      <c r="P25" s="83" t="s">
        <v>66</v>
      </c>
    </row>
    <row r="26" spans="2:16">
      <c r="B26" s="76" t="s">
        <v>255</v>
      </c>
      <c r="C26" s="64">
        <v>3890</v>
      </c>
      <c r="D26" s="65">
        <v>0.67</v>
      </c>
      <c r="E26" s="65">
        <v>1.1399999999999999</v>
      </c>
      <c r="F26" s="65">
        <v>1.04</v>
      </c>
      <c r="G26" s="66">
        <v>0.46300000000000002</v>
      </c>
      <c r="H26" s="66">
        <v>0.20100000000000001</v>
      </c>
      <c r="I26" s="66">
        <v>0</v>
      </c>
      <c r="L26" s="86"/>
      <c r="M26" s="86"/>
      <c r="N26" s="86"/>
      <c r="O26" s="86"/>
      <c r="P26" s="83" t="s">
        <v>67</v>
      </c>
    </row>
    <row r="27" spans="2:16">
      <c r="B27" s="76" t="s">
        <v>256</v>
      </c>
      <c r="C27" s="64">
        <v>3038</v>
      </c>
      <c r="D27" s="65">
        <v>0.65</v>
      </c>
      <c r="E27" s="65">
        <v>1.1499999999999999</v>
      </c>
      <c r="F27" s="65">
        <v>1.4</v>
      </c>
      <c r="G27" s="66">
        <v>0.249</v>
      </c>
      <c r="H27" s="66">
        <v>0.108</v>
      </c>
      <c r="I27" s="66">
        <v>0</v>
      </c>
      <c r="L27" s="86"/>
      <c r="M27" s="86"/>
      <c r="N27" s="86"/>
      <c r="O27" s="86"/>
      <c r="P27" s="83" t="s">
        <v>6</v>
      </c>
    </row>
    <row r="28" spans="2:16">
      <c r="B28" s="76" t="s">
        <v>257</v>
      </c>
      <c r="C28" s="64">
        <v>7616</v>
      </c>
      <c r="D28" s="65">
        <v>0.56000000000000005</v>
      </c>
      <c r="E28" s="65">
        <v>1.1299999999999999</v>
      </c>
      <c r="F28" s="65">
        <v>1.35</v>
      </c>
      <c r="G28" s="66">
        <v>0.14799999999999999</v>
      </c>
      <c r="H28" s="66">
        <v>6.4000000000000001E-2</v>
      </c>
      <c r="I28" s="66">
        <v>0</v>
      </c>
    </row>
    <row r="29" spans="2:16">
      <c r="B29" s="76" t="s">
        <v>258</v>
      </c>
      <c r="C29" s="64">
        <v>4618</v>
      </c>
      <c r="D29" s="65">
        <v>0.81</v>
      </c>
      <c r="E29" s="65">
        <v>1.02</v>
      </c>
      <c r="F29" s="65">
        <v>1.04</v>
      </c>
      <c r="G29" s="66">
        <v>0.27</v>
      </c>
      <c r="H29" s="66">
        <v>0.11700000000000001</v>
      </c>
      <c r="I29" s="66">
        <v>0</v>
      </c>
    </row>
    <row r="30" spans="2:16">
      <c r="B30" s="76" t="s">
        <v>259</v>
      </c>
      <c r="C30" s="64">
        <v>5216</v>
      </c>
      <c r="D30" s="65">
        <v>0.62</v>
      </c>
      <c r="E30" s="65">
        <v>1.1100000000000001</v>
      </c>
      <c r="F30" s="65">
        <v>1.1599999999999999</v>
      </c>
      <c r="G30" s="66">
        <v>0.48399999999999999</v>
      </c>
      <c r="H30" s="66">
        <v>0.21099999999999999</v>
      </c>
      <c r="I30" s="66">
        <v>0</v>
      </c>
      <c r="L30" s="87" t="s">
        <v>273</v>
      </c>
      <c r="M30" s="87" t="s">
        <v>244</v>
      </c>
      <c r="N30" s="87"/>
    </row>
    <row r="31" spans="2:16">
      <c r="B31" s="76" t="s">
        <v>260</v>
      </c>
      <c r="C31" s="64">
        <v>6138</v>
      </c>
      <c r="D31" s="65">
        <v>0.85</v>
      </c>
      <c r="E31" s="65">
        <v>1.0900000000000001</v>
      </c>
      <c r="F31" s="65">
        <v>1.26</v>
      </c>
      <c r="G31" s="66">
        <v>0.40600000000000003</v>
      </c>
      <c r="H31" s="66">
        <v>0.17599999999999999</v>
      </c>
      <c r="I31" s="66">
        <v>0</v>
      </c>
      <c r="L31" s="88" t="s">
        <v>241</v>
      </c>
      <c r="M31" s="89" t="str">
        <f>IF(OR('Lighting Calculator'!$C$13=0, 'Lighting Calculator'!$C$14=0), "", INDEX($B$14:$I$44, MATCH('Lighting Calculator'!$C$13, $B$14:$B$44, 0),6))</f>
        <v/>
      </c>
      <c r="N31" s="89"/>
    </row>
    <row r="32" spans="2:16">
      <c r="B32" s="76" t="s">
        <v>261</v>
      </c>
      <c r="C32" s="64">
        <v>2390</v>
      </c>
      <c r="D32" s="65">
        <v>0.46</v>
      </c>
      <c r="E32" s="65">
        <v>1.17</v>
      </c>
      <c r="F32" s="65">
        <v>1.21</v>
      </c>
      <c r="G32" s="66">
        <v>0.46800000000000003</v>
      </c>
      <c r="H32" s="66">
        <v>0.20399999999999999</v>
      </c>
      <c r="I32" s="66">
        <v>0</v>
      </c>
      <c r="L32" s="88" t="s">
        <v>20</v>
      </c>
      <c r="M32" s="89" t="str">
        <f>IF(OR('Lighting Calculator'!$C$13=0, 'Lighting Calculator'!$C$14=0), "", INDEX($B$14:$I$44, MATCH('Lighting Calculator'!$C$13, $B$14:$B$44, 0),7))</f>
        <v/>
      </c>
      <c r="N32" s="89"/>
    </row>
    <row r="33" spans="2:14">
      <c r="B33" s="76" t="s">
        <v>262</v>
      </c>
      <c r="C33" s="64">
        <v>2886</v>
      </c>
      <c r="D33" s="65">
        <v>0.6</v>
      </c>
      <c r="E33" s="65">
        <v>1.21</v>
      </c>
      <c r="F33" s="65">
        <v>1.17</v>
      </c>
      <c r="G33" s="66">
        <v>0.153</v>
      </c>
      <c r="H33" s="66">
        <v>6.7000000000000004E-2</v>
      </c>
      <c r="I33" s="66">
        <v>0</v>
      </c>
      <c r="L33" s="88" t="s">
        <v>242</v>
      </c>
      <c r="M33" s="89" t="str">
        <f>IF(OR('Lighting Calculator'!$C$13=0, 'Lighting Calculator'!$C$14=0), "", INDEX($B$14:$I$44, MATCH('Lighting Calculator'!$C$13, $B$14:$B$44, 0),8))</f>
        <v/>
      </c>
      <c r="N33" s="89"/>
    </row>
    <row r="34" spans="2:14">
      <c r="B34" s="76" t="s">
        <v>263</v>
      </c>
      <c r="C34" s="64">
        <v>2698</v>
      </c>
      <c r="D34" s="65">
        <v>0.52</v>
      </c>
      <c r="E34" s="65">
        <v>1.1000000000000001</v>
      </c>
      <c r="F34" s="65">
        <v>1.26</v>
      </c>
      <c r="G34" s="66">
        <v>0.23100000000000001</v>
      </c>
      <c r="H34" s="66">
        <v>0.1</v>
      </c>
      <c r="I34" s="66">
        <v>0</v>
      </c>
    </row>
    <row r="35" spans="2:14">
      <c r="B35" s="76" t="s">
        <v>264</v>
      </c>
      <c r="C35" s="64">
        <v>3266</v>
      </c>
      <c r="D35" s="65">
        <v>0.6</v>
      </c>
      <c r="E35" s="65">
        <v>1.1000000000000001</v>
      </c>
      <c r="F35" s="65">
        <v>1.36</v>
      </c>
      <c r="G35" s="66">
        <v>0.378</v>
      </c>
      <c r="H35" s="66">
        <v>0.16400000000000001</v>
      </c>
      <c r="I35" s="66">
        <v>0</v>
      </c>
    </row>
    <row r="36" spans="2:14">
      <c r="B36" s="76" t="s">
        <v>265</v>
      </c>
      <c r="C36" s="64">
        <v>2085</v>
      </c>
      <c r="D36" s="65">
        <v>0.48</v>
      </c>
      <c r="E36" s="65">
        <v>1.1200000000000001</v>
      </c>
      <c r="F36" s="65">
        <v>1.37</v>
      </c>
      <c r="G36" s="66">
        <v>0.35599999999999998</v>
      </c>
      <c r="H36" s="66">
        <v>0.155</v>
      </c>
      <c r="I36" s="66">
        <v>0</v>
      </c>
    </row>
    <row r="37" spans="2:14">
      <c r="B37" s="76" t="s">
        <v>266</v>
      </c>
      <c r="C37" s="64">
        <v>5571</v>
      </c>
      <c r="D37" s="65">
        <v>1</v>
      </c>
      <c r="E37" s="65">
        <v>1.08</v>
      </c>
      <c r="F37" s="65">
        <v>1.1000000000000001</v>
      </c>
      <c r="G37" s="66">
        <v>0.20799999999999999</v>
      </c>
      <c r="H37" s="66">
        <v>0.09</v>
      </c>
      <c r="I37" s="66">
        <v>0</v>
      </c>
    </row>
    <row r="38" spans="2:14">
      <c r="B38" s="76" t="s">
        <v>267</v>
      </c>
      <c r="C38" s="64">
        <v>4099</v>
      </c>
      <c r="D38" s="65">
        <v>0.94</v>
      </c>
      <c r="E38" s="65">
        <v>1.06</v>
      </c>
      <c r="F38" s="65">
        <v>1.06</v>
      </c>
      <c r="G38" s="66">
        <v>0.34599999999999997</v>
      </c>
      <c r="H38" s="66">
        <v>0.15</v>
      </c>
      <c r="I38" s="66">
        <v>0</v>
      </c>
    </row>
    <row r="39" spans="2:14">
      <c r="B39" s="76" t="s">
        <v>268</v>
      </c>
      <c r="C39" s="64">
        <v>4093</v>
      </c>
      <c r="D39" s="65">
        <v>0.71</v>
      </c>
      <c r="E39" s="65">
        <v>1.1200000000000001</v>
      </c>
      <c r="F39" s="65">
        <v>1.29</v>
      </c>
      <c r="G39" s="66">
        <v>0.45</v>
      </c>
      <c r="H39" s="66">
        <v>0.19600000000000001</v>
      </c>
      <c r="I39" s="66">
        <v>0</v>
      </c>
    </row>
    <row r="40" spans="2:14">
      <c r="B40" s="76" t="s">
        <v>5</v>
      </c>
      <c r="C40" s="64">
        <v>3135</v>
      </c>
      <c r="D40" s="65">
        <v>0.85</v>
      </c>
      <c r="E40" s="65">
        <v>1.02</v>
      </c>
      <c r="F40" s="65">
        <v>1.17</v>
      </c>
      <c r="G40" s="66">
        <v>0.378</v>
      </c>
      <c r="H40" s="66">
        <v>0.16400000000000001</v>
      </c>
      <c r="I40" s="66">
        <v>0</v>
      </c>
    </row>
    <row r="41" spans="2:14">
      <c r="B41" s="76" t="s">
        <v>12</v>
      </c>
      <c r="C41" s="64">
        <v>3379</v>
      </c>
      <c r="D41" s="65">
        <v>0.67</v>
      </c>
      <c r="E41" s="65">
        <v>1.08</v>
      </c>
      <c r="F41" s="65">
        <v>1.3</v>
      </c>
      <c r="G41" s="66">
        <v>0.35399999999999998</v>
      </c>
      <c r="H41" s="66">
        <v>0.154</v>
      </c>
      <c r="I41" s="66">
        <v>0</v>
      </c>
    </row>
    <row r="42" spans="2:14">
      <c r="B42" s="76" t="s">
        <v>269</v>
      </c>
      <c r="C42" s="64">
        <v>2954</v>
      </c>
      <c r="D42" s="65">
        <v>0.66</v>
      </c>
      <c r="E42" s="65">
        <v>1.31</v>
      </c>
      <c r="F42" s="65">
        <v>1.53</v>
      </c>
      <c r="G42" s="66">
        <v>0.52400000000000002</v>
      </c>
      <c r="H42" s="66">
        <v>0.26200000000000001</v>
      </c>
      <c r="I42" s="66">
        <v>0</v>
      </c>
    </row>
    <row r="43" spans="2:14">
      <c r="B43" s="76" t="s">
        <v>270</v>
      </c>
      <c r="C43" s="64">
        <v>5802</v>
      </c>
      <c r="D43" s="65">
        <v>1</v>
      </c>
      <c r="E43" s="65">
        <v>1.29</v>
      </c>
      <c r="F43" s="65">
        <v>1.29</v>
      </c>
      <c r="G43" s="66">
        <v>0</v>
      </c>
      <c r="H43" s="66">
        <v>0</v>
      </c>
      <c r="I43" s="66">
        <v>0</v>
      </c>
    </row>
    <row r="44" spans="2:14">
      <c r="B44" s="76" t="s">
        <v>271</v>
      </c>
      <c r="C44" s="64">
        <v>5802</v>
      </c>
      <c r="D44" s="65">
        <v>1</v>
      </c>
      <c r="E44" s="65">
        <v>1.5</v>
      </c>
      <c r="F44" s="65">
        <v>1.5</v>
      </c>
      <c r="G44" s="66">
        <v>0</v>
      </c>
      <c r="H44" s="66">
        <v>0</v>
      </c>
      <c r="I44" s="66">
        <v>0</v>
      </c>
    </row>
  </sheetData>
  <sheetProtection algorithmName="SHA-512" hashValue="k3GhTKCUXAwA57M1iEzRN20iCQG5kzCD8y0+qQbz9B8NuqTSKb0PMkYnVGk+7YNs5SJ0Xzk5/U3NLHwfUb87lw==" saltValue="bi++nw5mXPAEGdHhhqknbQ==" spinCount="100000" sheet="1" objects="1" scenarios="1"/>
  <sortState xmlns:xlrd2="http://schemas.microsoft.com/office/spreadsheetml/2017/richdata2" ref="P13:P26">
    <sortCondition ref="P13:P26"/>
  </sortState>
  <mergeCells count="3">
    <mergeCell ref="G10:I10"/>
    <mergeCell ref="B2:I2"/>
    <mergeCell ref="B3:I3"/>
  </mergeCells>
  <pageMargins left="0.7" right="0.7" top="0.75" bottom="0.75" header="0.3" footer="0.3"/>
  <pageSetup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L95"/>
  <sheetViews>
    <sheetView zoomScaleNormal="100" workbookViewId="0">
      <selection activeCell="N5" sqref="N5"/>
    </sheetView>
  </sheetViews>
  <sheetFormatPr defaultRowHeight="15"/>
  <cols>
    <col min="1" max="1" width="48.7109375" style="132" bestFit="1" customWidth="1"/>
    <col min="2" max="2" width="9.7109375" style="132" bestFit="1" customWidth="1"/>
    <col min="3" max="3" width="8.140625" style="132" bestFit="1" customWidth="1"/>
    <col min="4" max="4" width="9" style="132" bestFit="1" customWidth="1"/>
    <col min="5" max="10" width="10.140625" style="132" bestFit="1" customWidth="1"/>
    <col min="11" max="12" width="11.42578125" style="132" bestFit="1" customWidth="1"/>
    <col min="13" max="16384" width="9.140625" style="9"/>
  </cols>
  <sheetData>
    <row r="1" spans="1:12">
      <c r="A1" s="42" t="s">
        <v>229</v>
      </c>
      <c r="B1" s="115" t="s">
        <v>288</v>
      </c>
      <c r="C1" s="115"/>
      <c r="D1" s="111" t="s">
        <v>296</v>
      </c>
      <c r="E1" s="111"/>
      <c r="F1" s="111"/>
      <c r="G1" s="111"/>
      <c r="H1" s="111"/>
      <c r="I1" s="111"/>
      <c r="J1" s="111"/>
      <c r="K1" s="111"/>
      <c r="L1" s="111"/>
    </row>
    <row r="2" spans="1:12">
      <c r="A2" s="42"/>
      <c r="B2" s="42"/>
      <c r="C2" s="42"/>
      <c r="D2" s="111"/>
      <c r="E2" s="111"/>
      <c r="F2" s="111"/>
      <c r="G2" s="111"/>
      <c r="H2" s="111"/>
      <c r="I2" s="111"/>
      <c r="J2" s="111"/>
      <c r="K2" s="111"/>
      <c r="L2" s="111"/>
    </row>
    <row r="3" spans="1:12">
      <c r="A3" s="124" t="s">
        <v>185</v>
      </c>
      <c r="B3" s="124"/>
      <c r="C3" s="124"/>
      <c r="D3" s="124"/>
      <c r="E3" s="124"/>
      <c r="F3" s="124"/>
      <c r="G3" s="124"/>
      <c r="H3" s="124"/>
      <c r="I3" s="124"/>
      <c r="J3" s="124"/>
      <c r="K3" s="124"/>
      <c r="L3" s="124"/>
    </row>
    <row r="4" spans="1:12" ht="15.75">
      <c r="A4" s="120" t="s">
        <v>84</v>
      </c>
      <c r="B4" s="121"/>
      <c r="C4" s="121"/>
      <c r="D4" s="121"/>
      <c r="E4" s="121"/>
      <c r="F4" s="121"/>
      <c r="G4" s="121"/>
      <c r="H4" s="121"/>
      <c r="I4" s="121"/>
      <c r="J4" s="121"/>
      <c r="K4" s="121"/>
      <c r="L4" s="122"/>
    </row>
    <row r="5" spans="1:12">
      <c r="A5" s="125" t="s">
        <v>297</v>
      </c>
      <c r="B5" s="126"/>
      <c r="C5" s="126"/>
      <c r="D5" s="126"/>
      <c r="E5" s="126"/>
      <c r="F5" s="126"/>
      <c r="G5" s="126"/>
      <c r="H5" s="126"/>
      <c r="I5" s="126"/>
      <c r="J5" s="126"/>
      <c r="K5" s="126"/>
      <c r="L5" s="127"/>
    </row>
    <row r="6" spans="1:12">
      <c r="A6" s="128"/>
      <c r="B6" s="129"/>
      <c r="C6" s="129"/>
      <c r="D6" s="129"/>
      <c r="E6" s="129"/>
      <c r="F6" s="129"/>
      <c r="G6" s="129"/>
      <c r="H6" s="129"/>
      <c r="I6" s="129"/>
      <c r="J6" s="129"/>
      <c r="K6" s="129"/>
      <c r="L6" s="130"/>
    </row>
    <row r="7" spans="1:12">
      <c r="A7" s="42"/>
      <c r="B7" s="42"/>
      <c r="C7" s="42"/>
      <c r="D7" s="42"/>
      <c r="E7" s="42"/>
      <c r="F7" s="42"/>
      <c r="G7" s="42"/>
      <c r="H7" s="42"/>
      <c r="I7" s="42"/>
      <c r="J7" s="42"/>
      <c r="K7" s="42"/>
      <c r="L7" s="42"/>
    </row>
    <row r="8" spans="1:12">
      <c r="A8" s="42"/>
      <c r="B8" s="42"/>
      <c r="C8" s="42"/>
      <c r="D8" s="42">
        <v>1</v>
      </c>
      <c r="E8" s="42">
        <v>2</v>
      </c>
      <c r="F8" s="42">
        <v>3</v>
      </c>
      <c r="G8" s="42">
        <v>4</v>
      </c>
      <c r="H8" s="42">
        <v>5</v>
      </c>
      <c r="I8" s="42">
        <v>6</v>
      </c>
      <c r="J8" s="42">
        <v>8</v>
      </c>
      <c r="K8" s="42">
        <v>10</v>
      </c>
      <c r="L8" s="42">
        <v>12</v>
      </c>
    </row>
    <row r="9" spans="1:12" ht="15.75">
      <c r="A9" s="120" t="s">
        <v>95</v>
      </c>
      <c r="B9" s="121"/>
      <c r="C9" s="121"/>
      <c r="D9" s="121"/>
      <c r="E9" s="121"/>
      <c r="F9" s="121"/>
      <c r="G9" s="121"/>
      <c r="H9" s="121"/>
      <c r="I9" s="121"/>
      <c r="J9" s="121"/>
      <c r="K9" s="121"/>
      <c r="L9" s="122"/>
    </row>
    <row r="10" spans="1:12">
      <c r="A10" s="13" t="s">
        <v>85</v>
      </c>
      <c r="B10" s="59" t="s">
        <v>230</v>
      </c>
      <c r="C10" s="59" t="s">
        <v>231</v>
      </c>
      <c r="D10" s="40" t="s">
        <v>86</v>
      </c>
      <c r="E10" s="40" t="s">
        <v>87</v>
      </c>
      <c r="F10" s="40" t="s">
        <v>88</v>
      </c>
      <c r="G10" s="40" t="s">
        <v>89</v>
      </c>
      <c r="H10" s="40" t="s">
        <v>90</v>
      </c>
      <c r="I10" s="40" t="s">
        <v>91</v>
      </c>
      <c r="J10" s="40" t="s">
        <v>92</v>
      </c>
      <c r="K10" s="40" t="s">
        <v>93</v>
      </c>
      <c r="L10" s="40" t="s">
        <v>94</v>
      </c>
    </row>
    <row r="11" spans="1:12">
      <c r="A11" s="13" t="s">
        <v>202</v>
      </c>
      <c r="B11" s="59">
        <v>15</v>
      </c>
      <c r="C11" s="59">
        <v>0.88</v>
      </c>
      <c r="D11" s="131">
        <f>ROUND($B11*$C11*D$8, 2)</f>
        <v>13.2</v>
      </c>
      <c r="E11" s="131">
        <f t="shared" ref="E11:L11" si="0">ROUND($B11*$C11*E$8, 2)</f>
        <v>26.4</v>
      </c>
      <c r="F11" s="131">
        <f t="shared" si="0"/>
        <v>39.6</v>
      </c>
      <c r="G11" s="131">
        <f t="shared" si="0"/>
        <v>52.8</v>
      </c>
      <c r="H11" s="131">
        <f t="shared" si="0"/>
        <v>66</v>
      </c>
      <c r="I11" s="131">
        <f t="shared" si="0"/>
        <v>79.2</v>
      </c>
      <c r="J11" s="131">
        <f t="shared" si="0"/>
        <v>105.6</v>
      </c>
      <c r="K11" s="131">
        <f t="shared" si="0"/>
        <v>132</v>
      </c>
      <c r="L11" s="131">
        <f t="shared" si="0"/>
        <v>158.4</v>
      </c>
    </row>
    <row r="12" spans="1:12">
      <c r="A12" s="13" t="s">
        <v>232</v>
      </c>
      <c r="B12" s="59">
        <v>16</v>
      </c>
      <c r="C12" s="59">
        <v>0.88</v>
      </c>
      <c r="D12" s="131">
        <f t="shared" ref="D12:L31" si="1">ROUND($B12*$C12*D$8, 2)</f>
        <v>14.08</v>
      </c>
      <c r="E12" s="131">
        <f t="shared" si="1"/>
        <v>28.16</v>
      </c>
      <c r="F12" s="131">
        <f t="shared" si="1"/>
        <v>42.24</v>
      </c>
      <c r="G12" s="131">
        <f t="shared" si="1"/>
        <v>56.32</v>
      </c>
      <c r="H12" s="131">
        <f t="shared" si="1"/>
        <v>70.400000000000006</v>
      </c>
      <c r="I12" s="131">
        <f t="shared" si="1"/>
        <v>84.48</v>
      </c>
      <c r="J12" s="131">
        <f t="shared" si="1"/>
        <v>112.64</v>
      </c>
      <c r="K12" s="131">
        <f t="shared" si="1"/>
        <v>140.80000000000001</v>
      </c>
      <c r="L12" s="131">
        <f t="shared" si="1"/>
        <v>168.96</v>
      </c>
    </row>
    <row r="13" spans="1:12">
      <c r="A13" s="13" t="s">
        <v>96</v>
      </c>
      <c r="B13" s="59">
        <v>17</v>
      </c>
      <c r="C13" s="59">
        <v>0.88</v>
      </c>
      <c r="D13" s="131">
        <f t="shared" si="1"/>
        <v>14.96</v>
      </c>
      <c r="E13" s="131">
        <f t="shared" si="1"/>
        <v>29.92</v>
      </c>
      <c r="F13" s="131">
        <f t="shared" si="1"/>
        <v>44.88</v>
      </c>
      <c r="G13" s="131">
        <f t="shared" si="1"/>
        <v>59.84</v>
      </c>
      <c r="H13" s="131">
        <f t="shared" si="1"/>
        <v>74.8</v>
      </c>
      <c r="I13" s="131">
        <f t="shared" si="1"/>
        <v>89.76</v>
      </c>
      <c r="J13" s="131">
        <f t="shared" si="1"/>
        <v>119.68</v>
      </c>
      <c r="K13" s="131">
        <f t="shared" si="1"/>
        <v>149.6</v>
      </c>
      <c r="L13" s="131">
        <f t="shared" si="1"/>
        <v>179.52</v>
      </c>
    </row>
    <row r="14" spans="1:12">
      <c r="A14" s="13" t="s">
        <v>233</v>
      </c>
      <c r="B14" s="59">
        <v>23</v>
      </c>
      <c r="C14" s="59">
        <v>0.88</v>
      </c>
      <c r="D14" s="131">
        <f t="shared" si="1"/>
        <v>20.239999999999998</v>
      </c>
      <c r="E14" s="131">
        <f t="shared" si="1"/>
        <v>40.479999999999997</v>
      </c>
      <c r="F14" s="131">
        <f t="shared" si="1"/>
        <v>60.72</v>
      </c>
      <c r="G14" s="131">
        <f t="shared" si="1"/>
        <v>80.959999999999994</v>
      </c>
      <c r="H14" s="131">
        <f t="shared" si="1"/>
        <v>101.2</v>
      </c>
      <c r="I14" s="131">
        <f t="shared" si="1"/>
        <v>121.44</v>
      </c>
      <c r="J14" s="131">
        <f t="shared" si="1"/>
        <v>161.91999999999999</v>
      </c>
      <c r="K14" s="131">
        <f t="shared" si="1"/>
        <v>202.4</v>
      </c>
      <c r="L14" s="131">
        <f t="shared" si="1"/>
        <v>242.88</v>
      </c>
    </row>
    <row r="15" spans="1:12">
      <c r="A15" s="13" t="s">
        <v>97</v>
      </c>
      <c r="B15" s="59">
        <v>25</v>
      </c>
      <c r="C15" s="59">
        <v>0.88</v>
      </c>
      <c r="D15" s="131">
        <f t="shared" si="1"/>
        <v>22</v>
      </c>
      <c r="E15" s="131">
        <f t="shared" si="1"/>
        <v>44</v>
      </c>
      <c r="F15" s="131">
        <f t="shared" si="1"/>
        <v>66</v>
      </c>
      <c r="G15" s="131">
        <f t="shared" si="1"/>
        <v>88</v>
      </c>
      <c r="H15" s="131">
        <f t="shared" si="1"/>
        <v>110</v>
      </c>
      <c r="I15" s="131">
        <f t="shared" si="1"/>
        <v>132</v>
      </c>
      <c r="J15" s="131">
        <f t="shared" si="1"/>
        <v>176</v>
      </c>
      <c r="K15" s="131">
        <f t="shared" si="1"/>
        <v>220</v>
      </c>
      <c r="L15" s="131">
        <f t="shared" si="1"/>
        <v>264</v>
      </c>
    </row>
    <row r="16" spans="1:12">
      <c r="A16" s="13" t="s">
        <v>98</v>
      </c>
      <c r="B16" s="60">
        <v>25</v>
      </c>
      <c r="C16" s="59">
        <v>0.88</v>
      </c>
      <c r="D16" s="131">
        <f t="shared" si="1"/>
        <v>22</v>
      </c>
      <c r="E16" s="131">
        <f t="shared" si="1"/>
        <v>44</v>
      </c>
      <c r="F16" s="131">
        <f t="shared" si="1"/>
        <v>66</v>
      </c>
      <c r="G16" s="131">
        <f t="shared" si="1"/>
        <v>88</v>
      </c>
      <c r="H16" s="131">
        <f t="shared" si="1"/>
        <v>110</v>
      </c>
      <c r="I16" s="131">
        <f t="shared" si="1"/>
        <v>132</v>
      </c>
      <c r="J16" s="131">
        <f t="shared" si="1"/>
        <v>176</v>
      </c>
      <c r="K16" s="131">
        <f t="shared" si="1"/>
        <v>220</v>
      </c>
      <c r="L16" s="131">
        <f t="shared" si="1"/>
        <v>264</v>
      </c>
    </row>
    <row r="17" spans="1:12">
      <c r="A17" s="13" t="s">
        <v>99</v>
      </c>
      <c r="B17" s="60">
        <v>28</v>
      </c>
      <c r="C17" s="59">
        <v>0.88</v>
      </c>
      <c r="D17" s="131">
        <f t="shared" si="1"/>
        <v>24.64</v>
      </c>
      <c r="E17" s="131">
        <f t="shared" si="1"/>
        <v>49.28</v>
      </c>
      <c r="F17" s="131">
        <f t="shared" si="1"/>
        <v>73.92</v>
      </c>
      <c r="G17" s="131">
        <f t="shared" si="1"/>
        <v>98.56</v>
      </c>
      <c r="H17" s="131">
        <f t="shared" si="1"/>
        <v>123.2</v>
      </c>
      <c r="I17" s="131">
        <f t="shared" si="1"/>
        <v>147.84</v>
      </c>
      <c r="J17" s="131">
        <f t="shared" si="1"/>
        <v>197.12</v>
      </c>
      <c r="K17" s="131">
        <f t="shared" si="1"/>
        <v>246.4</v>
      </c>
      <c r="L17" s="131">
        <f t="shared" si="1"/>
        <v>295.68</v>
      </c>
    </row>
    <row r="18" spans="1:12">
      <c r="A18" s="13" t="s">
        <v>100</v>
      </c>
      <c r="B18" s="60">
        <v>30</v>
      </c>
      <c r="C18" s="59">
        <v>0.88</v>
      </c>
      <c r="D18" s="131">
        <f t="shared" si="1"/>
        <v>26.4</v>
      </c>
      <c r="E18" s="131">
        <f t="shared" si="1"/>
        <v>52.8</v>
      </c>
      <c r="F18" s="131">
        <f t="shared" si="1"/>
        <v>79.2</v>
      </c>
      <c r="G18" s="131">
        <f t="shared" si="1"/>
        <v>105.6</v>
      </c>
      <c r="H18" s="131">
        <f t="shared" si="1"/>
        <v>132</v>
      </c>
      <c r="I18" s="131">
        <f t="shared" si="1"/>
        <v>158.4</v>
      </c>
      <c r="J18" s="131">
        <f t="shared" si="1"/>
        <v>211.2</v>
      </c>
      <c r="K18" s="131">
        <f t="shared" si="1"/>
        <v>264</v>
      </c>
      <c r="L18" s="131">
        <f t="shared" si="1"/>
        <v>316.8</v>
      </c>
    </row>
    <row r="19" spans="1:12">
      <c r="A19" s="13" t="s">
        <v>101</v>
      </c>
      <c r="B19" s="60">
        <v>32</v>
      </c>
      <c r="C19" s="59">
        <v>0.77</v>
      </c>
      <c r="D19" s="131">
        <f t="shared" si="1"/>
        <v>24.64</v>
      </c>
      <c r="E19" s="131">
        <f t="shared" si="1"/>
        <v>49.28</v>
      </c>
      <c r="F19" s="131">
        <f t="shared" si="1"/>
        <v>73.92</v>
      </c>
      <c r="G19" s="131">
        <f t="shared" si="1"/>
        <v>98.56</v>
      </c>
      <c r="H19" s="131">
        <f t="shared" si="1"/>
        <v>123.2</v>
      </c>
      <c r="I19" s="131">
        <f t="shared" si="1"/>
        <v>147.84</v>
      </c>
      <c r="J19" s="131">
        <f t="shared" si="1"/>
        <v>197.12</v>
      </c>
      <c r="K19" s="131">
        <f t="shared" si="1"/>
        <v>246.4</v>
      </c>
      <c r="L19" s="131">
        <f t="shared" si="1"/>
        <v>295.68</v>
      </c>
    </row>
    <row r="20" spans="1:12">
      <c r="A20" s="13" t="s">
        <v>238</v>
      </c>
      <c r="B20" s="60">
        <v>32</v>
      </c>
      <c r="C20" s="59">
        <v>0.88</v>
      </c>
      <c r="D20" s="131">
        <f t="shared" si="1"/>
        <v>28.16</v>
      </c>
      <c r="E20" s="131">
        <f t="shared" si="1"/>
        <v>56.32</v>
      </c>
      <c r="F20" s="131">
        <f t="shared" si="1"/>
        <v>84.48</v>
      </c>
      <c r="G20" s="131">
        <f t="shared" si="1"/>
        <v>112.64</v>
      </c>
      <c r="H20" s="131">
        <f t="shared" si="1"/>
        <v>140.80000000000001</v>
      </c>
      <c r="I20" s="131">
        <f t="shared" si="1"/>
        <v>168.96</v>
      </c>
      <c r="J20" s="131">
        <f t="shared" si="1"/>
        <v>225.28</v>
      </c>
      <c r="K20" s="131">
        <f t="shared" si="1"/>
        <v>281.60000000000002</v>
      </c>
      <c r="L20" s="131">
        <f t="shared" si="1"/>
        <v>337.92</v>
      </c>
    </row>
    <row r="21" spans="1:12">
      <c r="A21" s="13" t="s">
        <v>239</v>
      </c>
      <c r="B21" s="60">
        <v>32</v>
      </c>
      <c r="C21" s="59">
        <f>SUM(D21:G21)/(10*B21)</f>
        <v>0.88500000000000001</v>
      </c>
      <c r="D21" s="131">
        <v>29.1</v>
      </c>
      <c r="E21" s="131">
        <v>57</v>
      </c>
      <c r="F21" s="131">
        <v>84.5</v>
      </c>
      <c r="G21" s="131">
        <v>112.6</v>
      </c>
      <c r="H21" s="131">
        <f t="shared" si="1"/>
        <v>141.6</v>
      </c>
      <c r="I21" s="131">
        <f t="shared" si="1"/>
        <v>169.92</v>
      </c>
      <c r="J21" s="131">
        <f t="shared" si="1"/>
        <v>226.56</v>
      </c>
      <c r="K21" s="131">
        <f t="shared" si="1"/>
        <v>283.2</v>
      </c>
      <c r="L21" s="131">
        <f t="shared" si="1"/>
        <v>339.84</v>
      </c>
    </row>
    <row r="22" spans="1:12">
      <c r="A22" s="28" t="s">
        <v>102</v>
      </c>
      <c r="B22" s="61">
        <v>40</v>
      </c>
      <c r="C22" s="59">
        <v>0.88</v>
      </c>
      <c r="D22" s="131">
        <f t="shared" si="1"/>
        <v>35.200000000000003</v>
      </c>
      <c r="E22" s="131">
        <f t="shared" si="1"/>
        <v>70.400000000000006</v>
      </c>
      <c r="F22" s="131">
        <f t="shared" si="1"/>
        <v>105.6</v>
      </c>
      <c r="G22" s="131">
        <f t="shared" si="1"/>
        <v>140.80000000000001</v>
      </c>
      <c r="H22" s="131">
        <f t="shared" si="1"/>
        <v>176</v>
      </c>
      <c r="I22" s="131">
        <f t="shared" si="1"/>
        <v>211.2</v>
      </c>
      <c r="J22" s="131">
        <f t="shared" si="1"/>
        <v>281.60000000000002</v>
      </c>
      <c r="K22" s="131">
        <f t="shared" si="1"/>
        <v>352</v>
      </c>
      <c r="L22" s="131">
        <f t="shared" si="1"/>
        <v>422.4</v>
      </c>
    </row>
    <row r="23" spans="1:12">
      <c r="A23" s="13" t="s">
        <v>103</v>
      </c>
      <c r="B23" s="59">
        <v>46</v>
      </c>
      <c r="C23" s="59">
        <v>0.88</v>
      </c>
      <c r="D23" s="131">
        <f>ROUND($B23*$C23*D$8, 2)</f>
        <v>40.479999999999997</v>
      </c>
      <c r="E23" s="131">
        <f t="shared" si="1"/>
        <v>80.959999999999994</v>
      </c>
      <c r="F23" s="131">
        <f t="shared" si="1"/>
        <v>121.44</v>
      </c>
      <c r="G23" s="131">
        <f t="shared" si="1"/>
        <v>161.91999999999999</v>
      </c>
      <c r="H23" s="131">
        <f t="shared" si="1"/>
        <v>202.4</v>
      </c>
      <c r="I23" s="131">
        <f t="shared" si="1"/>
        <v>242.88</v>
      </c>
      <c r="J23" s="131">
        <f t="shared" si="1"/>
        <v>323.83999999999997</v>
      </c>
      <c r="K23" s="131">
        <f t="shared" si="1"/>
        <v>404.8</v>
      </c>
      <c r="L23" s="131">
        <f t="shared" si="1"/>
        <v>485.76</v>
      </c>
    </row>
    <row r="24" spans="1:12">
      <c r="A24" s="13" t="s">
        <v>236</v>
      </c>
      <c r="B24" s="59">
        <v>65</v>
      </c>
      <c r="C24" s="59">
        <v>0.88</v>
      </c>
      <c r="D24" s="131">
        <f t="shared" si="1"/>
        <v>57.2</v>
      </c>
      <c r="E24" s="131">
        <f>ROUND($B24*$C24*E$8, 2)</f>
        <v>114.4</v>
      </c>
      <c r="F24" s="131">
        <f t="shared" si="1"/>
        <v>171.6</v>
      </c>
      <c r="G24" s="131">
        <f t="shared" si="1"/>
        <v>228.8</v>
      </c>
      <c r="H24" s="131">
        <f t="shared" si="1"/>
        <v>286</v>
      </c>
      <c r="I24" s="131">
        <f t="shared" si="1"/>
        <v>343.2</v>
      </c>
      <c r="J24" s="131">
        <f t="shared" si="1"/>
        <v>457.6</v>
      </c>
      <c r="K24" s="131">
        <f t="shared" si="1"/>
        <v>572</v>
      </c>
      <c r="L24" s="131">
        <f t="shared" si="1"/>
        <v>686.4</v>
      </c>
    </row>
    <row r="25" spans="1:12">
      <c r="A25" s="13" t="s">
        <v>237</v>
      </c>
      <c r="B25" s="59">
        <v>70</v>
      </c>
      <c r="C25" s="59">
        <v>0.88</v>
      </c>
      <c r="D25" s="131">
        <f t="shared" si="1"/>
        <v>61.6</v>
      </c>
      <c r="E25" s="131">
        <f t="shared" si="1"/>
        <v>123.2</v>
      </c>
      <c r="F25" s="131">
        <f t="shared" si="1"/>
        <v>184.8</v>
      </c>
      <c r="G25" s="131">
        <f t="shared" si="1"/>
        <v>246.4</v>
      </c>
      <c r="H25" s="131">
        <f t="shared" si="1"/>
        <v>308</v>
      </c>
      <c r="I25" s="131">
        <f t="shared" si="1"/>
        <v>369.6</v>
      </c>
      <c r="J25" s="131">
        <f t="shared" si="1"/>
        <v>492.8</v>
      </c>
      <c r="K25" s="131">
        <f t="shared" si="1"/>
        <v>616</v>
      </c>
      <c r="L25" s="131">
        <f t="shared" si="1"/>
        <v>739.2</v>
      </c>
    </row>
    <row r="26" spans="1:12">
      <c r="A26" s="13" t="s">
        <v>203</v>
      </c>
      <c r="B26" s="59">
        <v>25</v>
      </c>
      <c r="C26" s="59">
        <v>1.1499999999999999</v>
      </c>
      <c r="D26" s="131">
        <f t="shared" si="1"/>
        <v>28.75</v>
      </c>
      <c r="E26" s="131">
        <f t="shared" si="1"/>
        <v>57.5</v>
      </c>
      <c r="F26" s="131">
        <f t="shared" si="1"/>
        <v>86.25</v>
      </c>
      <c r="G26" s="131">
        <f t="shared" si="1"/>
        <v>115</v>
      </c>
      <c r="H26" s="131">
        <f t="shared" si="1"/>
        <v>143.75</v>
      </c>
      <c r="I26" s="131">
        <f t="shared" si="1"/>
        <v>172.5</v>
      </c>
      <c r="J26" s="131">
        <f t="shared" si="1"/>
        <v>230</v>
      </c>
      <c r="K26" s="131">
        <f t="shared" si="1"/>
        <v>287.5</v>
      </c>
      <c r="L26" s="131">
        <f t="shared" si="1"/>
        <v>345</v>
      </c>
    </row>
    <row r="27" spans="1:12">
      <c r="A27" s="13" t="s">
        <v>85</v>
      </c>
      <c r="B27" s="59" t="s">
        <v>230</v>
      </c>
      <c r="C27" s="59" t="s">
        <v>231</v>
      </c>
      <c r="D27" s="41" t="s">
        <v>86</v>
      </c>
      <c r="E27" s="41" t="s">
        <v>87</v>
      </c>
      <c r="F27" s="41" t="s">
        <v>88</v>
      </c>
      <c r="G27" s="41" t="s">
        <v>89</v>
      </c>
      <c r="H27" s="41" t="s">
        <v>90</v>
      </c>
      <c r="I27" s="41" t="s">
        <v>91</v>
      </c>
      <c r="J27" s="41" t="s">
        <v>92</v>
      </c>
      <c r="K27" s="41" t="s">
        <v>93</v>
      </c>
      <c r="L27" s="41" t="s">
        <v>94</v>
      </c>
    </row>
    <row r="28" spans="1:12">
      <c r="A28" s="13" t="s">
        <v>204</v>
      </c>
      <c r="B28" s="59">
        <v>28</v>
      </c>
      <c r="C28" s="59">
        <v>1.1499999999999999</v>
      </c>
      <c r="D28" s="131">
        <f t="shared" si="1"/>
        <v>32.200000000000003</v>
      </c>
      <c r="E28" s="131">
        <f t="shared" si="1"/>
        <v>64.400000000000006</v>
      </c>
      <c r="F28" s="131">
        <f t="shared" si="1"/>
        <v>96.6</v>
      </c>
      <c r="G28" s="131">
        <f t="shared" si="1"/>
        <v>128.80000000000001</v>
      </c>
      <c r="H28" s="131">
        <f t="shared" si="1"/>
        <v>161</v>
      </c>
      <c r="I28" s="131">
        <f t="shared" si="1"/>
        <v>193.2</v>
      </c>
      <c r="J28" s="131">
        <f t="shared" si="1"/>
        <v>257.60000000000002</v>
      </c>
      <c r="K28" s="131">
        <f t="shared" si="1"/>
        <v>322</v>
      </c>
      <c r="L28" s="131">
        <f t="shared" si="1"/>
        <v>386.4</v>
      </c>
    </row>
    <row r="29" spans="1:12">
      <c r="A29" s="13" t="s">
        <v>104</v>
      </c>
      <c r="B29" s="59">
        <v>32</v>
      </c>
      <c r="C29" s="59">
        <v>1.1499999999999999</v>
      </c>
      <c r="D29" s="131">
        <f t="shared" si="1"/>
        <v>36.799999999999997</v>
      </c>
      <c r="E29" s="131">
        <f t="shared" si="1"/>
        <v>73.599999999999994</v>
      </c>
      <c r="F29" s="131">
        <f t="shared" si="1"/>
        <v>110.4</v>
      </c>
      <c r="G29" s="131">
        <f t="shared" si="1"/>
        <v>147.19999999999999</v>
      </c>
      <c r="H29" s="131">
        <f t="shared" si="1"/>
        <v>184</v>
      </c>
      <c r="I29" s="131">
        <f t="shared" si="1"/>
        <v>220.8</v>
      </c>
      <c r="J29" s="131">
        <f t="shared" si="1"/>
        <v>294.39999999999998</v>
      </c>
      <c r="K29" s="131">
        <f t="shared" si="1"/>
        <v>368</v>
      </c>
      <c r="L29" s="131">
        <f t="shared" si="1"/>
        <v>441.6</v>
      </c>
    </row>
    <row r="30" spans="1:12">
      <c r="A30" s="13" t="s">
        <v>105</v>
      </c>
      <c r="B30" s="59">
        <v>32</v>
      </c>
      <c r="C30" s="77">
        <v>1.25</v>
      </c>
      <c r="D30" s="131">
        <v>41.8</v>
      </c>
      <c r="E30" s="131">
        <f t="shared" si="1"/>
        <v>80</v>
      </c>
      <c r="F30" s="131">
        <f t="shared" si="1"/>
        <v>120</v>
      </c>
      <c r="G30" s="131">
        <f t="shared" si="1"/>
        <v>160</v>
      </c>
      <c r="H30" s="131">
        <f t="shared" si="1"/>
        <v>200</v>
      </c>
      <c r="I30" s="131">
        <f t="shared" si="1"/>
        <v>240</v>
      </c>
      <c r="J30" s="131">
        <f t="shared" si="1"/>
        <v>320</v>
      </c>
      <c r="K30" s="131">
        <f t="shared" si="1"/>
        <v>400</v>
      </c>
      <c r="L30" s="131">
        <f t="shared" si="1"/>
        <v>480</v>
      </c>
    </row>
    <row r="31" spans="1:12">
      <c r="A31" s="13" t="s">
        <v>106</v>
      </c>
      <c r="B31" s="59">
        <v>44</v>
      </c>
      <c r="C31" s="77">
        <f>SUM(F31:G31,I31:J31)/(B31*SUM(F8:G8,I8:J8))</f>
        <v>1.1244588744588744</v>
      </c>
      <c r="D31" s="131">
        <f>ROUND($B31*$C31*D$8, 2)</f>
        <v>49.48</v>
      </c>
      <c r="E31" s="131">
        <f t="shared" si="1"/>
        <v>98.95</v>
      </c>
      <c r="F31" s="131">
        <v>157</v>
      </c>
      <c r="G31" s="131">
        <v>196</v>
      </c>
      <c r="H31" s="131">
        <f t="shared" si="1"/>
        <v>247.38</v>
      </c>
      <c r="I31" s="131">
        <v>294</v>
      </c>
      <c r="J31" s="131">
        <v>392</v>
      </c>
      <c r="K31" s="131">
        <f t="shared" si="1"/>
        <v>494.76</v>
      </c>
      <c r="L31" s="131">
        <f t="shared" si="1"/>
        <v>593.71</v>
      </c>
    </row>
    <row r="32" spans="1:12">
      <c r="A32" s="13" t="s">
        <v>107</v>
      </c>
      <c r="B32" s="59">
        <v>55</v>
      </c>
      <c r="C32" s="59">
        <v>1.1499999999999999</v>
      </c>
      <c r="D32" s="131">
        <f t="shared" ref="D32:L37" si="2">ROUND($B32*$C32*D$8, 2)</f>
        <v>63.25</v>
      </c>
      <c r="E32" s="131">
        <f t="shared" si="2"/>
        <v>126.5</v>
      </c>
      <c r="F32" s="131">
        <f t="shared" si="2"/>
        <v>189.75</v>
      </c>
      <c r="G32" s="131">
        <f t="shared" si="2"/>
        <v>253</v>
      </c>
      <c r="H32" s="131">
        <f t="shared" si="2"/>
        <v>316.25</v>
      </c>
      <c r="I32" s="131">
        <f t="shared" si="2"/>
        <v>379.5</v>
      </c>
      <c r="J32" s="131">
        <f t="shared" si="2"/>
        <v>506</v>
      </c>
      <c r="K32" s="131">
        <f t="shared" si="2"/>
        <v>632.5</v>
      </c>
      <c r="L32" s="131">
        <f t="shared" si="2"/>
        <v>759</v>
      </c>
    </row>
    <row r="33" spans="1:12">
      <c r="A33" s="13" t="s">
        <v>108</v>
      </c>
      <c r="B33" s="59">
        <v>66</v>
      </c>
      <c r="C33" s="59">
        <v>1.1499999999999999</v>
      </c>
      <c r="D33" s="131">
        <f t="shared" si="2"/>
        <v>75.900000000000006</v>
      </c>
      <c r="E33" s="131">
        <f t="shared" si="2"/>
        <v>151.80000000000001</v>
      </c>
      <c r="F33" s="131">
        <f t="shared" si="2"/>
        <v>227.7</v>
      </c>
      <c r="G33" s="131">
        <f t="shared" si="2"/>
        <v>303.60000000000002</v>
      </c>
      <c r="H33" s="131">
        <f t="shared" si="2"/>
        <v>379.5</v>
      </c>
      <c r="I33" s="131">
        <f t="shared" si="2"/>
        <v>455.4</v>
      </c>
      <c r="J33" s="131">
        <f t="shared" si="2"/>
        <v>607.20000000000005</v>
      </c>
      <c r="K33" s="131">
        <f t="shared" si="2"/>
        <v>759</v>
      </c>
      <c r="L33" s="131">
        <f t="shared" si="2"/>
        <v>910.8</v>
      </c>
    </row>
    <row r="34" spans="1:12">
      <c r="A34" s="13" t="s">
        <v>109</v>
      </c>
      <c r="B34" s="59">
        <v>86</v>
      </c>
      <c r="C34" s="59">
        <v>1.1499999999999999</v>
      </c>
      <c r="D34" s="131">
        <f t="shared" si="2"/>
        <v>98.9</v>
      </c>
      <c r="E34" s="131">
        <f t="shared" si="2"/>
        <v>197.8</v>
      </c>
      <c r="F34" s="131">
        <f t="shared" si="2"/>
        <v>296.7</v>
      </c>
      <c r="G34" s="131">
        <f t="shared" si="2"/>
        <v>395.6</v>
      </c>
      <c r="H34" s="131">
        <f t="shared" si="2"/>
        <v>494.5</v>
      </c>
      <c r="I34" s="131">
        <f t="shared" si="2"/>
        <v>593.4</v>
      </c>
      <c r="J34" s="131">
        <f t="shared" si="2"/>
        <v>791.2</v>
      </c>
      <c r="K34" s="131">
        <f t="shared" si="2"/>
        <v>989</v>
      </c>
      <c r="L34" s="131">
        <f t="shared" si="2"/>
        <v>1186.8</v>
      </c>
    </row>
    <row r="35" spans="1:12">
      <c r="A35" s="13" t="s">
        <v>235</v>
      </c>
      <c r="B35" s="59">
        <v>29</v>
      </c>
      <c r="C35" s="59">
        <v>0.88</v>
      </c>
      <c r="D35" s="131">
        <f t="shared" si="2"/>
        <v>25.52</v>
      </c>
      <c r="E35" s="131">
        <f>ROUND($B35*$C35*E$8, 2)</f>
        <v>51.04</v>
      </c>
      <c r="F35" s="131">
        <f t="shared" si="2"/>
        <v>76.56</v>
      </c>
      <c r="G35" s="131">
        <f t="shared" si="2"/>
        <v>102.08</v>
      </c>
      <c r="H35" s="131">
        <f t="shared" si="2"/>
        <v>127.6</v>
      </c>
      <c r="I35" s="131">
        <f t="shared" si="2"/>
        <v>153.12</v>
      </c>
      <c r="J35" s="131">
        <f t="shared" si="2"/>
        <v>204.16</v>
      </c>
      <c r="K35" s="131">
        <f t="shared" si="2"/>
        <v>255.2</v>
      </c>
      <c r="L35" s="131">
        <f t="shared" si="2"/>
        <v>306.24</v>
      </c>
    </row>
    <row r="36" spans="1:12">
      <c r="A36" s="13" t="s">
        <v>234</v>
      </c>
      <c r="B36" s="59">
        <v>30</v>
      </c>
      <c r="C36" s="59">
        <v>0.88</v>
      </c>
      <c r="D36" s="131">
        <f t="shared" si="2"/>
        <v>26.4</v>
      </c>
      <c r="E36" s="131">
        <f t="shared" si="2"/>
        <v>52.8</v>
      </c>
      <c r="F36" s="131">
        <f t="shared" si="2"/>
        <v>79.2</v>
      </c>
      <c r="G36" s="131">
        <f t="shared" si="2"/>
        <v>105.6</v>
      </c>
      <c r="H36" s="131">
        <f t="shared" si="2"/>
        <v>132</v>
      </c>
      <c r="I36" s="131">
        <f t="shared" si="2"/>
        <v>158.4</v>
      </c>
      <c r="J36" s="131">
        <f t="shared" si="2"/>
        <v>211.2</v>
      </c>
      <c r="K36" s="131">
        <f t="shared" si="2"/>
        <v>264</v>
      </c>
      <c r="L36" s="131">
        <f t="shared" si="2"/>
        <v>316.8</v>
      </c>
    </row>
    <row r="37" spans="1:12">
      <c r="A37" s="13" t="s">
        <v>110</v>
      </c>
      <c r="B37" s="59">
        <v>32</v>
      </c>
      <c r="C37" s="59">
        <v>0.88</v>
      </c>
      <c r="D37" s="131">
        <f t="shared" si="2"/>
        <v>28.16</v>
      </c>
      <c r="E37" s="131">
        <f t="shared" si="2"/>
        <v>56.32</v>
      </c>
      <c r="F37" s="131">
        <f t="shared" si="2"/>
        <v>84.48</v>
      </c>
      <c r="G37" s="131">
        <f t="shared" si="2"/>
        <v>112.64</v>
      </c>
      <c r="H37" s="131">
        <f t="shared" si="2"/>
        <v>140.80000000000001</v>
      </c>
      <c r="I37" s="131">
        <f t="shared" si="2"/>
        <v>168.96</v>
      </c>
      <c r="J37" s="131">
        <f t="shared" si="2"/>
        <v>225.28</v>
      </c>
      <c r="K37" s="131">
        <f t="shared" si="2"/>
        <v>281.60000000000002</v>
      </c>
      <c r="L37" s="131">
        <f t="shared" si="2"/>
        <v>337.92</v>
      </c>
    </row>
    <row r="38" spans="1:12">
      <c r="A38" s="9"/>
      <c r="B38" s="42"/>
      <c r="C38" s="42"/>
      <c r="D38" s="42"/>
      <c r="E38" s="42"/>
      <c r="F38" s="42"/>
      <c r="G38" s="42"/>
      <c r="H38" s="42"/>
      <c r="I38" s="42"/>
      <c r="J38" s="42"/>
      <c r="K38" s="42"/>
      <c r="L38" s="42"/>
    </row>
    <row r="39" spans="1:12" ht="15.75">
      <c r="A39" s="120" t="s">
        <v>111</v>
      </c>
      <c r="B39" s="121"/>
      <c r="C39" s="121"/>
      <c r="D39" s="121"/>
      <c r="E39" s="121"/>
      <c r="F39" s="121"/>
      <c r="G39" s="121"/>
      <c r="H39" s="121"/>
      <c r="I39" s="121"/>
      <c r="J39" s="121"/>
      <c r="K39" s="121"/>
      <c r="L39" s="122"/>
    </row>
    <row r="40" spans="1:12">
      <c r="A40" s="13" t="s">
        <v>85</v>
      </c>
      <c r="B40" s="59" t="s">
        <v>230</v>
      </c>
      <c r="C40" s="59" t="s">
        <v>231</v>
      </c>
      <c r="D40" s="40" t="s">
        <v>86</v>
      </c>
      <c r="E40" s="40" t="s">
        <v>87</v>
      </c>
      <c r="F40" s="40" t="s">
        <v>88</v>
      </c>
      <c r="G40" s="40" t="s">
        <v>89</v>
      </c>
      <c r="H40" s="40" t="s">
        <v>90</v>
      </c>
      <c r="I40" s="40" t="s">
        <v>91</v>
      </c>
      <c r="J40" s="40" t="s">
        <v>92</v>
      </c>
      <c r="K40" s="40" t="s">
        <v>93</v>
      </c>
      <c r="L40" s="40" t="s">
        <v>94</v>
      </c>
    </row>
    <row r="41" spans="1:12">
      <c r="A41" s="13" t="s">
        <v>112</v>
      </c>
      <c r="B41" s="59">
        <v>14</v>
      </c>
      <c r="C41" s="59">
        <v>1.1399999999999999</v>
      </c>
      <c r="D41" s="131">
        <f t="shared" ref="D41:L49" si="3">ROUND($B41*$C41*D$8, 2)</f>
        <v>15.96</v>
      </c>
      <c r="E41" s="131">
        <f t="shared" si="3"/>
        <v>31.92</v>
      </c>
      <c r="F41" s="131">
        <f t="shared" si="3"/>
        <v>47.88</v>
      </c>
      <c r="G41" s="131">
        <f t="shared" si="3"/>
        <v>63.84</v>
      </c>
      <c r="H41" s="131">
        <f t="shared" si="3"/>
        <v>79.8</v>
      </c>
      <c r="I41" s="131">
        <f t="shared" si="3"/>
        <v>95.76</v>
      </c>
      <c r="J41" s="131">
        <f t="shared" si="3"/>
        <v>127.68</v>
      </c>
      <c r="K41" s="131">
        <f t="shared" si="3"/>
        <v>159.6</v>
      </c>
      <c r="L41" s="131">
        <f t="shared" si="3"/>
        <v>191.52</v>
      </c>
    </row>
    <row r="42" spans="1:12">
      <c r="A42" s="13" t="s">
        <v>113</v>
      </c>
      <c r="B42" s="59">
        <v>24</v>
      </c>
      <c r="C42" s="77">
        <f>C44</f>
        <v>1.1111111111111112</v>
      </c>
      <c r="D42" s="131">
        <f t="shared" si="3"/>
        <v>26.67</v>
      </c>
      <c r="E42" s="131">
        <f t="shared" si="3"/>
        <v>53.33</v>
      </c>
      <c r="F42" s="131">
        <f t="shared" si="3"/>
        <v>80</v>
      </c>
      <c r="G42" s="131">
        <f t="shared" si="3"/>
        <v>106.67</v>
      </c>
      <c r="H42" s="131">
        <f t="shared" si="3"/>
        <v>133.33000000000001</v>
      </c>
      <c r="I42" s="131">
        <f t="shared" si="3"/>
        <v>160</v>
      </c>
      <c r="J42" s="131">
        <f t="shared" si="3"/>
        <v>213.33</v>
      </c>
      <c r="K42" s="131">
        <f t="shared" si="3"/>
        <v>266.67</v>
      </c>
      <c r="L42" s="131">
        <f t="shared" si="3"/>
        <v>320</v>
      </c>
    </row>
    <row r="43" spans="1:12">
      <c r="A43" s="13" t="s">
        <v>114</v>
      </c>
      <c r="B43" s="59">
        <v>21</v>
      </c>
      <c r="C43" s="59">
        <v>1.1399999999999999</v>
      </c>
      <c r="D43" s="131">
        <f t="shared" si="3"/>
        <v>23.94</v>
      </c>
      <c r="E43" s="131">
        <f t="shared" si="3"/>
        <v>47.88</v>
      </c>
      <c r="F43" s="131">
        <f t="shared" si="3"/>
        <v>71.819999999999993</v>
      </c>
      <c r="G43" s="131">
        <f t="shared" si="3"/>
        <v>95.76</v>
      </c>
      <c r="H43" s="131">
        <f t="shared" si="3"/>
        <v>119.7</v>
      </c>
      <c r="I43" s="131">
        <f t="shared" si="3"/>
        <v>143.63999999999999</v>
      </c>
      <c r="J43" s="131">
        <f t="shared" si="3"/>
        <v>191.52</v>
      </c>
      <c r="K43" s="131">
        <f t="shared" si="3"/>
        <v>239.4</v>
      </c>
      <c r="L43" s="131">
        <f t="shared" si="3"/>
        <v>287.27999999999997</v>
      </c>
    </row>
    <row r="44" spans="1:12">
      <c r="A44" s="13" t="s">
        <v>115</v>
      </c>
      <c r="B44" s="60">
        <v>39</v>
      </c>
      <c r="C44" s="78">
        <f>C48</f>
        <v>1.1111111111111112</v>
      </c>
      <c r="D44" s="131">
        <f t="shared" si="3"/>
        <v>43.33</v>
      </c>
      <c r="E44" s="131">
        <f t="shared" si="3"/>
        <v>86.67</v>
      </c>
      <c r="F44" s="131">
        <f t="shared" si="3"/>
        <v>130</v>
      </c>
      <c r="G44" s="131">
        <f t="shared" si="3"/>
        <v>173.33</v>
      </c>
      <c r="H44" s="131">
        <f t="shared" si="3"/>
        <v>216.67</v>
      </c>
      <c r="I44" s="131">
        <f t="shared" si="3"/>
        <v>260</v>
      </c>
      <c r="J44" s="131">
        <f t="shared" si="3"/>
        <v>346.67</v>
      </c>
      <c r="K44" s="131">
        <f t="shared" si="3"/>
        <v>433.33</v>
      </c>
      <c r="L44" s="131">
        <f t="shared" si="3"/>
        <v>520</v>
      </c>
    </row>
    <row r="45" spans="1:12">
      <c r="A45" s="13" t="s">
        <v>116</v>
      </c>
      <c r="B45" s="60">
        <v>28</v>
      </c>
      <c r="C45" s="78">
        <f>32/28</f>
        <v>1.1428571428571428</v>
      </c>
      <c r="D45" s="131">
        <v>32</v>
      </c>
      <c r="E45" s="131">
        <v>64</v>
      </c>
      <c r="F45" s="131">
        <f t="shared" si="3"/>
        <v>96</v>
      </c>
      <c r="G45" s="131">
        <f t="shared" si="3"/>
        <v>128</v>
      </c>
      <c r="H45" s="131">
        <f t="shared" si="3"/>
        <v>160</v>
      </c>
      <c r="I45" s="131">
        <f t="shared" si="3"/>
        <v>192</v>
      </c>
      <c r="J45" s="131">
        <f t="shared" si="3"/>
        <v>256</v>
      </c>
      <c r="K45" s="131">
        <f t="shared" si="3"/>
        <v>320</v>
      </c>
      <c r="L45" s="131">
        <f t="shared" si="3"/>
        <v>384</v>
      </c>
    </row>
    <row r="46" spans="1:12">
      <c r="A46" s="13" t="s">
        <v>117</v>
      </c>
      <c r="B46" s="59">
        <v>39</v>
      </c>
      <c r="C46" s="77">
        <f>C48</f>
        <v>1.1111111111111112</v>
      </c>
      <c r="D46" s="131">
        <f t="shared" si="3"/>
        <v>43.33</v>
      </c>
      <c r="E46" s="131">
        <f t="shared" si="3"/>
        <v>86.67</v>
      </c>
      <c r="F46" s="131">
        <f t="shared" si="3"/>
        <v>130</v>
      </c>
      <c r="G46" s="131">
        <f t="shared" si="3"/>
        <v>173.33</v>
      </c>
      <c r="H46" s="131">
        <f t="shared" si="3"/>
        <v>216.67</v>
      </c>
      <c r="I46" s="131">
        <f t="shared" si="3"/>
        <v>260</v>
      </c>
      <c r="J46" s="131">
        <f t="shared" si="3"/>
        <v>346.67</v>
      </c>
      <c r="K46" s="131">
        <f t="shared" si="3"/>
        <v>433.33</v>
      </c>
      <c r="L46" s="131">
        <f t="shared" si="3"/>
        <v>520</v>
      </c>
    </row>
    <row r="47" spans="1:12">
      <c r="A47" s="13" t="s">
        <v>201</v>
      </c>
      <c r="B47" s="60">
        <v>50</v>
      </c>
      <c r="C47" s="78">
        <f>C48</f>
        <v>1.1111111111111112</v>
      </c>
      <c r="D47" s="131">
        <f t="shared" si="3"/>
        <v>55.56</v>
      </c>
      <c r="E47" s="131">
        <f t="shared" si="3"/>
        <v>111.11</v>
      </c>
      <c r="F47" s="131">
        <f t="shared" si="3"/>
        <v>166.67</v>
      </c>
      <c r="G47" s="131">
        <f t="shared" si="3"/>
        <v>222.22</v>
      </c>
      <c r="H47" s="131">
        <f t="shared" si="3"/>
        <v>277.77999999999997</v>
      </c>
      <c r="I47" s="131">
        <f t="shared" si="3"/>
        <v>333.33</v>
      </c>
      <c r="J47" s="131">
        <f t="shared" si="3"/>
        <v>444.44</v>
      </c>
      <c r="K47" s="131">
        <f t="shared" si="3"/>
        <v>555.55999999999995</v>
      </c>
      <c r="L47" s="131">
        <f t="shared" si="3"/>
        <v>666.67</v>
      </c>
    </row>
    <row r="48" spans="1:12">
      <c r="A48" s="13" t="s">
        <v>118</v>
      </c>
      <c r="B48" s="60">
        <v>54</v>
      </c>
      <c r="C48" s="78">
        <f>120/(54*2)</f>
        <v>1.1111111111111112</v>
      </c>
      <c r="D48" s="131">
        <f>ROUND($B48*$C48*D$8, 2)</f>
        <v>60</v>
      </c>
      <c r="E48" s="131">
        <v>120</v>
      </c>
      <c r="F48" s="131">
        <v>180</v>
      </c>
      <c r="G48" s="131">
        <f t="shared" si="3"/>
        <v>240</v>
      </c>
      <c r="H48" s="131">
        <f t="shared" si="3"/>
        <v>300</v>
      </c>
      <c r="I48" s="131">
        <f t="shared" si="3"/>
        <v>360</v>
      </c>
      <c r="J48" s="131">
        <f t="shared" si="3"/>
        <v>480</v>
      </c>
      <c r="K48" s="131">
        <f t="shared" si="3"/>
        <v>600</v>
      </c>
      <c r="L48" s="131">
        <f t="shared" si="3"/>
        <v>720</v>
      </c>
    </row>
    <row r="49" spans="1:12">
      <c r="A49" s="13" t="s">
        <v>119</v>
      </c>
      <c r="B49" s="59">
        <v>35</v>
      </c>
      <c r="C49" s="59">
        <v>1.1100000000000001</v>
      </c>
      <c r="D49" s="131">
        <f t="shared" ref="D49" si="4">ROUND($B49*$C49*D$8, 2)</f>
        <v>38.85</v>
      </c>
      <c r="E49" s="131">
        <f t="shared" si="3"/>
        <v>77.7</v>
      </c>
      <c r="F49" s="131">
        <f t="shared" si="3"/>
        <v>116.55</v>
      </c>
      <c r="G49" s="131">
        <f t="shared" si="3"/>
        <v>155.4</v>
      </c>
      <c r="H49" s="131">
        <f t="shared" si="3"/>
        <v>194.25</v>
      </c>
      <c r="I49" s="131">
        <f t="shared" si="3"/>
        <v>233.1</v>
      </c>
      <c r="J49" s="131">
        <f t="shared" si="3"/>
        <v>310.8</v>
      </c>
      <c r="K49" s="131">
        <f t="shared" si="3"/>
        <v>388.5</v>
      </c>
      <c r="L49" s="131">
        <f t="shared" si="3"/>
        <v>466.2</v>
      </c>
    </row>
    <row r="50" spans="1:12">
      <c r="A50" s="9"/>
      <c r="B50" s="42"/>
      <c r="C50" s="42"/>
      <c r="D50" s="42"/>
      <c r="E50" s="42"/>
      <c r="F50" s="42"/>
      <c r="G50" s="42"/>
      <c r="H50" s="42"/>
      <c r="I50" s="42"/>
      <c r="J50" s="42"/>
      <c r="K50" s="42"/>
      <c r="L50" s="42"/>
    </row>
    <row r="51" spans="1:12" ht="15.75">
      <c r="A51" s="120" t="s">
        <v>120</v>
      </c>
      <c r="B51" s="121"/>
      <c r="C51" s="121"/>
      <c r="D51" s="122"/>
      <c r="E51" s="42"/>
      <c r="F51" s="42"/>
      <c r="G51" s="101" t="s">
        <v>205</v>
      </c>
      <c r="H51" s="101"/>
      <c r="I51" s="101"/>
      <c r="J51" s="101"/>
      <c r="K51" s="101"/>
      <c r="L51" s="101"/>
    </row>
    <row r="52" spans="1:12" ht="30">
      <c r="A52" s="13" t="s">
        <v>85</v>
      </c>
      <c r="B52" s="40" t="s">
        <v>86</v>
      </c>
      <c r="C52" s="40" t="s">
        <v>87</v>
      </c>
      <c r="D52" s="40" t="s">
        <v>88</v>
      </c>
      <c r="E52" s="42"/>
      <c r="F52" s="42"/>
      <c r="G52" s="117" t="s">
        <v>85</v>
      </c>
      <c r="H52" s="117"/>
      <c r="I52" s="117"/>
      <c r="J52" s="40" t="s">
        <v>86</v>
      </c>
      <c r="K52" s="40" t="s">
        <v>87</v>
      </c>
      <c r="L52" s="40" t="s">
        <v>88</v>
      </c>
    </row>
    <row r="53" spans="1:12">
      <c r="A53" s="27" t="s">
        <v>121</v>
      </c>
      <c r="B53" s="41">
        <v>41</v>
      </c>
      <c r="C53" s="41">
        <v>77</v>
      </c>
      <c r="D53" s="41">
        <v>114</v>
      </c>
      <c r="E53" s="42"/>
      <c r="F53" s="42"/>
      <c r="G53" s="117" t="s">
        <v>206</v>
      </c>
      <c r="H53" s="117"/>
      <c r="I53" s="117"/>
      <c r="J53" s="41">
        <f>9*J54/13</f>
        <v>10.384615384615385</v>
      </c>
      <c r="K53" s="41">
        <f t="shared" ref="K53:L53" si="5">9*K54/13</f>
        <v>19.384615384615383</v>
      </c>
      <c r="L53" s="41">
        <f t="shared" si="5"/>
        <v>29.76923076923077</v>
      </c>
    </row>
    <row r="54" spans="1:12">
      <c r="A54" s="27" t="s">
        <v>122</v>
      </c>
      <c r="B54" s="41">
        <v>31</v>
      </c>
      <c r="C54" s="41">
        <v>62</v>
      </c>
      <c r="D54" s="41">
        <v>93</v>
      </c>
      <c r="E54" s="42"/>
      <c r="F54" s="42"/>
      <c r="G54" s="117" t="s">
        <v>124</v>
      </c>
      <c r="H54" s="117"/>
      <c r="I54" s="117"/>
      <c r="J54" s="41">
        <v>15</v>
      </c>
      <c r="K54" s="41">
        <v>28</v>
      </c>
      <c r="L54" s="41">
        <v>43</v>
      </c>
    </row>
    <row r="55" spans="1:12">
      <c r="A55" s="27" t="s">
        <v>123</v>
      </c>
      <c r="B55" s="41">
        <v>26</v>
      </c>
      <c r="C55" s="41">
        <v>52</v>
      </c>
      <c r="D55" s="41">
        <v>78</v>
      </c>
      <c r="E55" s="42"/>
      <c r="F55" s="42"/>
      <c r="G55" s="117" t="s">
        <v>125</v>
      </c>
      <c r="H55" s="117"/>
      <c r="I55" s="117"/>
      <c r="J55" s="41">
        <v>20</v>
      </c>
      <c r="K55" s="41">
        <v>38</v>
      </c>
      <c r="L55" s="41">
        <v>58</v>
      </c>
    </row>
    <row r="56" spans="1:12">
      <c r="A56" s="12"/>
      <c r="B56" s="43"/>
      <c r="C56" s="43"/>
      <c r="D56" s="44"/>
      <c r="E56" s="44"/>
      <c r="F56" s="44"/>
      <c r="G56" s="117" t="s">
        <v>126</v>
      </c>
      <c r="H56" s="117"/>
      <c r="I56" s="117"/>
      <c r="J56" s="41">
        <v>27</v>
      </c>
      <c r="K56" s="41">
        <v>50</v>
      </c>
      <c r="L56" s="41">
        <v>77</v>
      </c>
    </row>
    <row r="57" spans="1:12">
      <c r="A57" s="12"/>
      <c r="B57" s="43"/>
      <c r="C57" s="43"/>
      <c r="D57" s="44"/>
      <c r="E57" s="44"/>
      <c r="F57" s="44"/>
      <c r="G57" s="117" t="s">
        <v>207</v>
      </c>
      <c r="H57" s="117"/>
      <c r="I57" s="117"/>
      <c r="J57" s="41">
        <f>28*J58/32</f>
        <v>29.75</v>
      </c>
      <c r="K57" s="41">
        <f t="shared" ref="K57:L57" si="6">28*K58/32</f>
        <v>54.25</v>
      </c>
      <c r="L57" s="41">
        <f t="shared" si="6"/>
        <v>84</v>
      </c>
    </row>
    <row r="58" spans="1:12">
      <c r="A58" s="9"/>
      <c r="B58" s="42"/>
      <c r="C58" s="42"/>
      <c r="D58" s="42"/>
      <c r="E58" s="42"/>
      <c r="F58" s="42"/>
      <c r="G58" s="117" t="s">
        <v>127</v>
      </c>
      <c r="H58" s="117"/>
      <c r="I58" s="117"/>
      <c r="J58" s="41">
        <v>34</v>
      </c>
      <c r="K58" s="41">
        <v>62</v>
      </c>
      <c r="L58" s="41">
        <v>96</v>
      </c>
    </row>
    <row r="59" spans="1:12">
      <c r="A59" s="9"/>
      <c r="B59" s="42"/>
      <c r="C59" s="42"/>
      <c r="D59" s="42"/>
      <c r="E59" s="42"/>
      <c r="F59" s="42"/>
      <c r="G59" s="117" t="s">
        <v>128</v>
      </c>
      <c r="H59" s="117"/>
      <c r="I59" s="117"/>
      <c r="J59" s="41">
        <v>40</v>
      </c>
      <c r="K59" s="41">
        <v>74</v>
      </c>
      <c r="L59" s="41">
        <v>114</v>
      </c>
    </row>
    <row r="60" spans="1:12">
      <c r="A60" s="9"/>
      <c r="B60" s="42"/>
      <c r="C60" s="42"/>
      <c r="D60" s="42"/>
      <c r="E60" s="42"/>
      <c r="F60" s="42"/>
      <c r="G60" s="117" t="s">
        <v>129</v>
      </c>
      <c r="H60" s="117"/>
      <c r="I60" s="117"/>
      <c r="J60" s="41">
        <v>43</v>
      </c>
      <c r="K60" s="41">
        <v>72</v>
      </c>
      <c r="L60" s="41">
        <v>105</v>
      </c>
    </row>
    <row r="61" spans="1:12">
      <c r="A61" s="9"/>
      <c r="B61" s="42"/>
      <c r="C61" s="42"/>
      <c r="D61" s="42"/>
      <c r="E61" s="42"/>
      <c r="F61" s="42"/>
      <c r="G61" s="117" t="s">
        <v>130</v>
      </c>
      <c r="H61" s="117"/>
      <c r="I61" s="117"/>
      <c r="J61" s="41">
        <v>44</v>
      </c>
      <c r="K61" s="41">
        <v>93</v>
      </c>
      <c r="L61" s="41">
        <v>137</v>
      </c>
    </row>
    <row r="62" spans="1:12">
      <c r="A62" s="9"/>
      <c r="B62" s="42"/>
      <c r="C62" s="42"/>
      <c r="D62" s="42"/>
      <c r="E62" s="42"/>
      <c r="F62" s="42"/>
      <c r="G62" s="42"/>
      <c r="H62" s="43"/>
      <c r="I62" s="43"/>
      <c r="J62" s="43"/>
      <c r="K62" s="43"/>
      <c r="L62" s="43"/>
    </row>
    <row r="63" spans="1:12" ht="15.75">
      <c r="A63" s="29" t="s">
        <v>57</v>
      </c>
      <c r="B63" s="118" t="s">
        <v>131</v>
      </c>
      <c r="C63" s="118"/>
      <c r="D63" s="42"/>
      <c r="E63" s="42"/>
      <c r="F63" s="42"/>
      <c r="G63" s="118" t="s">
        <v>152</v>
      </c>
      <c r="H63" s="118"/>
      <c r="I63" s="118"/>
      <c r="J63" s="118"/>
      <c r="K63" s="123" t="s">
        <v>131</v>
      </c>
      <c r="L63" s="123"/>
    </row>
    <row r="64" spans="1:12">
      <c r="A64" s="13" t="s">
        <v>132</v>
      </c>
      <c r="B64" s="45">
        <v>46</v>
      </c>
      <c r="C64" s="46"/>
      <c r="D64" s="42"/>
      <c r="E64" s="42"/>
      <c r="F64" s="42"/>
      <c r="G64" s="116" t="s">
        <v>153</v>
      </c>
      <c r="H64" s="116"/>
      <c r="I64" s="116"/>
      <c r="J64" s="119"/>
      <c r="K64" s="79">
        <v>23</v>
      </c>
      <c r="L64" s="46"/>
    </row>
    <row r="65" spans="1:12">
      <c r="A65" s="13" t="s">
        <v>133</v>
      </c>
      <c r="B65" s="45">
        <v>66</v>
      </c>
      <c r="C65" s="46"/>
      <c r="D65" s="42"/>
      <c r="E65" s="42"/>
      <c r="F65" s="42"/>
      <c r="G65" s="116" t="s">
        <v>154</v>
      </c>
      <c r="H65" s="116"/>
      <c r="I65" s="116"/>
      <c r="J65" s="116"/>
      <c r="K65" s="79">
        <v>43</v>
      </c>
      <c r="L65" s="46"/>
    </row>
    <row r="66" spans="1:12">
      <c r="A66" s="13" t="s">
        <v>134</v>
      </c>
      <c r="B66" s="45">
        <v>95</v>
      </c>
      <c r="C66" s="46"/>
      <c r="D66" s="42"/>
      <c r="E66" s="42"/>
      <c r="F66" s="42"/>
      <c r="G66" s="116" t="s">
        <v>155</v>
      </c>
      <c r="H66" s="116"/>
      <c r="I66" s="116"/>
      <c r="J66" s="116"/>
      <c r="K66" s="79">
        <v>77</v>
      </c>
      <c r="L66" s="46"/>
    </row>
    <row r="67" spans="1:12">
      <c r="A67" s="13" t="s">
        <v>135</v>
      </c>
      <c r="B67" s="45">
        <v>138</v>
      </c>
      <c r="C67" s="46"/>
      <c r="D67" s="42"/>
      <c r="E67" s="42"/>
      <c r="F67" s="42"/>
      <c r="G67" s="116" t="s">
        <v>156</v>
      </c>
      <c r="H67" s="116"/>
      <c r="I67" s="116"/>
      <c r="J67" s="116"/>
      <c r="K67" s="79">
        <v>95</v>
      </c>
      <c r="L67" s="46"/>
    </row>
    <row r="68" spans="1:12" ht="15" customHeight="1">
      <c r="A68" s="13" t="s">
        <v>136</v>
      </c>
      <c r="B68" s="45">
        <v>188</v>
      </c>
      <c r="C68" s="46"/>
      <c r="D68" s="42"/>
      <c r="E68" s="42"/>
      <c r="F68" s="42"/>
      <c r="G68" s="116" t="s">
        <v>157</v>
      </c>
      <c r="H68" s="116"/>
      <c r="I68" s="116"/>
      <c r="J68" s="116"/>
      <c r="K68" s="79">
        <v>113.6</v>
      </c>
      <c r="L68" s="46"/>
    </row>
    <row r="69" spans="1:12" ht="15" customHeight="1">
      <c r="A69" s="13" t="s">
        <v>137</v>
      </c>
      <c r="B69" s="45">
        <v>250</v>
      </c>
      <c r="C69" s="46"/>
      <c r="D69" s="42"/>
      <c r="E69" s="42"/>
      <c r="F69" s="42"/>
      <c r="G69" s="116" t="s">
        <v>158</v>
      </c>
      <c r="H69" s="116"/>
      <c r="I69" s="116"/>
      <c r="J69" s="116"/>
      <c r="K69" s="79">
        <v>190</v>
      </c>
      <c r="L69" s="46"/>
    </row>
    <row r="70" spans="1:12">
      <c r="A70" s="13" t="s">
        <v>138</v>
      </c>
      <c r="B70" s="45">
        <v>295</v>
      </c>
      <c r="C70" s="46"/>
      <c r="D70" s="42"/>
      <c r="E70" s="42"/>
      <c r="F70" s="42"/>
      <c r="G70" s="116" t="s">
        <v>159</v>
      </c>
      <c r="H70" s="116"/>
      <c r="I70" s="116"/>
      <c r="J70" s="116"/>
      <c r="K70" s="79">
        <v>208</v>
      </c>
      <c r="L70" s="46"/>
    </row>
    <row r="71" spans="1:12">
      <c r="A71" s="13" t="s">
        <v>139</v>
      </c>
      <c r="B71" s="45">
        <v>365</v>
      </c>
      <c r="C71" s="46"/>
      <c r="D71" s="42"/>
      <c r="E71" s="42"/>
      <c r="F71" s="42"/>
      <c r="G71" s="116" t="s">
        <v>160</v>
      </c>
      <c r="H71" s="116"/>
      <c r="I71" s="116"/>
      <c r="J71" s="116"/>
      <c r="K71" s="79">
        <v>232</v>
      </c>
      <c r="L71" s="46"/>
    </row>
    <row r="72" spans="1:12">
      <c r="A72" s="13" t="s">
        <v>140</v>
      </c>
      <c r="B72" s="45">
        <v>465</v>
      </c>
      <c r="C72" s="46"/>
      <c r="D72" s="42"/>
      <c r="E72" s="42"/>
      <c r="F72" s="42"/>
      <c r="G72" s="116" t="s">
        <v>161</v>
      </c>
      <c r="H72" s="116"/>
      <c r="I72" s="116"/>
      <c r="J72" s="116"/>
      <c r="K72" s="79">
        <v>295</v>
      </c>
      <c r="L72" s="46"/>
    </row>
    <row r="73" spans="1:12">
      <c r="A73" s="13" t="s">
        <v>141</v>
      </c>
      <c r="B73" s="45">
        <v>835</v>
      </c>
      <c r="C73" s="46"/>
      <c r="D73" s="42"/>
      <c r="E73" s="42"/>
      <c r="F73" s="42"/>
      <c r="G73" s="116" t="s">
        <v>162</v>
      </c>
      <c r="H73" s="116"/>
      <c r="I73" s="116"/>
      <c r="J73" s="116"/>
      <c r="K73" s="79">
        <v>418</v>
      </c>
      <c r="L73" s="46"/>
    </row>
    <row r="74" spans="1:12">
      <c r="A74" s="13" t="s">
        <v>142</v>
      </c>
      <c r="B74" s="45">
        <v>1100</v>
      </c>
      <c r="C74" s="46"/>
      <c r="D74" s="42"/>
      <c r="E74" s="42"/>
      <c r="F74" s="42"/>
      <c r="G74" s="116" t="s">
        <v>163</v>
      </c>
      <c r="H74" s="116"/>
      <c r="I74" s="116"/>
      <c r="J74" s="116"/>
      <c r="K74" s="79">
        <v>455</v>
      </c>
      <c r="L74" s="46"/>
    </row>
    <row r="75" spans="1:12">
      <c r="A75" s="9"/>
      <c r="B75" s="42"/>
      <c r="C75" s="42"/>
      <c r="D75" s="42"/>
      <c r="E75" s="42"/>
      <c r="F75" s="42"/>
      <c r="G75" s="116" t="s">
        <v>164</v>
      </c>
      <c r="H75" s="116"/>
      <c r="I75" s="116"/>
      <c r="J75" s="116"/>
      <c r="K75" s="45">
        <v>850</v>
      </c>
      <c r="L75" s="46"/>
    </row>
    <row r="76" spans="1:12">
      <c r="A76" s="9"/>
      <c r="B76" s="42"/>
      <c r="C76" s="42"/>
      <c r="D76" s="42"/>
      <c r="E76" s="42"/>
      <c r="F76" s="42"/>
      <c r="G76" s="116" t="s">
        <v>165</v>
      </c>
      <c r="H76" s="116"/>
      <c r="I76" s="116"/>
      <c r="J76" s="116"/>
      <c r="K76" s="45">
        <v>1080</v>
      </c>
      <c r="L76" s="46"/>
    </row>
    <row r="77" spans="1:12" ht="15.75">
      <c r="A77" s="29" t="s">
        <v>60</v>
      </c>
      <c r="B77" s="118" t="s">
        <v>131</v>
      </c>
      <c r="C77" s="118"/>
      <c r="D77" s="42"/>
      <c r="E77" s="42"/>
      <c r="F77" s="42"/>
      <c r="G77" s="116" t="s">
        <v>166</v>
      </c>
      <c r="H77" s="116"/>
      <c r="I77" s="116"/>
      <c r="J77" s="116"/>
      <c r="K77" s="45">
        <v>1610</v>
      </c>
      <c r="L77" s="46"/>
    </row>
    <row r="78" spans="1:12">
      <c r="A78" s="13" t="s">
        <v>143</v>
      </c>
      <c r="B78" s="45">
        <v>50</v>
      </c>
      <c r="C78" s="46"/>
      <c r="D78" s="42"/>
      <c r="E78" s="42"/>
      <c r="F78" s="42"/>
      <c r="G78" s="42"/>
      <c r="H78" s="42"/>
      <c r="I78" s="42"/>
      <c r="J78" s="42"/>
      <c r="K78" s="42"/>
      <c r="L78" s="42"/>
    </row>
    <row r="79" spans="1:12">
      <c r="A79" s="13" t="s">
        <v>144</v>
      </c>
      <c r="B79" s="45">
        <v>74</v>
      </c>
      <c r="C79" s="46"/>
      <c r="D79" s="42"/>
      <c r="E79" s="42"/>
      <c r="F79" s="42"/>
      <c r="G79" s="42"/>
      <c r="H79" s="42"/>
      <c r="I79" s="42"/>
      <c r="J79" s="42"/>
      <c r="K79" s="42"/>
      <c r="L79" s="42"/>
    </row>
    <row r="80" spans="1:12" ht="15.75">
      <c r="A80" s="13" t="s">
        <v>145</v>
      </c>
      <c r="B80" s="45">
        <v>93</v>
      </c>
      <c r="C80" s="46"/>
      <c r="D80" s="42"/>
      <c r="E80" s="42"/>
      <c r="F80" s="42"/>
      <c r="G80" s="118" t="s">
        <v>167</v>
      </c>
      <c r="H80" s="118"/>
      <c r="I80" s="118"/>
      <c r="J80" s="118"/>
      <c r="K80" s="118" t="s">
        <v>131</v>
      </c>
      <c r="L80" s="118"/>
    </row>
    <row r="81" spans="1:12">
      <c r="A81" s="13" t="s">
        <v>146</v>
      </c>
      <c r="B81" s="45">
        <v>125</v>
      </c>
      <c r="C81" s="46"/>
      <c r="D81" s="42"/>
      <c r="E81" s="42"/>
      <c r="F81" s="42"/>
      <c r="G81" s="116" t="s">
        <v>168</v>
      </c>
      <c r="H81" s="116"/>
      <c r="I81" s="116"/>
      <c r="J81" s="116"/>
      <c r="K81" s="45">
        <v>110</v>
      </c>
      <c r="L81" s="46"/>
    </row>
    <row r="82" spans="1:12">
      <c r="A82" s="13" t="s">
        <v>147</v>
      </c>
      <c r="B82" s="45">
        <v>205</v>
      </c>
      <c r="C82" s="46"/>
      <c r="D82" s="42"/>
      <c r="E82" s="42"/>
      <c r="F82" s="42"/>
      <c r="G82" s="116" t="s">
        <v>169</v>
      </c>
      <c r="H82" s="116"/>
      <c r="I82" s="116"/>
      <c r="J82" s="116"/>
      <c r="K82" s="45">
        <v>183</v>
      </c>
      <c r="L82" s="46"/>
    </row>
    <row r="83" spans="1:12">
      <c r="A83" s="13" t="s">
        <v>148</v>
      </c>
      <c r="B83" s="45">
        <v>290</v>
      </c>
      <c r="C83" s="46"/>
      <c r="D83" s="42"/>
      <c r="E83" s="42"/>
      <c r="F83" s="42"/>
      <c r="G83" s="116" t="s">
        <v>170</v>
      </c>
      <c r="H83" s="116"/>
      <c r="I83" s="116"/>
      <c r="J83" s="116"/>
      <c r="K83" s="79">
        <v>198.9</v>
      </c>
      <c r="L83" s="46"/>
    </row>
    <row r="84" spans="1:12">
      <c r="A84" s="13" t="s">
        <v>149</v>
      </c>
      <c r="B84" s="45">
        <v>455</v>
      </c>
      <c r="C84" s="46"/>
      <c r="D84" s="42"/>
      <c r="E84" s="42"/>
      <c r="F84" s="42"/>
      <c r="G84" s="116" t="s">
        <v>171</v>
      </c>
      <c r="H84" s="116"/>
      <c r="I84" s="116"/>
      <c r="J84" s="116"/>
      <c r="K84" s="79">
        <v>227.3</v>
      </c>
      <c r="L84" s="46"/>
    </row>
    <row r="85" spans="1:12">
      <c r="A85" s="13" t="s">
        <v>150</v>
      </c>
      <c r="B85" s="45">
        <v>780</v>
      </c>
      <c r="C85" s="46"/>
      <c r="D85" s="42"/>
      <c r="E85" s="42"/>
      <c r="F85" s="42"/>
      <c r="G85" s="116" t="s">
        <v>172</v>
      </c>
      <c r="H85" s="116"/>
      <c r="I85" s="116"/>
      <c r="J85" s="116"/>
      <c r="K85" s="79">
        <v>284.10000000000002</v>
      </c>
      <c r="L85" s="46"/>
    </row>
    <row r="86" spans="1:12">
      <c r="A86" s="13" t="s">
        <v>151</v>
      </c>
      <c r="B86" s="45">
        <v>1075</v>
      </c>
      <c r="C86" s="46"/>
      <c r="D86" s="42"/>
      <c r="E86" s="42"/>
      <c r="F86" s="42"/>
      <c r="G86" s="116" t="s">
        <v>173</v>
      </c>
      <c r="H86" s="116"/>
      <c r="I86" s="116"/>
      <c r="J86" s="116"/>
      <c r="K86" s="79">
        <v>363.6</v>
      </c>
      <c r="L86" s="46"/>
    </row>
    <row r="87" spans="1:12">
      <c r="A87" s="9"/>
      <c r="B87" s="42"/>
      <c r="C87" s="42"/>
      <c r="D87" s="42"/>
      <c r="E87" s="42"/>
      <c r="F87" s="42"/>
      <c r="G87" s="116" t="s">
        <v>174</v>
      </c>
      <c r="H87" s="116"/>
      <c r="I87" s="116"/>
      <c r="J87" s="116"/>
      <c r="K87" s="79">
        <v>397.7</v>
      </c>
      <c r="L87" s="46"/>
    </row>
    <row r="88" spans="1:12">
      <c r="A88" s="9"/>
      <c r="B88" s="42"/>
      <c r="C88" s="42"/>
      <c r="D88" s="42"/>
      <c r="E88" s="42"/>
      <c r="F88" s="42"/>
      <c r="G88" s="116" t="s">
        <v>200</v>
      </c>
      <c r="H88" s="116"/>
      <c r="I88" s="116"/>
      <c r="J88" s="116"/>
      <c r="K88" s="79">
        <v>454.5</v>
      </c>
      <c r="L88" s="46"/>
    </row>
    <row r="89" spans="1:12" ht="15.75">
      <c r="A89" s="29" t="s">
        <v>178</v>
      </c>
      <c r="B89" s="118" t="s">
        <v>131</v>
      </c>
      <c r="C89" s="118"/>
      <c r="D89" s="42"/>
      <c r="E89" s="42"/>
      <c r="F89" s="42"/>
      <c r="G89" s="116" t="s">
        <v>175</v>
      </c>
      <c r="H89" s="116"/>
      <c r="I89" s="116"/>
      <c r="J89" s="116"/>
      <c r="K89" s="45">
        <v>506</v>
      </c>
      <c r="L89" s="46"/>
    </row>
    <row r="90" spans="1:12">
      <c r="A90" s="13" t="s">
        <v>179</v>
      </c>
      <c r="B90" s="45">
        <v>26</v>
      </c>
      <c r="C90" s="46"/>
      <c r="D90" s="42"/>
      <c r="E90" s="42"/>
      <c r="F90" s="42"/>
      <c r="G90" s="116" t="s">
        <v>176</v>
      </c>
      <c r="H90" s="116"/>
      <c r="I90" s="116"/>
      <c r="J90" s="116"/>
      <c r="K90" s="45">
        <v>818</v>
      </c>
      <c r="L90" s="46"/>
    </row>
    <row r="91" spans="1:12">
      <c r="A91" s="13" t="s">
        <v>180</v>
      </c>
      <c r="B91" s="45">
        <v>45</v>
      </c>
      <c r="C91" s="46"/>
      <c r="D91" s="42"/>
      <c r="E91" s="42"/>
      <c r="F91" s="42"/>
      <c r="G91" s="116" t="s">
        <v>177</v>
      </c>
      <c r="H91" s="116"/>
      <c r="I91" s="116"/>
      <c r="J91" s="116"/>
      <c r="K91" s="45">
        <v>1080</v>
      </c>
      <c r="L91" s="46"/>
    </row>
    <row r="92" spans="1:12">
      <c r="A92" s="13" t="s">
        <v>181</v>
      </c>
      <c r="B92" s="45">
        <v>55</v>
      </c>
      <c r="C92" s="46"/>
      <c r="D92" s="42"/>
      <c r="E92" s="42"/>
      <c r="F92" s="42"/>
      <c r="G92" s="42"/>
      <c r="H92" s="42"/>
      <c r="I92" s="42"/>
      <c r="J92" s="42"/>
      <c r="K92" s="42"/>
      <c r="L92" s="42"/>
    </row>
    <row r="93" spans="1:12">
      <c r="A93" s="13" t="s">
        <v>182</v>
      </c>
      <c r="B93" s="45">
        <v>79</v>
      </c>
      <c r="C93" s="46"/>
      <c r="D93" s="42"/>
      <c r="E93" s="42"/>
      <c r="F93" s="42"/>
      <c r="G93" s="42"/>
      <c r="H93" s="42"/>
      <c r="I93" s="42"/>
      <c r="J93" s="42"/>
      <c r="K93" s="42"/>
      <c r="L93" s="42"/>
    </row>
    <row r="94" spans="1:12">
      <c r="A94" s="13" t="s">
        <v>183</v>
      </c>
      <c r="B94" s="45">
        <v>110</v>
      </c>
      <c r="C94" s="46"/>
      <c r="D94" s="42"/>
      <c r="E94" s="42"/>
      <c r="F94" s="42"/>
      <c r="G94" s="42"/>
      <c r="H94" s="42"/>
      <c r="I94" s="42"/>
      <c r="J94" s="42"/>
      <c r="K94" s="42"/>
      <c r="L94" s="42"/>
    </row>
    <row r="95" spans="1:12">
      <c r="A95" s="13" t="s">
        <v>184</v>
      </c>
      <c r="B95" s="45">
        <v>163</v>
      </c>
      <c r="C95" s="46"/>
      <c r="D95" s="42"/>
      <c r="E95" s="42"/>
      <c r="F95" s="42"/>
      <c r="G95" s="42"/>
      <c r="H95" s="42"/>
      <c r="I95" s="42"/>
      <c r="J95" s="42"/>
      <c r="K95" s="42"/>
      <c r="L95" s="42"/>
    </row>
  </sheetData>
  <sheetProtection algorithmName="SHA-512" hashValue="SUc5pDkM+6qhF8eujZ3W7/aUQrme2kiOmGxhAsXPVux50fyCgvWLl8ETEYs1cMikaXFqpqQ0Idb2eT1g/MsHIQ==" saltValue="pYg+iiCtqpMTNxhlD4lSsQ==" spinCount="100000" sheet="1" formatCells="0"/>
  <mergeCells count="51">
    <mergeCell ref="G75:J75"/>
    <mergeCell ref="G76:J76"/>
    <mergeCell ref="B77:C77"/>
    <mergeCell ref="G77:J77"/>
    <mergeCell ref="K80:L80"/>
    <mergeCell ref="G70:J70"/>
    <mergeCell ref="G71:J71"/>
    <mergeCell ref="G72:J72"/>
    <mergeCell ref="G73:J73"/>
    <mergeCell ref="G74:J74"/>
    <mergeCell ref="G65:J65"/>
    <mergeCell ref="G66:J66"/>
    <mergeCell ref="G67:J67"/>
    <mergeCell ref="G68:J68"/>
    <mergeCell ref="G69:J69"/>
    <mergeCell ref="B1:C1"/>
    <mergeCell ref="D1:L2"/>
    <mergeCell ref="A5:L6"/>
    <mergeCell ref="A9:L9"/>
    <mergeCell ref="A39:L39"/>
    <mergeCell ref="A51:D51"/>
    <mergeCell ref="G51:L51"/>
    <mergeCell ref="G52:I52"/>
    <mergeCell ref="G53:I53"/>
    <mergeCell ref="G54:I54"/>
    <mergeCell ref="G55:I55"/>
    <mergeCell ref="G56:I56"/>
    <mergeCell ref="G57:I57"/>
    <mergeCell ref="G58:I58"/>
    <mergeCell ref="G59:I59"/>
    <mergeCell ref="A3:L3"/>
    <mergeCell ref="A4:L4"/>
    <mergeCell ref="G60:I60"/>
    <mergeCell ref="G61:I61"/>
    <mergeCell ref="B63:C63"/>
    <mergeCell ref="G63:J63"/>
    <mergeCell ref="K63:L63"/>
    <mergeCell ref="G64:J64"/>
    <mergeCell ref="G90:J90"/>
    <mergeCell ref="G91:J91"/>
    <mergeCell ref="G85:J85"/>
    <mergeCell ref="G86:J86"/>
    <mergeCell ref="G87:J87"/>
    <mergeCell ref="G88:J88"/>
    <mergeCell ref="G89:J89"/>
    <mergeCell ref="G82:J82"/>
    <mergeCell ref="G83:J83"/>
    <mergeCell ref="G84:J84"/>
    <mergeCell ref="B89:C89"/>
    <mergeCell ref="G80:J80"/>
    <mergeCell ref="G81:J81"/>
  </mergeCells>
  <pageMargins left="0.5" right="0.5" top="0.6" bottom="0.6" header="0.3" footer="0.3"/>
  <pageSetup orientation="landscape" r:id="rId1"/>
  <headerFooter>
    <oddHeader>&amp;LIPL Fixture Wattage Reference</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2:E12"/>
  <sheetViews>
    <sheetView workbookViewId="0">
      <selection activeCell="B9" sqref="B9"/>
    </sheetView>
  </sheetViews>
  <sheetFormatPr defaultRowHeight="15"/>
  <cols>
    <col min="1" max="1" width="9.28515625" style="1" bestFit="1" customWidth="1"/>
    <col min="2" max="2" width="9.7109375" style="1" bestFit="1" customWidth="1"/>
    <col min="3" max="3" width="15.5703125" style="1" bestFit="1" customWidth="1"/>
    <col min="4" max="4" width="18.85546875" style="1" bestFit="1" customWidth="1"/>
    <col min="5" max="5" width="52.28515625" style="6" bestFit="1" customWidth="1"/>
    <col min="6" max="16384" width="9.140625" style="1"/>
  </cols>
  <sheetData>
    <row r="2" spans="1:5" s="4" customFormat="1">
      <c r="A2" s="7" t="s">
        <v>213</v>
      </c>
      <c r="B2" s="7" t="s">
        <v>208</v>
      </c>
      <c r="C2" s="7" t="s">
        <v>209</v>
      </c>
      <c r="D2" s="7" t="s">
        <v>210</v>
      </c>
      <c r="E2" s="7" t="s">
        <v>211</v>
      </c>
    </row>
    <row r="3" spans="1:5">
      <c r="A3" s="2">
        <v>1</v>
      </c>
      <c r="B3" s="3">
        <v>42736</v>
      </c>
      <c r="C3" s="2" t="s">
        <v>212</v>
      </c>
      <c r="D3" s="2" t="s">
        <v>214</v>
      </c>
      <c r="E3" s="5" t="s">
        <v>215</v>
      </c>
    </row>
    <row r="4" spans="1:5" ht="30">
      <c r="A4" s="2">
        <v>2</v>
      </c>
      <c r="B4" s="3">
        <v>42767</v>
      </c>
      <c r="C4" s="2" t="s">
        <v>212</v>
      </c>
      <c r="D4" s="2" t="s">
        <v>214</v>
      </c>
      <c r="E4" s="5" t="s">
        <v>216</v>
      </c>
    </row>
    <row r="5" spans="1:5">
      <c r="A5" s="2">
        <v>3</v>
      </c>
      <c r="B5" s="3">
        <v>42828</v>
      </c>
      <c r="C5" s="2" t="s">
        <v>212</v>
      </c>
      <c r="D5" s="2" t="s">
        <v>214</v>
      </c>
      <c r="E5" s="5" t="s">
        <v>217</v>
      </c>
    </row>
    <row r="6" spans="1:5" ht="30">
      <c r="A6" s="2">
        <v>4</v>
      </c>
      <c r="B6" s="3">
        <v>43108</v>
      </c>
      <c r="C6" s="2" t="s">
        <v>212</v>
      </c>
      <c r="D6" s="2" t="s">
        <v>214</v>
      </c>
      <c r="E6" s="5" t="s">
        <v>220</v>
      </c>
    </row>
    <row r="7" spans="1:5" ht="30">
      <c r="A7" s="2">
        <v>5</v>
      </c>
      <c r="B7" s="3">
        <v>43114</v>
      </c>
      <c r="C7" s="2" t="s">
        <v>212</v>
      </c>
      <c r="D7" s="2" t="s">
        <v>214</v>
      </c>
      <c r="E7" s="5" t="s">
        <v>219</v>
      </c>
    </row>
    <row r="8" spans="1:5" ht="30">
      <c r="A8" s="2">
        <v>6</v>
      </c>
      <c r="B8" s="3">
        <v>45471</v>
      </c>
      <c r="C8" s="2" t="s">
        <v>212</v>
      </c>
      <c r="D8" s="2" t="s">
        <v>214</v>
      </c>
      <c r="E8" s="5" t="s">
        <v>287</v>
      </c>
    </row>
    <row r="9" spans="1:5">
      <c r="A9" s="2">
        <v>7</v>
      </c>
      <c r="B9" s="3"/>
      <c r="C9" s="2"/>
      <c r="D9" s="2"/>
      <c r="E9" s="5"/>
    </row>
    <row r="10" spans="1:5">
      <c r="A10" s="2">
        <v>8</v>
      </c>
      <c r="B10" s="3"/>
      <c r="C10" s="2"/>
      <c r="D10" s="2"/>
      <c r="E10" s="5"/>
    </row>
    <row r="11" spans="1:5">
      <c r="A11" s="2">
        <v>9</v>
      </c>
      <c r="B11" s="3"/>
      <c r="C11" s="2"/>
      <c r="D11" s="2"/>
      <c r="E11" s="5"/>
    </row>
    <row r="12" spans="1:5">
      <c r="A12" s="2">
        <v>10</v>
      </c>
      <c r="B12" s="3"/>
      <c r="C12" s="2"/>
      <c r="D12" s="2"/>
      <c r="E12" s="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41C25DCFDAF664488188C4E3F4A5376" ma:contentTypeVersion="15" ma:contentTypeDescription="Create a new document." ma:contentTypeScope="" ma:versionID="7c67ea0b17db3aa18eb9b7aca0a0f8c9">
  <xsd:schema xmlns:xsd="http://www.w3.org/2001/XMLSchema" xmlns:xs="http://www.w3.org/2001/XMLSchema" xmlns:p="http://schemas.microsoft.com/office/2006/metadata/properties" xmlns:ns1="http://schemas.microsoft.com/sharepoint/v3" xmlns:ns2="0866c0de-8ac7-4517-b4b6-d20be05edb9c" xmlns:ns3="21b68238-1df5-4100-a71f-ad566ceb470a" targetNamespace="http://schemas.microsoft.com/office/2006/metadata/properties" ma:root="true" ma:fieldsID="e9ee1dc1339c1e03770e02776f448a2d" ns1:_="" ns2:_="" ns3:_="">
    <xsd:import namespace="http://schemas.microsoft.com/sharepoint/v3"/>
    <xsd:import namespace="0866c0de-8ac7-4517-b4b6-d20be05edb9c"/>
    <xsd:import namespace="21b68238-1df5-4100-a71f-ad566ceb470a"/>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66c0de-8ac7-4517-b4b6-d20be05edb9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b68238-1df5-4100-a71f-ad566ceb470a"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48E52D-05A8-425E-BBB4-A65CA7A9AE79}">
  <ds:schemaRefs>
    <ds:schemaRef ds:uri="http://purl.org/dc/elements/1.1/"/>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21b68238-1df5-4100-a71f-ad566ceb470a"/>
    <ds:schemaRef ds:uri="0866c0de-8ac7-4517-b4b6-d20be05edb9c"/>
    <ds:schemaRef ds:uri="http://schemas.microsoft.com/office/2006/metadata/properties"/>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053BA95B-06CB-4AA2-A294-43F032AE68B2}">
  <ds:schemaRefs>
    <ds:schemaRef ds:uri="http://schemas.microsoft.com/sharepoint/v3/contenttype/forms"/>
  </ds:schemaRefs>
</ds:datastoreItem>
</file>

<file path=customXml/itemProps3.xml><?xml version="1.0" encoding="utf-8"?>
<ds:datastoreItem xmlns:ds="http://schemas.openxmlformats.org/officeDocument/2006/customXml" ds:itemID="{325366E5-56B7-441E-A5B0-918FFA688B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866c0de-8ac7-4517-b4b6-d20be05edb9c"/>
    <ds:schemaRef ds:uri="21b68238-1df5-4100-a71f-ad566ceb47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Instructions</vt:lpstr>
      <vt:lpstr>Methodology</vt:lpstr>
      <vt:lpstr>Lighting Calculator</vt:lpstr>
      <vt:lpstr>Project Notes</vt:lpstr>
      <vt:lpstr>LookUp Tables</vt:lpstr>
      <vt:lpstr>Fixture Wattage Reference</vt:lpstr>
      <vt:lpstr>Updates</vt:lpstr>
      <vt:lpstr>_1._Building_ID</vt:lpstr>
      <vt:lpstr>_1._Post_Fixture_Qty</vt:lpstr>
      <vt:lpstr>_1._Pre_Fixture_Qty</vt:lpstr>
      <vt:lpstr>_1._Program_Operating_Hours_for_Your_Building_Type</vt:lpstr>
      <vt:lpstr>_2._Area_Description</vt:lpstr>
      <vt:lpstr>_2._Customer_Operating_Hours</vt:lpstr>
      <vt:lpstr>_2._Installed_Watts_Fixture</vt:lpstr>
      <vt:lpstr>_2._Pre_Watts_Fixture</vt:lpstr>
      <vt:lpstr>_3._Building_Type</vt:lpstr>
      <vt:lpstr>_3._Installed_Control_Type</vt:lpstr>
      <vt:lpstr>_3._Pre_Control_Type</vt:lpstr>
      <vt:lpstr>Base_Boiler_Size</vt:lpstr>
      <vt:lpstr>Base_Turndown</vt:lpstr>
      <vt:lpstr>Building_ID</vt:lpstr>
      <vt:lpstr>Post_Control_1</vt:lpstr>
      <vt:lpstr>Pre_Control_1</vt:lpstr>
      <vt:lpstr>'Lighting Calculator'!Print_Titles</vt:lpstr>
      <vt:lpstr>Proposed_Boiler_Size</vt:lpstr>
      <vt:lpstr>Proposed_Turndown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Selwyn</dc:creator>
  <cp:lastModifiedBy>Ben Reinhart</cp:lastModifiedBy>
  <cp:lastPrinted>2017-04-03T15:39:18Z</cp:lastPrinted>
  <dcterms:created xsi:type="dcterms:W3CDTF">2013-07-18T18:53:43Z</dcterms:created>
  <dcterms:modified xsi:type="dcterms:W3CDTF">2024-06-28T18:01:04Z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0x010100541C25DCFDAF664488188C4E3F4A5376</vt:lpwstr>
  </property>
  <property fmtid="{D5CDD505-2E9C-101B-9397-08002B2CF9AE}" pid="4" name="_dlc_DocIdItemGuid">
    <vt:lpwstr>618230d2-37d9-4c32-ac59-76fff4a7af9b</vt:lpwstr>
  </property>
  <property fmtid="{D5CDD505-2E9C-101B-9397-08002B2CF9AE}" pid="5" name="Order">
    <vt:r8>1000</vt:r8>
  </property>
  <property fmtid="{D5CDD505-2E9C-101B-9397-08002B2CF9AE}" pid="6" name="xd_ProgID">
    <vt:lpwstr/>
  </property>
  <property fmtid="{D5CDD505-2E9C-101B-9397-08002B2CF9AE}" pid="7" name="_CopySource">
    <vt:lpwstr>http://intranet.clearesult.com/regions/Midwest/IN/Indiana IPL/IPL Lighting and Lighting Controls Retrofit Calculator.xlsx</vt:lpwstr>
  </property>
  <property fmtid="{D5CDD505-2E9C-101B-9397-08002B2CF9AE}" pid="8" name="TemplateUrl">
    <vt:lpwstr/>
  </property>
  <property fmtid="{D5CDD505-2E9C-101B-9397-08002B2CF9AE}" pid="9" name="_AdHocReviewCycleID">
    <vt:i4>-1218467215</vt:i4>
  </property>
  <property fmtid="{D5CDD505-2E9C-101B-9397-08002B2CF9AE}" pid="10" name="_EmailSubject">
    <vt:lpwstr>Updated Custom Lighting Calculator</vt:lpwstr>
  </property>
  <property fmtid="{D5CDD505-2E9C-101B-9397-08002B2CF9AE}" pid="11" name="_AuthorEmail">
    <vt:lpwstr>armando.heredia@clearesult.com</vt:lpwstr>
  </property>
  <property fmtid="{D5CDD505-2E9C-101B-9397-08002B2CF9AE}" pid="12" name="_AuthorEmailDisplayName">
    <vt:lpwstr>Armando Heredia</vt:lpwstr>
  </property>
  <property fmtid="{D5CDD505-2E9C-101B-9397-08002B2CF9AE}" pid="13" name="_PreviousAdHocReviewCycleID">
    <vt:i4>780944152</vt:i4>
  </property>
</Properties>
</file>