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defaultThemeVersion="124226"/>
  <xr:revisionPtr revIDLastSave="0" documentId="8_{75A2C900-751B-48AC-9410-57A285777035}" xr6:coauthVersionLast="47" xr6:coauthVersionMax="47" xr10:uidLastSave="{00000000-0000-0000-0000-000000000000}"/>
  <workbookProtection workbookAlgorithmName="SHA-512" workbookHashValue="zgkWW6gxAimF6SZ0VwZgiblK3XjWwQFslsyT4k579PHkpN5sD7ueo/84l2uRmrQZ2N+/T5bF8lyiEKRBHo8Vtw==" workbookSaltValue="duwju/1itvbLX7s0LKw8Qw==" workbookSpinCount="100000" lockStructure="1"/>
  <bookViews>
    <workbookView xWindow="28680" yWindow="-120" windowWidth="29040" windowHeight="15720" xr2:uid="{00000000-000D-0000-FFFF-FFFF00000000}"/>
  </bookViews>
  <sheets>
    <sheet name="AES Indiana Bill Calc." sheetId="10" r:id="rId1"/>
    <sheet name="Help (Res. and Small C&amp;I)" sheetId="12" r:id="rId2"/>
    <sheet name="Help (Large C&amp;I)" sheetId="13" r:id="rId3"/>
    <sheet name="Help (Rate SE)" sheetId="14" r:id="rId4"/>
    <sheet name="Inputs" sheetId="11" state="hidden" r:id="rId5"/>
    <sheet name="Calc. Oct 2025" sheetId="15" state="hidden" r:id="rId6"/>
    <sheet name="Pwr Factor" sheetId="2" state="hidden" r:id="rId7"/>
    <sheet name="Dates" sheetId="3" state="hidden" r:id="rId8"/>
  </sheets>
  <definedNames>
    <definedName name="_xlnm.Print_Area" localSheetId="5">'Calc. Oct 2025'!$A$1:$AB$1086</definedName>
    <definedName name="_xlnm.Print_Titles" localSheetId="5">'Calc. Oct 2025'!$1:$41</definedName>
    <definedName name="_xlnm.Print_Titles" localSheetId="7">Dates!$A:$B</definedName>
    <definedName name="solver_adj" localSheetId="5" hidden="1">'Calc. Oct 2025'!#REF!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'Calc. Oct 2025'!#REF!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22.52</definedName>
    <definedName name="solver_ver" localSheetId="5"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15" l="1"/>
  <c r="W33" i="15"/>
  <c r="R4" i="15"/>
  <c r="G58" i="11"/>
  <c r="G83" i="11"/>
  <c r="G84" i="11"/>
  <c r="C59" i="11"/>
  <c r="D59" i="11" s="1"/>
  <c r="E59" i="11" s="1"/>
  <c r="F59" i="11" s="1"/>
  <c r="C60" i="11"/>
  <c r="D60" i="11" s="1"/>
  <c r="E60" i="11" s="1"/>
  <c r="F60" i="11" s="1"/>
  <c r="C61" i="11"/>
  <c r="D61" i="11" s="1"/>
  <c r="E61" i="11" s="1"/>
  <c r="F61" i="11" s="1"/>
  <c r="C62" i="11"/>
  <c r="D62" i="11" s="1"/>
  <c r="E62" i="11" s="1"/>
  <c r="F62" i="11" s="1"/>
  <c r="C63" i="11"/>
  <c r="D63" i="11" s="1"/>
  <c r="E63" i="11" s="1"/>
  <c r="F63" i="11" s="1"/>
  <c r="C64" i="11"/>
  <c r="D64" i="11" s="1"/>
  <c r="E64" i="11" s="1"/>
  <c r="F64" i="11" s="1"/>
  <c r="C65" i="11"/>
  <c r="D65" i="11" s="1"/>
  <c r="E65" i="11" s="1"/>
  <c r="F65" i="11" s="1"/>
  <c r="C66" i="11"/>
  <c r="D66" i="11" s="1"/>
  <c r="E66" i="11" s="1"/>
  <c r="F66" i="11" s="1"/>
  <c r="C67" i="11"/>
  <c r="D67" i="11" s="1"/>
  <c r="E67" i="11" s="1"/>
  <c r="F67" i="11" s="1"/>
  <c r="C68" i="11"/>
  <c r="D68" i="11" s="1"/>
  <c r="E68" i="11" s="1"/>
  <c r="F68" i="11" s="1"/>
  <c r="C69" i="11"/>
  <c r="D69" i="11" s="1"/>
  <c r="E69" i="11" s="1"/>
  <c r="F69" i="11" s="1"/>
  <c r="C70" i="11"/>
  <c r="D70" i="11" s="1"/>
  <c r="E70" i="11" s="1"/>
  <c r="F70" i="11" s="1"/>
  <c r="C71" i="11"/>
  <c r="D71" i="11" s="1"/>
  <c r="E71" i="11" s="1"/>
  <c r="F71" i="11" s="1"/>
  <c r="C72" i="11"/>
  <c r="D72" i="11" s="1"/>
  <c r="E72" i="11" s="1"/>
  <c r="F72" i="11" s="1"/>
  <c r="C73" i="11"/>
  <c r="D73" i="11" s="1"/>
  <c r="E73" i="11" s="1"/>
  <c r="F73" i="11" s="1"/>
  <c r="C74" i="11"/>
  <c r="D74" i="11" s="1"/>
  <c r="E74" i="11" s="1"/>
  <c r="F74" i="11" s="1"/>
  <c r="C75" i="11"/>
  <c r="D75" i="11" s="1"/>
  <c r="E75" i="11" s="1"/>
  <c r="F75" i="11" s="1"/>
  <c r="C76" i="11"/>
  <c r="D76" i="11" s="1"/>
  <c r="E76" i="11" s="1"/>
  <c r="F76" i="11" s="1"/>
  <c r="C77" i="11"/>
  <c r="D77" i="11" s="1"/>
  <c r="E77" i="11" s="1"/>
  <c r="F77" i="11" s="1"/>
  <c r="C78" i="11"/>
  <c r="D78" i="11" s="1"/>
  <c r="E78" i="11" s="1"/>
  <c r="F78" i="11" s="1"/>
  <c r="C79" i="11"/>
  <c r="D79" i="11" s="1"/>
  <c r="E79" i="11" s="1"/>
  <c r="F79" i="11" s="1"/>
  <c r="C80" i="11"/>
  <c r="D80" i="11" s="1"/>
  <c r="E80" i="11" s="1"/>
  <c r="F80" i="11" s="1"/>
  <c r="C81" i="11"/>
  <c r="D81" i="11" s="1"/>
  <c r="E81" i="11" s="1"/>
  <c r="F81" i="11" s="1"/>
  <c r="C58" i="11"/>
  <c r="D58" i="11" s="1"/>
  <c r="E58" i="11" s="1"/>
  <c r="F3" i="15"/>
  <c r="B82" i="11"/>
  <c r="B83" i="11"/>
  <c r="B84" i="11"/>
  <c r="B85" i="11"/>
  <c r="B86" i="11"/>
  <c r="L74" i="11"/>
  <c r="N74" i="11" s="1"/>
  <c r="L75" i="11"/>
  <c r="N75" i="11" s="1"/>
  <c r="L76" i="11"/>
  <c r="L77" i="11"/>
  <c r="L78" i="11"/>
  <c r="N78" i="11" s="1"/>
  <c r="L79" i="11"/>
  <c r="N79" i="11" s="1"/>
  <c r="L80" i="11"/>
  <c r="N80" i="11" s="1"/>
  <c r="L81" i="11"/>
  <c r="N81" i="11" s="1"/>
  <c r="L73" i="11"/>
  <c r="N73" i="11" s="1"/>
  <c r="L72" i="11"/>
  <c r="N72" i="11" s="1"/>
  <c r="L71" i="11"/>
  <c r="N71" i="11" s="1"/>
  <c r="L70" i="11"/>
  <c r="N70" i="11" s="1"/>
  <c r="I70" i="11"/>
  <c r="I81" i="11"/>
  <c r="K81" i="11" s="1"/>
  <c r="I80" i="11"/>
  <c r="K80" i="11" s="1"/>
  <c r="I79" i="11"/>
  <c r="K79" i="11" s="1"/>
  <c r="I78" i="11"/>
  <c r="I77" i="11"/>
  <c r="K77" i="11" s="1"/>
  <c r="N76" i="11"/>
  <c r="I76" i="11"/>
  <c r="K76" i="11" s="1"/>
  <c r="I75" i="11"/>
  <c r="I74" i="11"/>
  <c r="I73" i="11"/>
  <c r="K73" i="11" s="1"/>
  <c r="I72" i="11"/>
  <c r="K72" i="11" s="1"/>
  <c r="I71" i="11"/>
  <c r="K71" i="11" s="1"/>
  <c r="G74" i="11" l="1"/>
  <c r="G78" i="11"/>
  <c r="G70" i="11"/>
  <c r="G75" i="11"/>
  <c r="G71" i="11"/>
  <c r="G81" i="11"/>
  <c r="G73" i="11"/>
  <c r="G80" i="11"/>
  <c r="G72" i="11"/>
  <c r="G79" i="11"/>
  <c r="G77" i="11"/>
  <c r="G76" i="11"/>
  <c r="O59" i="11"/>
  <c r="F58" i="11"/>
  <c r="O58" i="11" s="1"/>
  <c r="O71" i="11"/>
  <c r="O66" i="11"/>
  <c r="O65" i="11"/>
  <c r="O63" i="11"/>
  <c r="O81" i="11"/>
  <c r="O79" i="11"/>
  <c r="O74" i="11"/>
  <c r="O73" i="11"/>
  <c r="O80" i="11"/>
  <c r="O72" i="11"/>
  <c r="O64" i="11"/>
  <c r="O78" i="11"/>
  <c r="O70" i="11"/>
  <c r="O62" i="11"/>
  <c r="O77" i="11"/>
  <c r="O69" i="11"/>
  <c r="O61" i="11"/>
  <c r="O76" i="11"/>
  <c r="O68" i="11"/>
  <c r="O60" i="11"/>
  <c r="O75" i="11"/>
  <c r="O67" i="11"/>
  <c r="K70" i="11"/>
  <c r="K78" i="11"/>
  <c r="K75" i="11"/>
  <c r="K74" i="11"/>
  <c r="N77" i="11"/>
  <c r="E1291" i="15" l="1"/>
  <c r="C1291" i="15" s="1"/>
  <c r="D1291" i="15"/>
  <c r="R1290" i="15" s="1"/>
  <c r="B1291" i="15"/>
  <c r="E1289" i="15"/>
  <c r="C1289" i="15" s="1"/>
  <c r="L1289" i="15" s="1"/>
  <c r="D1289" i="15"/>
  <c r="R1288" i="15" s="1"/>
  <c r="B1289" i="15"/>
  <c r="E1287" i="15"/>
  <c r="C1287" i="15" s="1"/>
  <c r="D1287" i="15"/>
  <c r="R1286" i="15" s="1"/>
  <c r="B1287" i="15"/>
  <c r="E1285" i="15"/>
  <c r="C1285" i="15" s="1"/>
  <c r="D1285" i="15"/>
  <c r="R1284" i="15" s="1"/>
  <c r="B1285" i="15"/>
  <c r="E1283" i="15"/>
  <c r="C1283" i="15" s="1"/>
  <c r="D1283" i="15"/>
  <c r="R1282" i="15" s="1"/>
  <c r="B1283" i="15"/>
  <c r="AC1291" i="15"/>
  <c r="AC1289" i="15"/>
  <c r="AC1287" i="15"/>
  <c r="AC1285" i="15"/>
  <c r="AC1283" i="15"/>
  <c r="E1184" i="15"/>
  <c r="C1184" i="15" s="1"/>
  <c r="D1184" i="15"/>
  <c r="R1183" i="15" s="1"/>
  <c r="B1184" i="15"/>
  <c r="E1182" i="15"/>
  <c r="C1182" i="15" s="1"/>
  <c r="L1182" i="15" s="1"/>
  <c r="D1182" i="15"/>
  <c r="R1181" i="15" s="1"/>
  <c r="B1182" i="15"/>
  <c r="E1180" i="15"/>
  <c r="C1180" i="15" s="1"/>
  <c r="D1180" i="15"/>
  <c r="R1179" i="15" s="1"/>
  <c r="B1180" i="15"/>
  <c r="E1178" i="15"/>
  <c r="C1178" i="15" s="1"/>
  <c r="D1178" i="15"/>
  <c r="R1177" i="15" s="1"/>
  <c r="B1178" i="15"/>
  <c r="E1176" i="15"/>
  <c r="C1176" i="15" s="1"/>
  <c r="D1176" i="15"/>
  <c r="R1175" i="15" s="1"/>
  <c r="B1176" i="15"/>
  <c r="AC1184" i="15"/>
  <c r="AC1182" i="15"/>
  <c r="AC1180" i="15"/>
  <c r="AC1178" i="15"/>
  <c r="AC1176" i="15"/>
  <c r="E1059" i="15"/>
  <c r="C1059" i="15" s="1"/>
  <c r="D1059" i="15"/>
  <c r="R1058" i="15" s="1"/>
  <c r="B1059" i="15"/>
  <c r="E1057" i="15"/>
  <c r="C1057" i="15" s="1"/>
  <c r="D1057" i="15"/>
  <c r="R1056" i="15" s="1"/>
  <c r="B1057" i="15"/>
  <c r="E1055" i="15"/>
  <c r="C1055" i="15" s="1"/>
  <c r="M1055" i="15" s="1"/>
  <c r="D1055" i="15"/>
  <c r="R1054" i="15" s="1"/>
  <c r="B1055" i="15"/>
  <c r="K1055" i="15" s="1"/>
  <c r="N1055" i="15" s="1"/>
  <c r="E1053" i="15"/>
  <c r="C1053" i="15" s="1"/>
  <c r="D1053" i="15"/>
  <c r="R1052" i="15" s="1"/>
  <c r="B1053" i="15"/>
  <c r="E1051" i="15"/>
  <c r="C1051" i="15" s="1"/>
  <c r="M1051" i="15" s="1"/>
  <c r="D1051" i="15"/>
  <c r="R1050" i="15" s="1"/>
  <c r="B1051" i="15"/>
  <c r="AC1059" i="15"/>
  <c r="AC1058" i="15"/>
  <c r="M1058" i="15"/>
  <c r="L1058" i="15"/>
  <c r="K1058" i="15"/>
  <c r="J1058" i="15"/>
  <c r="H1058" i="15"/>
  <c r="AC1057" i="15"/>
  <c r="AC1056" i="15"/>
  <c r="M1056" i="15"/>
  <c r="L1056" i="15"/>
  <c r="K1056" i="15"/>
  <c r="J1056" i="15"/>
  <c r="H1056" i="15"/>
  <c r="AC1055" i="15"/>
  <c r="AC1054" i="15"/>
  <c r="M1054" i="15"/>
  <c r="L1054" i="15"/>
  <c r="K1054" i="15"/>
  <c r="J1054" i="15"/>
  <c r="H1054" i="15"/>
  <c r="AC1053" i="15"/>
  <c r="AC1052" i="15"/>
  <c r="M1052" i="15"/>
  <c r="L1052" i="15"/>
  <c r="K1052" i="15"/>
  <c r="J1052" i="15"/>
  <c r="H1052" i="15"/>
  <c r="AC1051" i="15"/>
  <c r="AC1050" i="15"/>
  <c r="M1050" i="15"/>
  <c r="L1050" i="15"/>
  <c r="K1050" i="15"/>
  <c r="J1050" i="15"/>
  <c r="H1050" i="15"/>
  <c r="E943" i="15"/>
  <c r="C943" i="15" s="1"/>
  <c r="D943" i="15"/>
  <c r="R942" i="15" s="1"/>
  <c r="B943" i="15"/>
  <c r="E941" i="15"/>
  <c r="C941" i="15" s="1"/>
  <c r="L941" i="15" s="1"/>
  <c r="D941" i="15"/>
  <c r="R940" i="15" s="1"/>
  <c r="B941" i="15"/>
  <c r="E939" i="15"/>
  <c r="C939" i="15" s="1"/>
  <c r="D939" i="15"/>
  <c r="R938" i="15" s="1"/>
  <c r="B939" i="15"/>
  <c r="H939" i="15" s="1"/>
  <c r="E937" i="15"/>
  <c r="C937" i="15" s="1"/>
  <c r="D937" i="15"/>
  <c r="R936" i="15" s="1"/>
  <c r="B937" i="15"/>
  <c r="E935" i="15"/>
  <c r="C935" i="15" s="1"/>
  <c r="D935" i="15"/>
  <c r="R934" i="15" s="1"/>
  <c r="B935" i="15"/>
  <c r="K935" i="15" s="1"/>
  <c r="N935" i="15" s="1"/>
  <c r="AC943" i="15"/>
  <c r="AB943" i="15"/>
  <c r="AC941" i="15"/>
  <c r="AB941" i="15"/>
  <c r="AC939" i="15"/>
  <c r="AB939" i="15"/>
  <c r="AC937" i="15"/>
  <c r="AB937" i="15"/>
  <c r="AC935" i="15"/>
  <c r="AB935" i="15"/>
  <c r="E827" i="15"/>
  <c r="I827" i="15" s="1"/>
  <c r="D827" i="15"/>
  <c r="R826" i="15" s="1"/>
  <c r="B827" i="15"/>
  <c r="E825" i="15"/>
  <c r="I825" i="15" s="1"/>
  <c r="D825" i="15"/>
  <c r="R824" i="15" s="1"/>
  <c r="B825" i="15"/>
  <c r="E823" i="15"/>
  <c r="I823" i="15" s="1"/>
  <c r="D823" i="15"/>
  <c r="R822" i="15" s="1"/>
  <c r="B823" i="15"/>
  <c r="H823" i="15" s="1"/>
  <c r="E821" i="15"/>
  <c r="C821" i="15" s="1"/>
  <c r="D821" i="15"/>
  <c r="R820" i="15" s="1"/>
  <c r="B821" i="15"/>
  <c r="E819" i="15"/>
  <c r="I819" i="15" s="1"/>
  <c r="D819" i="15"/>
  <c r="R818" i="15" s="1"/>
  <c r="B819" i="15"/>
  <c r="AC827" i="15"/>
  <c r="AB827" i="15"/>
  <c r="Q826" i="15"/>
  <c r="AC825" i="15"/>
  <c r="AB825" i="15"/>
  <c r="Q824" i="15"/>
  <c r="AC823" i="15"/>
  <c r="AB823" i="15"/>
  <c r="Q822" i="15"/>
  <c r="AC821" i="15"/>
  <c r="AB821" i="15"/>
  <c r="Q820" i="15"/>
  <c r="AC819" i="15"/>
  <c r="AB819" i="15"/>
  <c r="Q818" i="15"/>
  <c r="E713" i="15"/>
  <c r="C713" i="15" s="1"/>
  <c r="D713" i="15"/>
  <c r="R712" i="15" s="1"/>
  <c r="B713" i="15"/>
  <c r="E711" i="15"/>
  <c r="C711" i="15" s="1"/>
  <c r="L711" i="15" s="1"/>
  <c r="D711" i="15"/>
  <c r="R710" i="15" s="1"/>
  <c r="B711" i="15"/>
  <c r="E709" i="15"/>
  <c r="C709" i="15" s="1"/>
  <c r="D709" i="15"/>
  <c r="R708" i="15" s="1"/>
  <c r="B709" i="15"/>
  <c r="E707" i="15"/>
  <c r="C707" i="15" s="1"/>
  <c r="D707" i="15"/>
  <c r="R706" i="15" s="1"/>
  <c r="B707" i="15"/>
  <c r="J707" i="15" s="1"/>
  <c r="E705" i="15"/>
  <c r="C705" i="15" s="1"/>
  <c r="D705" i="15"/>
  <c r="R704" i="15" s="1"/>
  <c r="B705" i="15"/>
  <c r="AC713" i="15"/>
  <c r="AC711" i="15"/>
  <c r="AC709" i="15"/>
  <c r="AC707" i="15"/>
  <c r="AC705" i="15"/>
  <c r="E599" i="15"/>
  <c r="C599" i="15" s="1"/>
  <c r="P599" i="15" s="1"/>
  <c r="D599" i="15"/>
  <c r="R598" i="15" s="1"/>
  <c r="B599" i="15"/>
  <c r="E597" i="15"/>
  <c r="C597" i="15" s="1"/>
  <c r="P597" i="15" s="1"/>
  <c r="D597" i="15"/>
  <c r="R596" i="15" s="1"/>
  <c r="B597" i="15"/>
  <c r="E595" i="15"/>
  <c r="C595" i="15" s="1"/>
  <c r="D595" i="15"/>
  <c r="R594" i="15" s="1"/>
  <c r="B595" i="15"/>
  <c r="E593" i="15"/>
  <c r="C593" i="15" s="1"/>
  <c r="D593" i="15"/>
  <c r="R592" i="15" s="1"/>
  <c r="B593" i="15"/>
  <c r="K593" i="15" s="1"/>
  <c r="N593" i="15" s="1"/>
  <c r="E591" i="15"/>
  <c r="C591" i="15" s="1"/>
  <c r="O591" i="15" s="1"/>
  <c r="D591" i="15"/>
  <c r="R590" i="15" s="1"/>
  <c r="B591" i="15"/>
  <c r="K591" i="15" s="1"/>
  <c r="N591" i="15" s="1"/>
  <c r="AC599" i="15"/>
  <c r="AC597" i="15"/>
  <c r="AC595" i="15"/>
  <c r="AC593" i="15"/>
  <c r="AC591" i="15"/>
  <c r="C432" i="15"/>
  <c r="D432" i="15" s="1"/>
  <c r="C430" i="15"/>
  <c r="D430" i="15" s="1"/>
  <c r="C428" i="15"/>
  <c r="D428" i="15" s="1"/>
  <c r="C424" i="15"/>
  <c r="D424" i="15" s="1"/>
  <c r="K423" i="15" s="1"/>
  <c r="L423" i="15" s="1"/>
  <c r="L424" i="15" s="1"/>
  <c r="C426" i="15"/>
  <c r="D426" i="15" s="1"/>
  <c r="C422" i="15"/>
  <c r="C420" i="15"/>
  <c r="C418" i="15"/>
  <c r="D418" i="15" s="1"/>
  <c r="C416" i="15"/>
  <c r="C414" i="15"/>
  <c r="C412" i="15"/>
  <c r="C410" i="15"/>
  <c r="C408" i="15"/>
  <c r="C406" i="15"/>
  <c r="C404" i="15"/>
  <c r="B424" i="15"/>
  <c r="C27" i="10" a="1"/>
  <c r="C27" i="10" s="1"/>
  <c r="B432" i="15"/>
  <c r="J432" i="15" s="1"/>
  <c r="B430" i="15"/>
  <c r="B428" i="15"/>
  <c r="B426" i="15"/>
  <c r="AC432" i="15"/>
  <c r="AB432" i="15"/>
  <c r="AC430" i="15"/>
  <c r="AB430" i="15"/>
  <c r="AC428" i="15"/>
  <c r="AB428" i="15"/>
  <c r="AC426" i="15"/>
  <c r="AB426" i="15"/>
  <c r="AC424" i="15"/>
  <c r="AB424" i="15"/>
  <c r="B316" i="15"/>
  <c r="B314" i="15"/>
  <c r="B312" i="15"/>
  <c r="B310" i="15"/>
  <c r="H310" i="15" s="1"/>
  <c r="B308" i="15"/>
  <c r="AC316" i="15"/>
  <c r="AC314" i="15"/>
  <c r="AC312" i="15"/>
  <c r="AC310" i="15"/>
  <c r="AC308" i="15"/>
  <c r="B199" i="15"/>
  <c r="B197" i="15"/>
  <c r="B195" i="15"/>
  <c r="B193" i="15"/>
  <c r="B191" i="15"/>
  <c r="V1070" i="15"/>
  <c r="V955" i="15"/>
  <c r="V839" i="15"/>
  <c r="V723" i="15"/>
  <c r="V609" i="15"/>
  <c r="V495" i="15"/>
  <c r="V328" i="15"/>
  <c r="V212" i="15"/>
  <c r="V95" i="15"/>
  <c r="V1051" i="15" l="1"/>
  <c r="V1178" i="15"/>
  <c r="V1053" i="15"/>
  <c r="V1176" i="15"/>
  <c r="K1178" i="15"/>
  <c r="N1178" i="15" s="1"/>
  <c r="V1283" i="15"/>
  <c r="V1285" i="15"/>
  <c r="V1287" i="15"/>
  <c r="V1289" i="15"/>
  <c r="V1291" i="15"/>
  <c r="W1289" i="15"/>
  <c r="H1287" i="15"/>
  <c r="W1287" i="15"/>
  <c r="W1285" i="15"/>
  <c r="H1285" i="15"/>
  <c r="J1285" i="15"/>
  <c r="K1285" i="15"/>
  <c r="N1285" i="15" s="1"/>
  <c r="H1283" i="15"/>
  <c r="J1283" i="15"/>
  <c r="K1283" i="15"/>
  <c r="N1283" i="15" s="1"/>
  <c r="M1283" i="15"/>
  <c r="L1283" i="15"/>
  <c r="M1287" i="15"/>
  <c r="L1287" i="15"/>
  <c r="M1291" i="15"/>
  <c r="L1291" i="15"/>
  <c r="M1285" i="15"/>
  <c r="L1285" i="15"/>
  <c r="W1291" i="15"/>
  <c r="J1287" i="15"/>
  <c r="H1289" i="15"/>
  <c r="M1289" i="15"/>
  <c r="Q1289" i="15" s="1"/>
  <c r="W1283" i="15"/>
  <c r="K1287" i="15"/>
  <c r="N1287" i="15" s="1"/>
  <c r="J1289" i="15"/>
  <c r="H1291" i="15"/>
  <c r="K1289" i="15"/>
  <c r="N1289" i="15" s="1"/>
  <c r="J1291" i="15"/>
  <c r="K1291" i="15"/>
  <c r="N1291" i="15" s="1"/>
  <c r="V1180" i="15"/>
  <c r="V1182" i="15"/>
  <c r="V941" i="15"/>
  <c r="V1184" i="15"/>
  <c r="H1180" i="15"/>
  <c r="H1178" i="15"/>
  <c r="J1178" i="15"/>
  <c r="H1176" i="15"/>
  <c r="J1176" i="15"/>
  <c r="K1176" i="15"/>
  <c r="N1176" i="15" s="1"/>
  <c r="M1180" i="15"/>
  <c r="L1180" i="15"/>
  <c r="M1176" i="15"/>
  <c r="L1176" i="15"/>
  <c r="L1184" i="15"/>
  <c r="M1184" i="15"/>
  <c r="M1178" i="15"/>
  <c r="L1178" i="15"/>
  <c r="M1182" i="15"/>
  <c r="Q1182" i="15" s="1"/>
  <c r="J1180" i="15"/>
  <c r="H1182" i="15"/>
  <c r="K1180" i="15"/>
  <c r="N1180" i="15" s="1"/>
  <c r="J1182" i="15"/>
  <c r="H1184" i="15"/>
  <c r="K1182" i="15"/>
  <c r="N1182" i="15" s="1"/>
  <c r="J1184" i="15"/>
  <c r="K1184" i="15"/>
  <c r="N1184" i="15" s="1"/>
  <c r="V935" i="15"/>
  <c r="V937" i="15"/>
  <c r="V1055" i="15"/>
  <c r="V1057" i="15"/>
  <c r="V1059" i="15"/>
  <c r="M1059" i="15"/>
  <c r="L1059" i="15"/>
  <c r="K1057" i="15"/>
  <c r="N1057" i="15" s="1"/>
  <c r="J1055" i="15"/>
  <c r="M1053" i="15"/>
  <c r="L1053" i="15"/>
  <c r="H1053" i="15"/>
  <c r="J1053" i="15"/>
  <c r="J1051" i="15"/>
  <c r="K1051" i="15"/>
  <c r="N1051" i="15" s="1"/>
  <c r="H1051" i="15"/>
  <c r="M1057" i="15"/>
  <c r="L1057" i="15"/>
  <c r="K1053" i="15"/>
  <c r="N1053" i="15" s="1"/>
  <c r="L1055" i="15"/>
  <c r="Q1055" i="15" s="1"/>
  <c r="L1051" i="15"/>
  <c r="H1059" i="15"/>
  <c r="H1057" i="15"/>
  <c r="J1059" i="15"/>
  <c r="H1055" i="15"/>
  <c r="J1057" i="15"/>
  <c r="K1059" i="15"/>
  <c r="N1059" i="15" s="1"/>
  <c r="V819" i="15"/>
  <c r="V939" i="15"/>
  <c r="V821" i="15"/>
  <c r="V943" i="15"/>
  <c r="M943" i="15"/>
  <c r="L943" i="15"/>
  <c r="H937" i="15"/>
  <c r="J937" i="15"/>
  <c r="K937" i="15"/>
  <c r="N937" i="15" s="1"/>
  <c r="H935" i="15"/>
  <c r="J935" i="15"/>
  <c r="M937" i="15"/>
  <c r="L937" i="15"/>
  <c r="M935" i="15"/>
  <c r="L935" i="15"/>
  <c r="M939" i="15"/>
  <c r="L939" i="15"/>
  <c r="M941" i="15"/>
  <c r="Q941" i="15" s="1"/>
  <c r="J939" i="15"/>
  <c r="H941" i="15"/>
  <c r="K939" i="15"/>
  <c r="N939" i="15" s="1"/>
  <c r="J941" i="15"/>
  <c r="H943" i="15"/>
  <c r="K941" i="15"/>
  <c r="N941" i="15" s="1"/>
  <c r="J943" i="15"/>
  <c r="K943" i="15"/>
  <c r="N943" i="15" s="1"/>
  <c r="V705" i="15"/>
  <c r="V823" i="15"/>
  <c r="V825" i="15"/>
  <c r="V827" i="15"/>
  <c r="C827" i="15"/>
  <c r="K826" i="15" s="1"/>
  <c r="K827" i="15" s="1"/>
  <c r="H827" i="15"/>
  <c r="J825" i="15"/>
  <c r="C823" i="15"/>
  <c r="K822" i="15" s="1"/>
  <c r="L822" i="15" s="1"/>
  <c r="J821" i="15"/>
  <c r="C819" i="15"/>
  <c r="K818" i="15" s="1"/>
  <c r="L818" i="15" s="1"/>
  <c r="H819" i="15"/>
  <c r="M821" i="15"/>
  <c r="Q821" i="15" s="1"/>
  <c r="K820" i="15"/>
  <c r="L820" i="15" s="1"/>
  <c r="H821" i="15"/>
  <c r="J823" i="15"/>
  <c r="C825" i="15"/>
  <c r="I821" i="15"/>
  <c r="J819" i="15"/>
  <c r="H825" i="15"/>
  <c r="J827" i="15"/>
  <c r="V711" i="15"/>
  <c r="V707" i="15"/>
  <c r="V593" i="15"/>
  <c r="V595" i="15"/>
  <c r="H709" i="15"/>
  <c r="V709" i="15"/>
  <c r="V424" i="15"/>
  <c r="V597" i="15"/>
  <c r="J593" i="15"/>
  <c r="V713" i="15"/>
  <c r="M713" i="15"/>
  <c r="L713" i="15"/>
  <c r="H707" i="15"/>
  <c r="H705" i="15"/>
  <c r="J705" i="15"/>
  <c r="K705" i="15"/>
  <c r="N705" i="15" s="1"/>
  <c r="M705" i="15"/>
  <c r="L705" i="15"/>
  <c r="M707" i="15"/>
  <c r="L707" i="15"/>
  <c r="M709" i="15"/>
  <c r="L709" i="15"/>
  <c r="M711" i="15"/>
  <c r="Q711" i="15" s="1"/>
  <c r="K707" i="15"/>
  <c r="J709" i="15"/>
  <c r="H711" i="15"/>
  <c r="K709" i="15"/>
  <c r="N709" i="15" s="1"/>
  <c r="J711" i="15"/>
  <c r="H713" i="15"/>
  <c r="K711" i="15"/>
  <c r="N711" i="15" s="1"/>
  <c r="J713" i="15"/>
  <c r="K713" i="15"/>
  <c r="N713" i="15" s="1"/>
  <c r="P591" i="15"/>
  <c r="R591" i="15" s="1"/>
  <c r="V591" i="15"/>
  <c r="V599" i="15"/>
  <c r="V308" i="15"/>
  <c r="V432" i="15"/>
  <c r="H595" i="15"/>
  <c r="H593" i="15"/>
  <c r="H591" i="15"/>
  <c r="J591" i="15"/>
  <c r="P593" i="15"/>
  <c r="O593" i="15"/>
  <c r="O595" i="15"/>
  <c r="P595" i="15"/>
  <c r="O597" i="15"/>
  <c r="Q597" i="15" s="1"/>
  <c r="O599" i="15"/>
  <c r="Q599" i="15" s="1"/>
  <c r="J595" i="15"/>
  <c r="H597" i="15"/>
  <c r="K595" i="15"/>
  <c r="N595" i="15" s="1"/>
  <c r="J597" i="15"/>
  <c r="H599" i="15"/>
  <c r="K597" i="15"/>
  <c r="N597" i="15" s="1"/>
  <c r="J599" i="15"/>
  <c r="K599" i="15"/>
  <c r="N599" i="15" s="1"/>
  <c r="V428" i="15"/>
  <c r="V430" i="15"/>
  <c r="K417" i="15"/>
  <c r="L417" i="15" s="1"/>
  <c r="M423" i="15"/>
  <c r="M424" i="15" s="1"/>
  <c r="K424" i="15"/>
  <c r="V426" i="15"/>
  <c r="J430" i="15"/>
  <c r="J428" i="15"/>
  <c r="J426" i="15"/>
  <c r="J424" i="15"/>
  <c r="K431" i="15"/>
  <c r="K432" i="15" s="1"/>
  <c r="K425" i="15"/>
  <c r="K426" i="15" s="1"/>
  <c r="K429" i="15"/>
  <c r="K430" i="15" s="1"/>
  <c r="K427" i="15"/>
  <c r="K428" i="15" s="1"/>
  <c r="M425" i="15"/>
  <c r="M426" i="15" s="1"/>
  <c r="M427" i="15"/>
  <c r="M428" i="15" s="1"/>
  <c r="M429" i="15"/>
  <c r="M430" i="15" s="1"/>
  <c r="M431" i="15"/>
  <c r="M432" i="15" s="1"/>
  <c r="H424" i="15"/>
  <c r="H426" i="15"/>
  <c r="H428" i="15"/>
  <c r="H430" i="15"/>
  <c r="H432" i="15"/>
  <c r="V312" i="15"/>
  <c r="V314" i="15"/>
  <c r="V316" i="15"/>
  <c r="V310" i="15"/>
  <c r="K316" i="15"/>
  <c r="N316" i="15" s="1"/>
  <c r="H314" i="15"/>
  <c r="J312" i="15"/>
  <c r="H312" i="15"/>
  <c r="K310" i="15"/>
  <c r="N310" i="15" s="1"/>
  <c r="J310" i="15"/>
  <c r="K312" i="15"/>
  <c r="N312" i="15" s="1"/>
  <c r="J314" i="15"/>
  <c r="H316" i="15"/>
  <c r="K314" i="15"/>
  <c r="N314" i="15" s="1"/>
  <c r="J316" i="15"/>
  <c r="H308" i="15"/>
  <c r="J308" i="15"/>
  <c r="K308" i="15"/>
  <c r="N308" i="15" s="1"/>
  <c r="V193" i="15"/>
  <c r="V191" i="15"/>
  <c r="V195" i="15"/>
  <c r="V197" i="15"/>
  <c r="V199" i="15"/>
  <c r="L191" i="15"/>
  <c r="L193" i="15"/>
  <c r="L195" i="15"/>
  <c r="L197" i="15"/>
  <c r="L199" i="15"/>
  <c r="H191" i="15"/>
  <c r="H193" i="15"/>
  <c r="H197" i="15"/>
  <c r="J191" i="15"/>
  <c r="J193" i="15"/>
  <c r="J195" i="15"/>
  <c r="J197" i="15"/>
  <c r="K191" i="15"/>
  <c r="K193" i="15"/>
  <c r="K195" i="15"/>
  <c r="K197" i="15"/>
  <c r="K199" i="15"/>
  <c r="H195" i="15"/>
  <c r="H199" i="15"/>
  <c r="J199" i="15"/>
  <c r="B111" i="15"/>
  <c r="E571" i="15"/>
  <c r="D571" i="15"/>
  <c r="E573" i="15"/>
  <c r="D573" i="15"/>
  <c r="E575" i="15"/>
  <c r="D575" i="15"/>
  <c r="E577" i="15"/>
  <c r="D577" i="15"/>
  <c r="E579" i="15"/>
  <c r="D579" i="15"/>
  <c r="E581" i="15"/>
  <c r="C581" i="15" s="1"/>
  <c r="D581" i="15"/>
  <c r="R580" i="15" s="1"/>
  <c r="E583" i="15"/>
  <c r="C583" i="15" s="1"/>
  <c r="D583" i="15"/>
  <c r="R582" i="15" s="1"/>
  <c r="E585" i="15"/>
  <c r="C585" i="15" s="1"/>
  <c r="D585" i="15"/>
  <c r="R584" i="15" s="1"/>
  <c r="E587" i="15"/>
  <c r="C587" i="15" s="1"/>
  <c r="O587" i="15" s="1"/>
  <c r="D587" i="15"/>
  <c r="R586" i="15" s="1"/>
  <c r="E589" i="15"/>
  <c r="C589" i="15" s="1"/>
  <c r="D589" i="15"/>
  <c r="R588" i="15" s="1"/>
  <c r="E685" i="15"/>
  <c r="D685" i="15"/>
  <c r="E687" i="15"/>
  <c r="D687" i="15"/>
  <c r="E689" i="15"/>
  <c r="D689" i="15"/>
  <c r="E691" i="15"/>
  <c r="D691" i="15"/>
  <c r="E693" i="15"/>
  <c r="D693" i="15"/>
  <c r="E695" i="15"/>
  <c r="C695" i="15" s="1"/>
  <c r="D695" i="15"/>
  <c r="R694" i="15" s="1"/>
  <c r="E697" i="15"/>
  <c r="C697" i="15" s="1"/>
  <c r="D697" i="15"/>
  <c r="R696" i="15" s="1"/>
  <c r="E699" i="15"/>
  <c r="C699" i="15" s="1"/>
  <c r="D699" i="15"/>
  <c r="R698" i="15" s="1"/>
  <c r="E701" i="15"/>
  <c r="C701" i="15" s="1"/>
  <c r="D701" i="15"/>
  <c r="R700" i="15" s="1"/>
  <c r="E703" i="15"/>
  <c r="C703" i="15" s="1"/>
  <c r="D703" i="15"/>
  <c r="R702" i="15" s="1"/>
  <c r="E799" i="15"/>
  <c r="D799" i="15"/>
  <c r="E801" i="15"/>
  <c r="D801" i="15"/>
  <c r="E803" i="15"/>
  <c r="D803" i="15"/>
  <c r="E805" i="15"/>
  <c r="D805" i="15"/>
  <c r="E807" i="15"/>
  <c r="D807" i="15"/>
  <c r="E809" i="15"/>
  <c r="I809" i="15" s="1"/>
  <c r="D809" i="15"/>
  <c r="R808" i="15" s="1"/>
  <c r="E811" i="15"/>
  <c r="C811" i="15" s="1"/>
  <c r="D811" i="15"/>
  <c r="R810" i="15" s="1"/>
  <c r="E813" i="15"/>
  <c r="I813" i="15" s="1"/>
  <c r="D813" i="15"/>
  <c r="R812" i="15" s="1"/>
  <c r="E815" i="15"/>
  <c r="I815" i="15" s="1"/>
  <c r="D815" i="15"/>
  <c r="R814" i="15" s="1"/>
  <c r="E817" i="15"/>
  <c r="I817" i="15" s="1"/>
  <c r="D817" i="15"/>
  <c r="R816" i="15" s="1"/>
  <c r="E915" i="15"/>
  <c r="D915" i="15"/>
  <c r="E917" i="15"/>
  <c r="D917" i="15"/>
  <c r="E919" i="15"/>
  <c r="D919" i="15"/>
  <c r="E921" i="15"/>
  <c r="D921" i="15"/>
  <c r="E923" i="15"/>
  <c r="D923" i="15"/>
  <c r="E925" i="15"/>
  <c r="C925" i="15" s="1"/>
  <c r="D925" i="15"/>
  <c r="R924" i="15" s="1"/>
  <c r="E927" i="15"/>
  <c r="C927" i="15" s="1"/>
  <c r="D927" i="15"/>
  <c r="R926" i="15" s="1"/>
  <c r="E929" i="15"/>
  <c r="C929" i="15" s="1"/>
  <c r="M929" i="15" s="1"/>
  <c r="D929" i="15"/>
  <c r="R928" i="15" s="1"/>
  <c r="E931" i="15"/>
  <c r="C931" i="15" s="1"/>
  <c r="L931" i="15" s="1"/>
  <c r="D931" i="15"/>
  <c r="R930" i="15" s="1"/>
  <c r="E933" i="15"/>
  <c r="C933" i="15" s="1"/>
  <c r="D933" i="15"/>
  <c r="R932" i="15" s="1"/>
  <c r="E1031" i="15"/>
  <c r="D1031" i="15"/>
  <c r="E1033" i="15"/>
  <c r="D1033" i="15"/>
  <c r="E1035" i="15"/>
  <c r="D1035" i="15"/>
  <c r="E1037" i="15"/>
  <c r="D1037" i="15"/>
  <c r="E1039" i="15"/>
  <c r="D1039" i="15"/>
  <c r="E1041" i="15"/>
  <c r="C1041" i="15" s="1"/>
  <c r="D1041" i="15"/>
  <c r="R1040" i="15" s="1"/>
  <c r="E1043" i="15"/>
  <c r="C1043" i="15" s="1"/>
  <c r="D1043" i="15"/>
  <c r="R1042" i="15" s="1"/>
  <c r="E1045" i="15"/>
  <c r="C1045" i="15" s="1"/>
  <c r="M1045" i="15" s="1"/>
  <c r="D1045" i="15"/>
  <c r="R1044" i="15" s="1"/>
  <c r="E1047" i="15"/>
  <c r="C1047" i="15" s="1"/>
  <c r="M1047" i="15" s="1"/>
  <c r="D1047" i="15"/>
  <c r="R1046" i="15" s="1"/>
  <c r="E1049" i="15"/>
  <c r="C1049" i="15" s="1"/>
  <c r="D1049" i="15"/>
  <c r="R1048" i="15" s="1"/>
  <c r="D1154" i="15"/>
  <c r="E1154" i="15"/>
  <c r="E1156" i="15"/>
  <c r="D1156" i="15"/>
  <c r="E1158" i="15"/>
  <c r="D1158" i="15"/>
  <c r="E1160" i="15"/>
  <c r="D1160" i="15"/>
  <c r="E1162" i="15"/>
  <c r="D1162" i="15"/>
  <c r="D1164" i="15"/>
  <c r="E1164" i="15"/>
  <c r="E1166" i="15"/>
  <c r="C1166" i="15" s="1"/>
  <c r="D1166" i="15"/>
  <c r="R1165" i="15" s="1"/>
  <c r="E1168" i="15"/>
  <c r="C1168" i="15" s="1"/>
  <c r="D1168" i="15"/>
  <c r="R1167" i="15" s="1"/>
  <c r="E1170" i="15"/>
  <c r="C1170" i="15" s="1"/>
  <c r="D1170" i="15"/>
  <c r="R1169" i="15" s="1"/>
  <c r="E1172" i="15"/>
  <c r="C1172" i="15" s="1"/>
  <c r="L1172" i="15" s="1"/>
  <c r="D1172" i="15"/>
  <c r="R1171" i="15" s="1"/>
  <c r="E1174" i="15"/>
  <c r="C1174" i="15" s="1"/>
  <c r="M1174" i="15" s="1"/>
  <c r="D1174" i="15"/>
  <c r="R1173" i="15" s="1"/>
  <c r="E1262" i="15"/>
  <c r="D1262" i="15"/>
  <c r="E1264" i="15"/>
  <c r="D1264" i="15"/>
  <c r="E1266" i="15"/>
  <c r="D1266" i="15"/>
  <c r="E1268" i="15"/>
  <c r="D1268" i="15"/>
  <c r="E1270" i="15"/>
  <c r="D1270" i="15"/>
  <c r="E1273" i="15"/>
  <c r="C1273" i="15" s="1"/>
  <c r="D1273" i="15"/>
  <c r="R1272" i="15" s="1"/>
  <c r="E1275" i="15"/>
  <c r="C1275" i="15" s="1"/>
  <c r="D1275" i="15"/>
  <c r="R1274" i="15" s="1"/>
  <c r="E1277" i="15"/>
  <c r="C1277" i="15" s="1"/>
  <c r="D1277" i="15"/>
  <c r="R1276" i="15" s="1"/>
  <c r="E1279" i="15"/>
  <c r="C1279" i="15" s="1"/>
  <c r="L1279" i="15" s="1"/>
  <c r="D1279" i="15"/>
  <c r="R1278" i="15" s="1"/>
  <c r="E1281" i="15"/>
  <c r="C1281" i="15" s="1"/>
  <c r="D1281" i="15"/>
  <c r="R1280" i="15" s="1"/>
  <c r="B933" i="15"/>
  <c r="B931" i="15"/>
  <c r="B929" i="15"/>
  <c r="B927" i="15"/>
  <c r="B925" i="15"/>
  <c r="AC933" i="15"/>
  <c r="AB933" i="15"/>
  <c r="AC931" i="15"/>
  <c r="AB931" i="15"/>
  <c r="AC929" i="15"/>
  <c r="AB929" i="15"/>
  <c r="AC927" i="15"/>
  <c r="AB927" i="15"/>
  <c r="AC925" i="15"/>
  <c r="AB925" i="15"/>
  <c r="B189" i="15"/>
  <c r="B187" i="15"/>
  <c r="B185" i="15"/>
  <c r="B183" i="15"/>
  <c r="B181" i="15"/>
  <c r="V202" i="15"/>
  <c r="V203" i="15"/>
  <c r="V204" i="15"/>
  <c r="V205" i="15"/>
  <c r="V206" i="15"/>
  <c r="V207" i="15"/>
  <c r="V208" i="15"/>
  <c r="V209" i="15"/>
  <c r="B306" i="15"/>
  <c r="J306" i="15" s="1"/>
  <c r="B304" i="15"/>
  <c r="B302" i="15"/>
  <c r="J302" i="15" s="1"/>
  <c r="B300" i="15"/>
  <c r="J300" i="15" s="1"/>
  <c r="B298" i="15"/>
  <c r="AC306" i="15"/>
  <c r="AC304" i="15"/>
  <c r="AC302" i="15"/>
  <c r="AC300" i="15"/>
  <c r="AC298" i="15"/>
  <c r="B422" i="15"/>
  <c r="B420" i="15"/>
  <c r="B418" i="15"/>
  <c r="M417" i="15" s="1"/>
  <c r="B416" i="15"/>
  <c r="B414" i="15"/>
  <c r="AC422" i="15"/>
  <c r="AB422" i="15"/>
  <c r="D422" i="15"/>
  <c r="K421" i="15" s="1"/>
  <c r="L421" i="15" s="1"/>
  <c r="AC420" i="15"/>
  <c r="AB420" i="15"/>
  <c r="D420" i="15"/>
  <c r="K419" i="15" s="1"/>
  <c r="L419" i="15" s="1"/>
  <c r="AC418" i="15"/>
  <c r="AB418" i="15"/>
  <c r="AC416" i="15"/>
  <c r="AB416" i="15"/>
  <c r="D416" i="15"/>
  <c r="K415" i="15" s="1"/>
  <c r="L415" i="15" s="1"/>
  <c r="AC414" i="15"/>
  <c r="AB414" i="15"/>
  <c r="D414" i="15"/>
  <c r="K413" i="15" s="1"/>
  <c r="L413" i="15" s="1"/>
  <c r="B589" i="15"/>
  <c r="B587" i="15"/>
  <c r="B585" i="15"/>
  <c r="B583" i="15"/>
  <c r="B581" i="15"/>
  <c r="AC589" i="15"/>
  <c r="AC587" i="15"/>
  <c r="AC585" i="15"/>
  <c r="AC583" i="15"/>
  <c r="AC581" i="15"/>
  <c r="B703" i="15"/>
  <c r="B701" i="15"/>
  <c r="B699" i="15"/>
  <c r="B697" i="15"/>
  <c r="B695" i="15"/>
  <c r="K695" i="15" s="1"/>
  <c r="N695" i="15" s="1"/>
  <c r="AC703" i="15"/>
  <c r="AC701" i="15"/>
  <c r="AC699" i="15"/>
  <c r="AC697" i="15"/>
  <c r="AC695" i="15"/>
  <c r="B817" i="15"/>
  <c r="B815" i="15"/>
  <c r="J815" i="15" s="1"/>
  <c r="B813" i="15"/>
  <c r="B811" i="15"/>
  <c r="H811" i="15" s="1"/>
  <c r="B809" i="15"/>
  <c r="AC817" i="15"/>
  <c r="AB817" i="15"/>
  <c r="Q816" i="15"/>
  <c r="AC815" i="15"/>
  <c r="AB815" i="15"/>
  <c r="Q814" i="15"/>
  <c r="AC813" i="15"/>
  <c r="AB813" i="15"/>
  <c r="Q812" i="15"/>
  <c r="AC811" i="15"/>
  <c r="AB811" i="15"/>
  <c r="Q810" i="15"/>
  <c r="AC809" i="15"/>
  <c r="AB809" i="15"/>
  <c r="Q808" i="15"/>
  <c r="B1049" i="15"/>
  <c r="B1047" i="15"/>
  <c r="B1045" i="15"/>
  <c r="J1045" i="15" s="1"/>
  <c r="B1043" i="15"/>
  <c r="B1041" i="15"/>
  <c r="K1041" i="15" s="1"/>
  <c r="N1041" i="15" s="1"/>
  <c r="AC1049" i="15"/>
  <c r="AC1048" i="15"/>
  <c r="M1048" i="15"/>
  <c r="L1048" i="15"/>
  <c r="K1048" i="15"/>
  <c r="J1048" i="15"/>
  <c r="H1048" i="15"/>
  <c r="AC1047" i="15"/>
  <c r="AC1046" i="15"/>
  <c r="M1046" i="15"/>
  <c r="L1046" i="15"/>
  <c r="K1046" i="15"/>
  <c r="J1046" i="15"/>
  <c r="H1046" i="15"/>
  <c r="AC1045" i="15"/>
  <c r="AC1044" i="15"/>
  <c r="M1044" i="15"/>
  <c r="L1044" i="15"/>
  <c r="K1044" i="15"/>
  <c r="J1044" i="15"/>
  <c r="H1044" i="15"/>
  <c r="AC1043" i="15"/>
  <c r="AC1042" i="15"/>
  <c r="M1042" i="15"/>
  <c r="L1042" i="15"/>
  <c r="K1042" i="15"/>
  <c r="J1042" i="15"/>
  <c r="H1042" i="15"/>
  <c r="AC1041" i="15"/>
  <c r="AC1040" i="15"/>
  <c r="M1040" i="15"/>
  <c r="L1040" i="15"/>
  <c r="K1040" i="15"/>
  <c r="J1040" i="15"/>
  <c r="H1040" i="15"/>
  <c r="V1061" i="15"/>
  <c r="B1174" i="15"/>
  <c r="B1172" i="15"/>
  <c r="B1170" i="15"/>
  <c r="J1170" i="15" s="1"/>
  <c r="B1168" i="15"/>
  <c r="J1168" i="15" s="1"/>
  <c r="B1166" i="15"/>
  <c r="AC1174" i="15"/>
  <c r="AC1172" i="15"/>
  <c r="AC1170" i="15"/>
  <c r="AC1168" i="15"/>
  <c r="AC1166" i="15"/>
  <c r="B1281" i="15"/>
  <c r="B1279" i="15"/>
  <c r="W1279" i="15" s="1"/>
  <c r="B1277" i="15"/>
  <c r="H1277" i="15" s="1"/>
  <c r="B1275" i="15"/>
  <c r="W1275" i="15" s="1"/>
  <c r="B1273" i="15"/>
  <c r="K1273" i="15" s="1"/>
  <c r="N1273" i="15" s="1"/>
  <c r="AC1281" i="15"/>
  <c r="AC1279" i="15"/>
  <c r="AC1277" i="15"/>
  <c r="AC1275" i="15"/>
  <c r="AC1273" i="15"/>
  <c r="V94" i="15"/>
  <c r="V211" i="15"/>
  <c r="V327" i="15"/>
  <c r="V494" i="15"/>
  <c r="V608" i="15"/>
  <c r="V722" i="15"/>
  <c r="V838" i="15"/>
  <c r="V954" i="15"/>
  <c r="V1069" i="15"/>
  <c r="B1270" i="15"/>
  <c r="B1268" i="15"/>
  <c r="B1266" i="15"/>
  <c r="B1264" i="15"/>
  <c r="B1262" i="15"/>
  <c r="L69" i="11"/>
  <c r="N69" i="11" s="1"/>
  <c r="I69" i="11"/>
  <c r="L68" i="11"/>
  <c r="N68" i="11" s="1"/>
  <c r="I68" i="11"/>
  <c r="L67" i="11"/>
  <c r="N67" i="11" s="1"/>
  <c r="I67" i="11"/>
  <c r="L66" i="11"/>
  <c r="N66" i="11" s="1"/>
  <c r="I66" i="11"/>
  <c r="L65" i="11"/>
  <c r="I65" i="11"/>
  <c r="L64" i="11"/>
  <c r="N64" i="11" s="1"/>
  <c r="I64" i="11"/>
  <c r="L63" i="11"/>
  <c r="N63" i="11" s="1"/>
  <c r="I63" i="11"/>
  <c r="L62" i="11"/>
  <c r="N62" i="11" s="1"/>
  <c r="I62" i="11"/>
  <c r="L61" i="11"/>
  <c r="N61" i="11" s="1"/>
  <c r="I61" i="11"/>
  <c r="L60" i="11"/>
  <c r="N60" i="11" s="1"/>
  <c r="I60" i="11"/>
  <c r="N59" i="11"/>
  <c r="I59" i="11"/>
  <c r="G59" i="11" s="1"/>
  <c r="N58" i="11"/>
  <c r="K58" i="11"/>
  <c r="K454" i="15"/>
  <c r="J454" i="15"/>
  <c r="M72" i="15"/>
  <c r="L72" i="15"/>
  <c r="K72" i="15"/>
  <c r="J72" i="15"/>
  <c r="F72" i="15"/>
  <c r="Q1053" i="15" l="1"/>
  <c r="K63" i="11"/>
  <c r="G63" i="11"/>
  <c r="K67" i="11"/>
  <c r="G67" i="11"/>
  <c r="K60" i="11"/>
  <c r="G60" i="11"/>
  <c r="K64" i="11"/>
  <c r="G64" i="11"/>
  <c r="K68" i="11"/>
  <c r="G68" i="11"/>
  <c r="K61" i="11"/>
  <c r="G61" i="11"/>
  <c r="K65" i="11"/>
  <c r="G65" i="11"/>
  <c r="K69" i="11"/>
  <c r="G69" i="11"/>
  <c r="K62" i="11"/>
  <c r="G62" i="11"/>
  <c r="K66" i="11"/>
  <c r="G66" i="11"/>
  <c r="Q1059" i="15"/>
  <c r="Q1184" i="15"/>
  <c r="Q1180" i="15"/>
  <c r="Q943" i="15"/>
  <c r="R1283" i="15"/>
  <c r="G1283" i="15" s="1"/>
  <c r="R1289" i="15"/>
  <c r="G1289" i="15" s="1"/>
  <c r="R1287" i="15"/>
  <c r="G1287" i="15" s="1"/>
  <c r="Q1287" i="15"/>
  <c r="R1291" i="15"/>
  <c r="G1291" i="15" s="1"/>
  <c r="Q1285" i="15"/>
  <c r="R1285" i="15"/>
  <c r="G1285" i="15" s="1"/>
  <c r="Q1283" i="15"/>
  <c r="Q1291" i="15"/>
  <c r="R1178" i="15"/>
  <c r="G1178" i="15" s="1"/>
  <c r="R1184" i="15"/>
  <c r="G1184" i="15" s="1"/>
  <c r="R1176" i="15"/>
  <c r="Q1176" i="15"/>
  <c r="Q1178" i="15"/>
  <c r="R1182" i="15"/>
  <c r="G1182" i="15" s="1"/>
  <c r="R1180" i="15"/>
  <c r="K819" i="15"/>
  <c r="L819" i="15"/>
  <c r="R1053" i="15"/>
  <c r="G1053" i="15" s="1"/>
  <c r="Q707" i="15"/>
  <c r="Q713" i="15"/>
  <c r="Q1051" i="15"/>
  <c r="R1051" i="15"/>
  <c r="Q1057" i="15"/>
  <c r="R1057" i="15"/>
  <c r="G1057" i="15" s="1"/>
  <c r="R1059" i="15"/>
  <c r="G1059" i="15" s="1"/>
  <c r="R1055" i="15"/>
  <c r="L827" i="15"/>
  <c r="N827" i="15" s="1"/>
  <c r="L826" i="15"/>
  <c r="M827" i="15"/>
  <c r="Q827" i="15" s="1"/>
  <c r="Q709" i="15"/>
  <c r="Q939" i="15"/>
  <c r="R935" i="15"/>
  <c r="G935" i="15" s="1"/>
  <c r="R939" i="15"/>
  <c r="Q937" i="15"/>
  <c r="R941" i="15"/>
  <c r="G941" i="15" s="1"/>
  <c r="R937" i="15"/>
  <c r="G937" i="15" s="1"/>
  <c r="Q935" i="15"/>
  <c r="R943" i="15"/>
  <c r="G943" i="15" s="1"/>
  <c r="M819" i="15"/>
  <c r="Q819" i="15" s="1"/>
  <c r="M823" i="15"/>
  <c r="Q823" i="15" s="1"/>
  <c r="K823" i="15"/>
  <c r="L823" i="15"/>
  <c r="K821" i="15"/>
  <c r="M825" i="15"/>
  <c r="Q825" i="15" s="1"/>
  <c r="K824" i="15"/>
  <c r="L821" i="15"/>
  <c r="N707" i="15"/>
  <c r="R707" i="15"/>
  <c r="G707" i="15" s="1"/>
  <c r="Q705" i="15"/>
  <c r="R705" i="15"/>
  <c r="G705" i="15" s="1"/>
  <c r="R713" i="15"/>
  <c r="G713" i="15" s="1"/>
  <c r="R709" i="15"/>
  <c r="R711" i="15"/>
  <c r="G711" i="15" s="1"/>
  <c r="R599" i="15"/>
  <c r="G599" i="15" s="1"/>
  <c r="R597" i="15"/>
  <c r="G597" i="15" s="1"/>
  <c r="R595" i="15"/>
  <c r="G595" i="15" s="1"/>
  <c r="Q595" i="15"/>
  <c r="Q593" i="15"/>
  <c r="R593" i="15"/>
  <c r="G593" i="15" s="1"/>
  <c r="Q591" i="15"/>
  <c r="M419" i="15"/>
  <c r="M420" i="15" s="1"/>
  <c r="J422" i="15"/>
  <c r="M421" i="15"/>
  <c r="M422" i="15" s="1"/>
  <c r="M413" i="15"/>
  <c r="M414" i="15" s="1"/>
  <c r="M415" i="15"/>
  <c r="M416" i="15" s="1"/>
  <c r="N424" i="15"/>
  <c r="J414" i="15"/>
  <c r="L427" i="15"/>
  <c r="L428" i="15" s="1"/>
  <c r="N428" i="15" s="1"/>
  <c r="L425" i="15"/>
  <c r="L426" i="15" s="1"/>
  <c r="N426" i="15" s="1"/>
  <c r="L431" i="15"/>
  <c r="L432" i="15" s="1"/>
  <c r="L429" i="15"/>
  <c r="L430" i="15" s="1"/>
  <c r="N430" i="15" s="1"/>
  <c r="N197" i="15"/>
  <c r="N195" i="15"/>
  <c r="N199" i="15"/>
  <c r="N191" i="15"/>
  <c r="N193" i="15"/>
  <c r="N65" i="11"/>
  <c r="K59" i="11"/>
  <c r="V300" i="15"/>
  <c r="V931" i="15"/>
  <c r="V933" i="15"/>
  <c r="V925" i="15"/>
  <c r="V927" i="15"/>
  <c r="J927" i="15"/>
  <c r="V929" i="15"/>
  <c r="H929" i="15"/>
  <c r="H927" i="15"/>
  <c r="K927" i="15"/>
  <c r="N927" i="15" s="1"/>
  <c r="H925" i="15"/>
  <c r="J925" i="15"/>
  <c r="K925" i="15"/>
  <c r="N925" i="15" s="1"/>
  <c r="M925" i="15"/>
  <c r="L925" i="15"/>
  <c r="L933" i="15"/>
  <c r="M933" i="15"/>
  <c r="M927" i="15"/>
  <c r="L927" i="15"/>
  <c r="M931" i="15"/>
  <c r="Q931" i="15" s="1"/>
  <c r="J929" i="15"/>
  <c r="H931" i="15"/>
  <c r="K929" i="15"/>
  <c r="N929" i="15" s="1"/>
  <c r="J931" i="15"/>
  <c r="H933" i="15"/>
  <c r="L929" i="15"/>
  <c r="Q929" i="15" s="1"/>
  <c r="K931" i="15"/>
  <c r="N931" i="15" s="1"/>
  <c r="J933" i="15"/>
  <c r="K933" i="15"/>
  <c r="N933" i="15" s="1"/>
  <c r="V581" i="15"/>
  <c r="V416" i="15"/>
  <c r="V298" i="15"/>
  <c r="V304" i="15"/>
  <c r="V189" i="15"/>
  <c r="V185" i="15"/>
  <c r="V187" i="15"/>
  <c r="V589" i="15"/>
  <c r="H304" i="15"/>
  <c r="K304" i="15"/>
  <c r="N304" i="15" s="1"/>
  <c r="V181" i="15"/>
  <c r="V183" i="15"/>
  <c r="H181" i="15"/>
  <c r="H183" i="15"/>
  <c r="H185" i="15"/>
  <c r="H187" i="15"/>
  <c r="H189" i="15"/>
  <c r="J181" i="15"/>
  <c r="J183" i="15"/>
  <c r="J185" i="15"/>
  <c r="J187" i="15"/>
  <c r="J189" i="15"/>
  <c r="K181" i="15"/>
  <c r="K183" i="15"/>
  <c r="K185" i="15"/>
  <c r="K187" i="15"/>
  <c r="K189" i="15"/>
  <c r="L181" i="15"/>
  <c r="L183" i="15"/>
  <c r="L185" i="15"/>
  <c r="L187" i="15"/>
  <c r="L189" i="15"/>
  <c r="H581" i="15"/>
  <c r="J581" i="15"/>
  <c r="K581" i="15"/>
  <c r="N581" i="15" s="1"/>
  <c r="V583" i="15"/>
  <c r="V418" i="15"/>
  <c r="V302" i="15"/>
  <c r="V585" i="15"/>
  <c r="V587" i="15"/>
  <c r="V414" i="15"/>
  <c r="V306" i="15"/>
  <c r="H302" i="15"/>
  <c r="H300" i="15"/>
  <c r="K300" i="15"/>
  <c r="N300" i="15" s="1"/>
  <c r="K302" i="15"/>
  <c r="N302" i="15" s="1"/>
  <c r="J304" i="15"/>
  <c r="H306" i="15"/>
  <c r="K306" i="15"/>
  <c r="N306" i="15" s="1"/>
  <c r="H298" i="15"/>
  <c r="J298" i="15"/>
  <c r="K298" i="15"/>
  <c r="N298" i="15" s="1"/>
  <c r="J420" i="15"/>
  <c r="V420" i="15"/>
  <c r="V422" i="15"/>
  <c r="J416" i="15"/>
  <c r="K420" i="15"/>
  <c r="K422" i="15"/>
  <c r="J418" i="15"/>
  <c r="H414" i="15"/>
  <c r="H416" i="15"/>
  <c r="H418" i="15"/>
  <c r="H420" i="15"/>
  <c r="H422" i="15"/>
  <c r="O585" i="15"/>
  <c r="P585" i="15"/>
  <c r="V813" i="15"/>
  <c r="C815" i="15"/>
  <c r="K814" i="15" s="1"/>
  <c r="K815" i="15" s="1"/>
  <c r="H583" i="15"/>
  <c r="J583" i="15"/>
  <c r="P583" i="15"/>
  <c r="O583" i="15"/>
  <c r="P589" i="15"/>
  <c r="O589" i="15"/>
  <c r="P581" i="15"/>
  <c r="O581" i="15"/>
  <c r="P587" i="15"/>
  <c r="Q587" i="15" s="1"/>
  <c r="H585" i="15"/>
  <c r="K583" i="15"/>
  <c r="N583" i="15" s="1"/>
  <c r="J585" i="15"/>
  <c r="H587" i="15"/>
  <c r="K585" i="15"/>
  <c r="N585" i="15" s="1"/>
  <c r="J587" i="15"/>
  <c r="H589" i="15"/>
  <c r="K587" i="15"/>
  <c r="N587" i="15" s="1"/>
  <c r="J589" i="15"/>
  <c r="K589" i="15"/>
  <c r="N589" i="15" s="1"/>
  <c r="C817" i="15"/>
  <c r="K816" i="15" s="1"/>
  <c r="L816" i="15" s="1"/>
  <c r="V809" i="15"/>
  <c r="V701" i="15"/>
  <c r="V811" i="15"/>
  <c r="H699" i="15"/>
  <c r="V695" i="15"/>
  <c r="C813" i="15"/>
  <c r="K812" i="15" s="1"/>
  <c r="L812" i="15" s="1"/>
  <c r="V697" i="15"/>
  <c r="V699" i="15"/>
  <c r="V703" i="15"/>
  <c r="J697" i="15"/>
  <c r="H697" i="15"/>
  <c r="H695" i="15"/>
  <c r="J695" i="15"/>
  <c r="M699" i="15"/>
  <c r="L699" i="15"/>
  <c r="M697" i="15"/>
  <c r="L697" i="15"/>
  <c r="M703" i="15"/>
  <c r="L703" i="15"/>
  <c r="M695" i="15"/>
  <c r="L695" i="15"/>
  <c r="L701" i="15"/>
  <c r="M701" i="15"/>
  <c r="K697" i="15"/>
  <c r="N697" i="15" s="1"/>
  <c r="J699" i="15"/>
  <c r="H701" i="15"/>
  <c r="K699" i="15"/>
  <c r="N699" i="15" s="1"/>
  <c r="J701" i="15"/>
  <c r="H703" i="15"/>
  <c r="K701" i="15"/>
  <c r="N701" i="15" s="1"/>
  <c r="J703" i="15"/>
  <c r="K703" i="15"/>
  <c r="N703" i="15" s="1"/>
  <c r="V1041" i="15"/>
  <c r="V1043" i="15"/>
  <c r="H1275" i="15"/>
  <c r="V1275" i="15"/>
  <c r="V1049" i="15"/>
  <c r="V815" i="15"/>
  <c r="J1041" i="15"/>
  <c r="C809" i="15"/>
  <c r="K808" i="15" s="1"/>
  <c r="L809" i="15" s="1"/>
  <c r="V817" i="15"/>
  <c r="H813" i="15"/>
  <c r="J813" i="15"/>
  <c r="J811" i="15"/>
  <c r="H809" i="15"/>
  <c r="M811" i="15"/>
  <c r="Q811" i="15" s="1"/>
  <c r="K810" i="15"/>
  <c r="L810" i="15" s="1"/>
  <c r="I811" i="15"/>
  <c r="H817" i="15"/>
  <c r="J809" i="15"/>
  <c r="H815" i="15"/>
  <c r="J817" i="15"/>
  <c r="M1041" i="15"/>
  <c r="L1041" i="15"/>
  <c r="M1043" i="15"/>
  <c r="L1043" i="15"/>
  <c r="L1045" i="15"/>
  <c r="Q1045" i="15" s="1"/>
  <c r="V1045" i="15"/>
  <c r="V1166" i="15"/>
  <c r="V1047" i="15"/>
  <c r="V1168" i="15"/>
  <c r="H1168" i="15"/>
  <c r="K1047" i="15"/>
  <c r="N1047" i="15" s="1"/>
  <c r="H1043" i="15"/>
  <c r="K1043" i="15"/>
  <c r="N1043" i="15" s="1"/>
  <c r="H1041" i="15"/>
  <c r="M1049" i="15"/>
  <c r="L1049" i="15"/>
  <c r="J1043" i="15"/>
  <c r="K1045" i="15"/>
  <c r="N1045" i="15" s="1"/>
  <c r="L1047" i="15"/>
  <c r="Q1047" i="15" s="1"/>
  <c r="H1049" i="15"/>
  <c r="H1047" i="15"/>
  <c r="J1049" i="15"/>
  <c r="H1045" i="15"/>
  <c r="J1047" i="15"/>
  <c r="K1049" i="15"/>
  <c r="N1049" i="15" s="1"/>
  <c r="V1273" i="15"/>
  <c r="L1174" i="15"/>
  <c r="Q1174" i="15" s="1"/>
  <c r="V1277" i="15"/>
  <c r="V1170" i="15"/>
  <c r="V1279" i="15"/>
  <c r="V1172" i="15"/>
  <c r="V1281" i="15"/>
  <c r="V1174" i="15"/>
  <c r="H1172" i="15"/>
  <c r="H1170" i="15"/>
  <c r="K1168" i="15"/>
  <c r="N1168" i="15" s="1"/>
  <c r="H1166" i="15"/>
  <c r="K1166" i="15"/>
  <c r="N1166" i="15" s="1"/>
  <c r="M1168" i="15"/>
  <c r="L1168" i="15"/>
  <c r="M1166" i="15"/>
  <c r="L1166" i="15"/>
  <c r="M1170" i="15"/>
  <c r="L1170" i="15"/>
  <c r="M1172" i="15"/>
  <c r="J1166" i="15"/>
  <c r="K1170" i="15"/>
  <c r="N1170" i="15" s="1"/>
  <c r="J1172" i="15"/>
  <c r="H1174" i="15"/>
  <c r="K1172" i="15"/>
  <c r="N1172" i="15" s="1"/>
  <c r="J1174" i="15"/>
  <c r="K1174" i="15"/>
  <c r="N1174" i="15" s="1"/>
  <c r="W1277" i="15"/>
  <c r="J1275" i="15"/>
  <c r="W1273" i="15"/>
  <c r="H1273" i="15"/>
  <c r="J1273" i="15"/>
  <c r="M1277" i="15"/>
  <c r="L1277" i="15"/>
  <c r="M1275" i="15"/>
  <c r="L1275" i="15"/>
  <c r="M1281" i="15"/>
  <c r="L1281" i="15"/>
  <c r="M1273" i="15"/>
  <c r="L1273" i="15"/>
  <c r="M1279" i="15"/>
  <c r="Q1279" i="15" s="1"/>
  <c r="W1281" i="15"/>
  <c r="K1275" i="15"/>
  <c r="N1275" i="15" s="1"/>
  <c r="J1277" i="15"/>
  <c r="H1279" i="15"/>
  <c r="K1277" i="15"/>
  <c r="N1277" i="15" s="1"/>
  <c r="J1279" i="15"/>
  <c r="H1281" i="15"/>
  <c r="K1279" i="15"/>
  <c r="N1279" i="15" s="1"/>
  <c r="J1281" i="15"/>
  <c r="K1281" i="15"/>
  <c r="N1281" i="15" s="1"/>
  <c r="V601" i="15"/>
  <c r="V602" i="15"/>
  <c r="V603" i="15"/>
  <c r="V604" i="15"/>
  <c r="V605" i="15"/>
  <c r="V606" i="15"/>
  <c r="V607" i="15"/>
  <c r="V485" i="15"/>
  <c r="V486" i="15"/>
  <c r="V487" i="15"/>
  <c r="V488" i="15"/>
  <c r="V489" i="15"/>
  <c r="V490" i="15"/>
  <c r="V491" i="15"/>
  <c r="V492" i="15"/>
  <c r="V493" i="15"/>
  <c r="V496" i="15"/>
  <c r="N819" i="15" l="1"/>
  <c r="R819" i="15"/>
  <c r="P818" i="15" s="1"/>
  <c r="G819" i="15" s="1"/>
  <c r="R827" i="15"/>
  <c r="P826" i="15" s="1"/>
  <c r="G827" i="15" s="1"/>
  <c r="N821" i="15"/>
  <c r="N823" i="15"/>
  <c r="R823" i="15"/>
  <c r="L825" i="15"/>
  <c r="K825" i="15"/>
  <c r="L824" i="15"/>
  <c r="R821" i="15"/>
  <c r="P820" i="15" s="1"/>
  <c r="G821" i="15" s="1"/>
  <c r="K416" i="15"/>
  <c r="K418" i="15"/>
  <c r="L414" i="15"/>
  <c r="K414" i="15"/>
  <c r="N432" i="15"/>
  <c r="Q925" i="15"/>
  <c r="Q1049" i="15"/>
  <c r="Q927" i="15"/>
  <c r="Q933" i="15"/>
  <c r="R931" i="15"/>
  <c r="G931" i="15" s="1"/>
  <c r="R933" i="15"/>
  <c r="G933" i="15" s="1"/>
  <c r="R925" i="15"/>
  <c r="R929" i="15"/>
  <c r="G929" i="15" s="1"/>
  <c r="R927" i="15"/>
  <c r="G927" i="15" s="1"/>
  <c r="N183" i="15"/>
  <c r="L817" i="15"/>
  <c r="K817" i="15"/>
  <c r="N189" i="15"/>
  <c r="N181" i="15"/>
  <c r="M817" i="15"/>
  <c r="Q817" i="15" s="1"/>
  <c r="N187" i="15"/>
  <c r="N185" i="15"/>
  <c r="Q1166" i="15"/>
  <c r="Q1041" i="15"/>
  <c r="R585" i="15"/>
  <c r="G585" i="15" s="1"/>
  <c r="R589" i="15"/>
  <c r="L418" i="15"/>
  <c r="Q585" i="15"/>
  <c r="Q695" i="15"/>
  <c r="L416" i="15"/>
  <c r="L422" i="15"/>
  <c r="L420" i="15"/>
  <c r="Q1043" i="15"/>
  <c r="L814" i="15"/>
  <c r="Q699" i="15"/>
  <c r="M815" i="15"/>
  <c r="Q815" i="15" s="1"/>
  <c r="L815" i="15"/>
  <c r="N815" i="15" s="1"/>
  <c r="R587" i="15"/>
  <c r="G587" i="15" s="1"/>
  <c r="R583" i="15"/>
  <c r="G583" i="15" s="1"/>
  <c r="Q583" i="15"/>
  <c r="Q581" i="15"/>
  <c r="Q589" i="15"/>
  <c r="R581" i="15"/>
  <c r="L813" i="15"/>
  <c r="Q697" i="15"/>
  <c r="K813" i="15"/>
  <c r="M813" i="15"/>
  <c r="Q813" i="15" s="1"/>
  <c r="K809" i="15"/>
  <c r="N809" i="15" s="1"/>
  <c r="R703" i="15"/>
  <c r="Q701" i="15"/>
  <c r="R697" i="15"/>
  <c r="R695" i="15"/>
  <c r="G695" i="15" s="1"/>
  <c r="R701" i="15"/>
  <c r="G701" i="15" s="1"/>
  <c r="R699" i="15"/>
  <c r="G699" i="15" s="1"/>
  <c r="Q703" i="15"/>
  <c r="R1043" i="15"/>
  <c r="G1043" i="15" s="1"/>
  <c r="L811" i="15"/>
  <c r="M809" i="15"/>
  <c r="Q809" i="15" s="1"/>
  <c r="Q1275" i="15"/>
  <c r="L808" i="15"/>
  <c r="Q1170" i="15"/>
  <c r="R1041" i="15"/>
  <c r="G1041" i="15" s="1"/>
  <c r="K811" i="15"/>
  <c r="R1166" i="15"/>
  <c r="G1166" i="15" s="1"/>
  <c r="R1168" i="15"/>
  <c r="G1168" i="15" s="1"/>
  <c r="R1045" i="15"/>
  <c r="G1045" i="15" s="1"/>
  <c r="R1047" i="15"/>
  <c r="G1047" i="15" s="1"/>
  <c r="R1049" i="15"/>
  <c r="Q1277" i="15"/>
  <c r="R1172" i="15"/>
  <c r="G1172" i="15" s="1"/>
  <c r="Q1281" i="15"/>
  <c r="R1170" i="15"/>
  <c r="Q1172" i="15"/>
  <c r="R1174" i="15"/>
  <c r="Q1168" i="15"/>
  <c r="R1281" i="15"/>
  <c r="Q1273" i="15"/>
  <c r="R1279" i="15"/>
  <c r="R1275" i="15"/>
  <c r="G1275" i="15" s="1"/>
  <c r="R1273" i="15"/>
  <c r="G1273" i="15" s="1"/>
  <c r="R1277" i="15"/>
  <c r="V42" i="15"/>
  <c r="N825" i="15" l="1"/>
  <c r="R825" i="15"/>
  <c r="P824" i="15" s="1"/>
  <c r="G825" i="15" s="1"/>
  <c r="N416" i="15"/>
  <c r="N414" i="15"/>
  <c r="N817" i="15"/>
  <c r="R817" i="15"/>
  <c r="P816" i="15" s="1"/>
  <c r="G817" i="15" s="1"/>
  <c r="N813" i="15"/>
  <c r="N420" i="15"/>
  <c r="N422" i="15"/>
  <c r="R815" i="15"/>
  <c r="P814" i="15" s="1"/>
  <c r="G815" i="15" s="1"/>
  <c r="N811" i="15"/>
  <c r="R809" i="15"/>
  <c r="P808" i="15" s="1"/>
  <c r="G809" i="15" s="1"/>
  <c r="R813" i="15"/>
  <c r="P812" i="15" s="1"/>
  <c r="G813" i="15" s="1"/>
  <c r="R811" i="15"/>
  <c r="G58" i="15" l="1"/>
  <c r="H58" i="15"/>
  <c r="I58" i="15"/>
  <c r="J970" i="15" l="1"/>
  <c r="AC1270" i="15" l="1"/>
  <c r="AB1270" i="15"/>
  <c r="C1270" i="15"/>
  <c r="R1269" i="15"/>
  <c r="W1270" i="15"/>
  <c r="AC1268" i="15"/>
  <c r="AB1268" i="15"/>
  <c r="C1268" i="15"/>
  <c r="R1267" i="15"/>
  <c r="W1268" i="15"/>
  <c r="AC1266" i="15"/>
  <c r="AB1266" i="15"/>
  <c r="C1266" i="15"/>
  <c r="R1265" i="15"/>
  <c r="W1266" i="15"/>
  <c r="AC1264" i="15"/>
  <c r="AB1264" i="15"/>
  <c r="C1264" i="15"/>
  <c r="R1263" i="15"/>
  <c r="W1264" i="15"/>
  <c r="AC1262" i="15"/>
  <c r="AB1262" i="15"/>
  <c r="C1262" i="15"/>
  <c r="R1261" i="15"/>
  <c r="W1262" i="15"/>
  <c r="AC1260" i="15"/>
  <c r="AB1260" i="15"/>
  <c r="E1260" i="15"/>
  <c r="C1260" i="15" s="1"/>
  <c r="D1260" i="15"/>
  <c r="R1259" i="15" s="1"/>
  <c r="B1260" i="15"/>
  <c r="J1260" i="15" s="1"/>
  <c r="AC1258" i="15"/>
  <c r="AB1258" i="15"/>
  <c r="E1258" i="15"/>
  <c r="C1258" i="15" s="1"/>
  <c r="M1258" i="15" s="1"/>
  <c r="D1258" i="15"/>
  <c r="R1257" i="15" s="1"/>
  <c r="B1258" i="15"/>
  <c r="W1258" i="15" s="1"/>
  <c r="AC1256" i="15"/>
  <c r="AB1256" i="15"/>
  <c r="E1256" i="15"/>
  <c r="C1256" i="15" s="1"/>
  <c r="D1256" i="15"/>
  <c r="R1255" i="15" s="1"/>
  <c r="B1256" i="15"/>
  <c r="AC1254" i="15"/>
  <c r="AB1254" i="15"/>
  <c r="E1254" i="15"/>
  <c r="C1254" i="15" s="1"/>
  <c r="D1254" i="15"/>
  <c r="R1253" i="15" s="1"/>
  <c r="B1254" i="15"/>
  <c r="AC1252" i="15"/>
  <c r="AB1252" i="15"/>
  <c r="E1252" i="15"/>
  <c r="C1252" i="15" s="1"/>
  <c r="D1252" i="15"/>
  <c r="R1251" i="15" s="1"/>
  <c r="B1252" i="15"/>
  <c r="W1252" i="15" s="1"/>
  <c r="AC1250" i="15"/>
  <c r="AB1250" i="15"/>
  <c r="E1250" i="15"/>
  <c r="C1250" i="15" s="1"/>
  <c r="D1250" i="15"/>
  <c r="R1249" i="15" s="1"/>
  <c r="B1250" i="15"/>
  <c r="AC1248" i="15"/>
  <c r="AB1248" i="15"/>
  <c r="E1248" i="15"/>
  <c r="C1248" i="15" s="1"/>
  <c r="D1248" i="15"/>
  <c r="R1247" i="15" s="1"/>
  <c r="B1248" i="15"/>
  <c r="W1248" i="15" s="1"/>
  <c r="AC1246" i="15"/>
  <c r="AB1246" i="15"/>
  <c r="E1246" i="15"/>
  <c r="C1246" i="15" s="1"/>
  <c r="D1246" i="15"/>
  <c r="R1245" i="15" s="1"/>
  <c r="B1246" i="15"/>
  <c r="AC1244" i="15"/>
  <c r="AB1244" i="15"/>
  <c r="E1244" i="15"/>
  <c r="C1244" i="15" s="1"/>
  <c r="M1244" i="15" s="1"/>
  <c r="D1244" i="15"/>
  <c r="R1243" i="15" s="1"/>
  <c r="B1244" i="15"/>
  <c r="AC1242" i="15"/>
  <c r="AB1242" i="15"/>
  <c r="E1242" i="15"/>
  <c r="C1242" i="15" s="1"/>
  <c r="D1242" i="15"/>
  <c r="R1241" i="15" s="1"/>
  <c r="B1242" i="15"/>
  <c r="W1242" i="15" s="1"/>
  <c r="AC1240" i="15"/>
  <c r="AB1240" i="15"/>
  <c r="E1240" i="15"/>
  <c r="C1240" i="15" s="1"/>
  <c r="M1240" i="15" s="1"/>
  <c r="D1240" i="15"/>
  <c r="R1239" i="15" s="1"/>
  <c r="B1240" i="15"/>
  <c r="K1240" i="15" s="1"/>
  <c r="N1240" i="15" s="1"/>
  <c r="AC1238" i="15"/>
  <c r="AB1238" i="15"/>
  <c r="E1238" i="15"/>
  <c r="C1238" i="15" s="1"/>
  <c r="D1238" i="15"/>
  <c r="R1237" i="15" s="1"/>
  <c r="B1238" i="15"/>
  <c r="K1238" i="15" s="1"/>
  <c r="N1238" i="15" s="1"/>
  <c r="AC1236" i="15"/>
  <c r="AB1236" i="15"/>
  <c r="E1236" i="15"/>
  <c r="C1236" i="15" s="1"/>
  <c r="M1236" i="15" s="1"/>
  <c r="D1236" i="15"/>
  <c r="R1235" i="15" s="1"/>
  <c r="B1236" i="15"/>
  <c r="W1236" i="15" s="1"/>
  <c r="AC1234" i="15"/>
  <c r="AB1234" i="15"/>
  <c r="E1234" i="15"/>
  <c r="C1234" i="15" s="1"/>
  <c r="D1234" i="15"/>
  <c r="R1233" i="15" s="1"/>
  <c r="B1234" i="15"/>
  <c r="H1234" i="15" s="1"/>
  <c r="AC1232" i="15"/>
  <c r="AB1232" i="15"/>
  <c r="E1232" i="15"/>
  <c r="C1232" i="15" s="1"/>
  <c r="D1232" i="15"/>
  <c r="R1231" i="15" s="1"/>
  <c r="B1232" i="15"/>
  <c r="W1232" i="15" s="1"/>
  <c r="AC1230" i="15"/>
  <c r="AB1230" i="15"/>
  <c r="E1230" i="15"/>
  <c r="C1230" i="15" s="1"/>
  <c r="D1230" i="15"/>
  <c r="R1229" i="15" s="1"/>
  <c r="B1230" i="15"/>
  <c r="AC1228" i="15"/>
  <c r="AB1228" i="15"/>
  <c r="E1228" i="15"/>
  <c r="C1228" i="15" s="1"/>
  <c r="D1228" i="15"/>
  <c r="R1227" i="15" s="1"/>
  <c r="B1228" i="15"/>
  <c r="AC1226" i="15"/>
  <c r="AB1226" i="15"/>
  <c r="E1226" i="15"/>
  <c r="C1226" i="15" s="1"/>
  <c r="D1226" i="15"/>
  <c r="R1225" i="15" s="1"/>
  <c r="B1226" i="15"/>
  <c r="H1226" i="15" s="1"/>
  <c r="AC1224" i="15"/>
  <c r="E1224" i="15"/>
  <c r="C1224" i="15" s="1"/>
  <c r="M1224" i="15" s="1"/>
  <c r="D1224" i="15"/>
  <c r="R1223" i="15" s="1"/>
  <c r="B1224" i="15"/>
  <c r="W1224" i="15" s="1"/>
  <c r="AC1222" i="15"/>
  <c r="E1222" i="15"/>
  <c r="C1222" i="15" s="1"/>
  <c r="D1222" i="15"/>
  <c r="R1221" i="15" s="1"/>
  <c r="B1222" i="15"/>
  <c r="K1222" i="15" s="1"/>
  <c r="N1222" i="15" s="1"/>
  <c r="AC1220" i="15"/>
  <c r="E1220" i="15"/>
  <c r="C1220" i="15" s="1"/>
  <c r="D1220" i="15"/>
  <c r="R1219" i="15" s="1"/>
  <c r="B1220" i="15"/>
  <c r="W1220" i="15" s="1"/>
  <c r="AC1218" i="15"/>
  <c r="E1218" i="15"/>
  <c r="C1218" i="15" s="1"/>
  <c r="D1218" i="15"/>
  <c r="R1217" i="15" s="1"/>
  <c r="B1218" i="15"/>
  <c r="J1218" i="15" s="1"/>
  <c r="AC1216" i="15"/>
  <c r="E1216" i="15"/>
  <c r="C1216" i="15" s="1"/>
  <c r="D1216" i="15"/>
  <c r="R1215" i="15" s="1"/>
  <c r="B1216" i="15"/>
  <c r="W1216" i="15" s="1"/>
  <c r="AC1214" i="15"/>
  <c r="E1214" i="15"/>
  <c r="C1214" i="15" s="1"/>
  <c r="D1214" i="15"/>
  <c r="R1213" i="15" s="1"/>
  <c r="B1214" i="15"/>
  <c r="H1214" i="15" s="1"/>
  <c r="AC1212" i="15"/>
  <c r="E1212" i="15"/>
  <c r="C1212" i="15" s="1"/>
  <c r="M1212" i="15" s="1"/>
  <c r="D1212" i="15"/>
  <c r="R1211" i="15" s="1"/>
  <c r="B1212" i="15"/>
  <c r="J1212" i="15" s="1"/>
  <c r="AC1210" i="15"/>
  <c r="E1210" i="15"/>
  <c r="C1210" i="15" s="1"/>
  <c r="L1210" i="15" s="1"/>
  <c r="D1210" i="15"/>
  <c r="R1209" i="15" s="1"/>
  <c r="B1210" i="15"/>
  <c r="AC1208" i="15"/>
  <c r="E1208" i="15"/>
  <c r="C1208" i="15" s="1"/>
  <c r="D1208" i="15"/>
  <c r="R1207" i="15" s="1"/>
  <c r="B1208" i="15"/>
  <c r="W1208" i="15" s="1"/>
  <c r="AC1206" i="15"/>
  <c r="E1206" i="15"/>
  <c r="C1206" i="15" s="1"/>
  <c r="D1206" i="15"/>
  <c r="R1205" i="15" s="1"/>
  <c r="B1206" i="15"/>
  <c r="W1206" i="15" s="1"/>
  <c r="AC1204" i="15"/>
  <c r="E1204" i="15"/>
  <c r="C1204" i="15" s="1"/>
  <c r="L1204" i="15" s="1"/>
  <c r="D1204" i="15"/>
  <c r="R1203" i="15" s="1"/>
  <c r="B1204" i="15"/>
  <c r="K1204" i="15" s="1"/>
  <c r="N1204" i="15" s="1"/>
  <c r="AC1202" i="15"/>
  <c r="E1202" i="15"/>
  <c r="C1202" i="15" s="1"/>
  <c r="D1202" i="15"/>
  <c r="R1201" i="15" s="1"/>
  <c r="B1202" i="15"/>
  <c r="AC1200" i="15"/>
  <c r="E1200" i="15"/>
  <c r="C1200" i="15" s="1"/>
  <c r="D1200" i="15"/>
  <c r="R1199" i="15" s="1"/>
  <c r="B1200" i="15"/>
  <c r="AC1198" i="15"/>
  <c r="E1198" i="15"/>
  <c r="C1198" i="15" s="1"/>
  <c r="D1198" i="15"/>
  <c r="R1197" i="15" s="1"/>
  <c r="B1198" i="15"/>
  <c r="AC1196" i="15"/>
  <c r="E1196" i="15"/>
  <c r="C1196" i="15" s="1"/>
  <c r="D1196" i="15"/>
  <c r="R1195" i="15" s="1"/>
  <c r="B1196" i="15"/>
  <c r="H1196" i="15" s="1"/>
  <c r="AC1194" i="15"/>
  <c r="E1194" i="15"/>
  <c r="C1194" i="15" s="1"/>
  <c r="D1194" i="15"/>
  <c r="R1193" i="15" s="1"/>
  <c r="B1194" i="15"/>
  <c r="AC1192" i="15"/>
  <c r="E1192" i="15"/>
  <c r="C1192" i="15" s="1"/>
  <c r="D1192" i="15"/>
  <c r="R1191" i="15" s="1"/>
  <c r="B1192" i="15"/>
  <c r="K1192" i="15" s="1"/>
  <c r="N1192" i="15" s="1"/>
  <c r="V1187" i="15"/>
  <c r="U1187" i="15"/>
  <c r="AC1164" i="15"/>
  <c r="C1164" i="15"/>
  <c r="R1163" i="15"/>
  <c r="B1164" i="15"/>
  <c r="AC1162" i="15"/>
  <c r="C1162" i="15"/>
  <c r="M1162" i="15" s="1"/>
  <c r="R1161" i="15"/>
  <c r="B1162" i="15"/>
  <c r="J1162" i="15" s="1"/>
  <c r="AC1160" i="15"/>
  <c r="C1160" i="15"/>
  <c r="M1160" i="15" s="1"/>
  <c r="R1159" i="15"/>
  <c r="B1160" i="15"/>
  <c r="K1160" i="15" s="1"/>
  <c r="N1160" i="15" s="1"/>
  <c r="AC1158" i="15"/>
  <c r="C1158" i="15"/>
  <c r="M1158" i="15" s="1"/>
  <c r="R1157" i="15"/>
  <c r="B1158" i="15"/>
  <c r="AC1156" i="15"/>
  <c r="C1156" i="15"/>
  <c r="R1155" i="15"/>
  <c r="B1156" i="15"/>
  <c r="H1156" i="15" s="1"/>
  <c r="AC1154" i="15"/>
  <c r="C1154" i="15"/>
  <c r="R1153" i="15"/>
  <c r="B1154" i="15"/>
  <c r="J1154" i="15" s="1"/>
  <c r="AC1152" i="15"/>
  <c r="E1152" i="15"/>
  <c r="C1152" i="15" s="1"/>
  <c r="D1152" i="15"/>
  <c r="R1151" i="15" s="1"/>
  <c r="B1152" i="15"/>
  <c r="K1152" i="15" s="1"/>
  <c r="N1152" i="15" s="1"/>
  <c r="AC1150" i="15"/>
  <c r="E1150" i="15"/>
  <c r="C1150" i="15" s="1"/>
  <c r="M1150" i="15" s="1"/>
  <c r="D1150" i="15"/>
  <c r="R1149" i="15" s="1"/>
  <c r="B1150" i="15"/>
  <c r="H1150" i="15" s="1"/>
  <c r="AC1148" i="15"/>
  <c r="E1148" i="15"/>
  <c r="C1148" i="15" s="1"/>
  <c r="L1148" i="15" s="1"/>
  <c r="D1148" i="15"/>
  <c r="R1147" i="15" s="1"/>
  <c r="B1148" i="15"/>
  <c r="K1148" i="15" s="1"/>
  <c r="N1148" i="15" s="1"/>
  <c r="AC1146" i="15"/>
  <c r="E1146" i="15"/>
  <c r="C1146" i="15" s="1"/>
  <c r="D1146" i="15"/>
  <c r="R1145" i="15" s="1"/>
  <c r="B1146" i="15"/>
  <c r="AC1144" i="15"/>
  <c r="E1144" i="15"/>
  <c r="C1144" i="15" s="1"/>
  <c r="D1144" i="15"/>
  <c r="R1143" i="15" s="1"/>
  <c r="B1144" i="15"/>
  <c r="K1144" i="15" s="1"/>
  <c r="N1144" i="15" s="1"/>
  <c r="AC1142" i="15"/>
  <c r="E1142" i="15"/>
  <c r="C1142" i="15" s="1"/>
  <c r="D1142" i="15"/>
  <c r="R1141" i="15" s="1"/>
  <c r="B1142" i="15"/>
  <c r="J1142" i="15" s="1"/>
  <c r="AC1140" i="15"/>
  <c r="E1140" i="15"/>
  <c r="C1140" i="15" s="1"/>
  <c r="D1140" i="15"/>
  <c r="R1139" i="15" s="1"/>
  <c r="B1140" i="15"/>
  <c r="K1140" i="15" s="1"/>
  <c r="N1140" i="15" s="1"/>
  <c r="AC1138" i="15"/>
  <c r="E1138" i="15"/>
  <c r="C1138" i="15" s="1"/>
  <c r="D1138" i="15"/>
  <c r="R1137" i="15" s="1"/>
  <c r="B1138" i="15"/>
  <c r="J1138" i="15" s="1"/>
  <c r="AC1136" i="15"/>
  <c r="E1136" i="15"/>
  <c r="C1136" i="15" s="1"/>
  <c r="D1136" i="15"/>
  <c r="R1135" i="15" s="1"/>
  <c r="B1136" i="15"/>
  <c r="H1136" i="15" s="1"/>
  <c r="AC1134" i="15"/>
  <c r="E1134" i="15"/>
  <c r="C1134" i="15" s="1"/>
  <c r="D1134" i="15"/>
  <c r="R1133" i="15" s="1"/>
  <c r="B1134" i="15"/>
  <c r="AC1132" i="15"/>
  <c r="E1132" i="15"/>
  <c r="C1132" i="15" s="1"/>
  <c r="D1132" i="15"/>
  <c r="R1131" i="15" s="1"/>
  <c r="B1132" i="15"/>
  <c r="AC1130" i="15"/>
  <c r="E1130" i="15"/>
  <c r="C1130" i="15" s="1"/>
  <c r="D1130" i="15"/>
  <c r="R1129" i="15" s="1"/>
  <c r="B1130" i="15"/>
  <c r="AC1128" i="15"/>
  <c r="E1128" i="15"/>
  <c r="C1128" i="15" s="1"/>
  <c r="D1128" i="15"/>
  <c r="R1127" i="15" s="1"/>
  <c r="B1128" i="15"/>
  <c r="AC1126" i="15"/>
  <c r="E1126" i="15"/>
  <c r="C1126" i="15" s="1"/>
  <c r="D1126" i="15"/>
  <c r="R1125" i="15" s="1"/>
  <c r="B1126" i="15"/>
  <c r="J1126" i="15" s="1"/>
  <c r="AC1124" i="15"/>
  <c r="E1124" i="15"/>
  <c r="C1124" i="15" s="1"/>
  <c r="D1124" i="15"/>
  <c r="R1123" i="15" s="1"/>
  <c r="B1124" i="15"/>
  <c r="K1124" i="15" s="1"/>
  <c r="N1124" i="15" s="1"/>
  <c r="AC1122" i="15"/>
  <c r="E1122" i="15"/>
  <c r="C1122" i="15" s="1"/>
  <c r="M1122" i="15" s="1"/>
  <c r="D1122" i="15"/>
  <c r="R1121" i="15" s="1"/>
  <c r="B1122" i="15"/>
  <c r="AC1120" i="15"/>
  <c r="E1120" i="15"/>
  <c r="C1120" i="15" s="1"/>
  <c r="M1120" i="15" s="1"/>
  <c r="D1120" i="15"/>
  <c r="R1119" i="15" s="1"/>
  <c r="B1120" i="15"/>
  <c r="AC1118" i="15"/>
  <c r="E1118" i="15"/>
  <c r="C1118" i="15" s="1"/>
  <c r="L1118" i="15" s="1"/>
  <c r="D1118" i="15"/>
  <c r="R1117" i="15" s="1"/>
  <c r="B1118" i="15"/>
  <c r="AC1116" i="15"/>
  <c r="E1116" i="15"/>
  <c r="C1116" i="15" s="1"/>
  <c r="D1116" i="15"/>
  <c r="R1115" i="15" s="1"/>
  <c r="B1116" i="15"/>
  <c r="AC1114" i="15"/>
  <c r="E1114" i="15"/>
  <c r="C1114" i="15" s="1"/>
  <c r="L1114" i="15" s="1"/>
  <c r="D1114" i="15"/>
  <c r="R1113" i="15" s="1"/>
  <c r="B1114" i="15"/>
  <c r="AC1112" i="15"/>
  <c r="E1112" i="15"/>
  <c r="C1112" i="15" s="1"/>
  <c r="L1112" i="15" s="1"/>
  <c r="D1112" i="15"/>
  <c r="R1111" i="15" s="1"/>
  <c r="B1112" i="15"/>
  <c r="AC1110" i="15"/>
  <c r="E1110" i="15"/>
  <c r="C1110" i="15" s="1"/>
  <c r="D1110" i="15"/>
  <c r="R1109" i="15" s="1"/>
  <c r="B1110" i="15"/>
  <c r="J1110" i="15" s="1"/>
  <c r="AC1108" i="15"/>
  <c r="E1108" i="15"/>
  <c r="C1108" i="15" s="1"/>
  <c r="D1108" i="15"/>
  <c r="R1107" i="15" s="1"/>
  <c r="B1108" i="15"/>
  <c r="AC1106" i="15"/>
  <c r="E1106" i="15"/>
  <c r="C1106" i="15" s="1"/>
  <c r="D1106" i="15"/>
  <c r="R1105" i="15" s="1"/>
  <c r="B1106" i="15"/>
  <c r="AC1104" i="15"/>
  <c r="E1104" i="15"/>
  <c r="C1104" i="15" s="1"/>
  <c r="D1104" i="15"/>
  <c r="R1103" i="15" s="1"/>
  <c r="B1104" i="15"/>
  <c r="K1104" i="15" s="1"/>
  <c r="N1104" i="15" s="1"/>
  <c r="AC1102" i="15"/>
  <c r="E1102" i="15"/>
  <c r="C1102" i="15" s="1"/>
  <c r="D1102" i="15"/>
  <c r="R1101" i="15" s="1"/>
  <c r="B1102" i="15"/>
  <c r="AC1100" i="15"/>
  <c r="E1100" i="15"/>
  <c r="C1100" i="15" s="1"/>
  <c r="D1100" i="15"/>
  <c r="R1099" i="15" s="1"/>
  <c r="B1100" i="15"/>
  <c r="K1100" i="15" s="1"/>
  <c r="N1100" i="15" s="1"/>
  <c r="AC1098" i="15"/>
  <c r="E1098" i="15"/>
  <c r="C1098" i="15" s="1"/>
  <c r="D1098" i="15"/>
  <c r="R1097" i="15" s="1"/>
  <c r="B1098" i="15"/>
  <c r="AC1096" i="15"/>
  <c r="E1096" i="15"/>
  <c r="C1096" i="15" s="1"/>
  <c r="D1096" i="15"/>
  <c r="R1095" i="15" s="1"/>
  <c r="B1096" i="15"/>
  <c r="AC1094" i="15"/>
  <c r="E1094" i="15"/>
  <c r="C1094" i="15" s="1"/>
  <c r="M1094" i="15" s="1"/>
  <c r="D1094" i="15"/>
  <c r="R1093" i="15" s="1"/>
  <c r="B1094" i="15"/>
  <c r="AC1092" i="15"/>
  <c r="E1092" i="15"/>
  <c r="C1092" i="15" s="1"/>
  <c r="L1092" i="15" s="1"/>
  <c r="D1092" i="15"/>
  <c r="R1091" i="15" s="1"/>
  <c r="B1092" i="15"/>
  <c r="AC1090" i="15"/>
  <c r="E1090" i="15"/>
  <c r="C1090" i="15" s="1"/>
  <c r="D1090" i="15"/>
  <c r="R1089" i="15" s="1"/>
  <c r="B1090" i="15"/>
  <c r="K1090" i="15" s="1"/>
  <c r="N1090" i="15" s="1"/>
  <c r="AC1088" i="15"/>
  <c r="E1088" i="15"/>
  <c r="C1088" i="15" s="1"/>
  <c r="M1088" i="15" s="1"/>
  <c r="D1088" i="15"/>
  <c r="R1087" i="15" s="1"/>
  <c r="B1088" i="15"/>
  <c r="K1088" i="15" s="1"/>
  <c r="N1088" i="15" s="1"/>
  <c r="AC1086" i="15"/>
  <c r="E1086" i="15"/>
  <c r="C1086" i="15" s="1"/>
  <c r="M1086" i="15" s="1"/>
  <c r="D1086" i="15"/>
  <c r="R1085" i="15" s="1"/>
  <c r="B1086" i="15"/>
  <c r="AC1084" i="15"/>
  <c r="E1084" i="15"/>
  <c r="C1084" i="15" s="1"/>
  <c r="L1084" i="15" s="1"/>
  <c r="D1084" i="15"/>
  <c r="R1083" i="15" s="1"/>
  <c r="B1084" i="15"/>
  <c r="AC1082" i="15"/>
  <c r="E1082" i="15"/>
  <c r="C1082" i="15" s="1"/>
  <c r="L1082" i="15" s="1"/>
  <c r="D1082" i="15"/>
  <c r="R1081" i="15" s="1"/>
  <c r="B1082" i="15"/>
  <c r="J1082" i="15" s="1"/>
  <c r="AC1080" i="15"/>
  <c r="E1080" i="15"/>
  <c r="C1080" i="15" s="1"/>
  <c r="D1080" i="15"/>
  <c r="R1079" i="15" s="1"/>
  <c r="B1080" i="15"/>
  <c r="K1080" i="15" s="1"/>
  <c r="N1080" i="15" s="1"/>
  <c r="AC1078" i="15"/>
  <c r="E1078" i="15"/>
  <c r="C1078" i="15" s="1"/>
  <c r="D1078" i="15"/>
  <c r="R1077" i="15" s="1"/>
  <c r="B1078" i="15"/>
  <c r="AC1076" i="15"/>
  <c r="E1076" i="15"/>
  <c r="C1076" i="15" s="1"/>
  <c r="L1076" i="15" s="1"/>
  <c r="D1076" i="15"/>
  <c r="R1075" i="15" s="1"/>
  <c r="B1076" i="15"/>
  <c r="K1076" i="15" s="1"/>
  <c r="N1076" i="15" s="1"/>
  <c r="U1071" i="15"/>
  <c r="V1068" i="15"/>
  <c r="V1067" i="15"/>
  <c r="V1066" i="15"/>
  <c r="V1065" i="15"/>
  <c r="V1064" i="15"/>
  <c r="V1063" i="15"/>
  <c r="V1062" i="15"/>
  <c r="AC1039" i="15"/>
  <c r="C1039" i="15"/>
  <c r="M1039" i="15" s="1"/>
  <c r="R1038" i="15"/>
  <c r="B1039" i="15"/>
  <c r="AC1038" i="15"/>
  <c r="M1038" i="15"/>
  <c r="L1038" i="15"/>
  <c r="K1038" i="15"/>
  <c r="J1038" i="15"/>
  <c r="H1038" i="15"/>
  <c r="AC1037" i="15"/>
  <c r="C1037" i="15"/>
  <c r="R1036" i="15"/>
  <c r="B1037" i="15"/>
  <c r="J1037" i="15" s="1"/>
  <c r="AC1036" i="15"/>
  <c r="M1036" i="15"/>
  <c r="L1036" i="15"/>
  <c r="K1036" i="15"/>
  <c r="J1036" i="15"/>
  <c r="H1036" i="15"/>
  <c r="AC1035" i="15"/>
  <c r="C1035" i="15"/>
  <c r="R1034" i="15"/>
  <c r="B1035" i="15"/>
  <c r="K1035" i="15" s="1"/>
  <c r="N1035" i="15" s="1"/>
  <c r="AC1034" i="15"/>
  <c r="M1034" i="15"/>
  <c r="L1034" i="15"/>
  <c r="K1034" i="15"/>
  <c r="J1034" i="15"/>
  <c r="H1034" i="15"/>
  <c r="AC1033" i="15"/>
  <c r="C1033" i="15"/>
  <c r="R1032" i="15"/>
  <c r="B1033" i="15"/>
  <c r="H1033" i="15" s="1"/>
  <c r="AC1032" i="15"/>
  <c r="M1032" i="15"/>
  <c r="L1032" i="15"/>
  <c r="K1032" i="15"/>
  <c r="J1032" i="15"/>
  <c r="H1032" i="15"/>
  <c r="AC1031" i="15"/>
  <c r="C1031" i="15"/>
  <c r="L1031" i="15" s="1"/>
  <c r="R1030" i="15"/>
  <c r="B1031" i="15"/>
  <c r="AC1030" i="15"/>
  <c r="M1030" i="15"/>
  <c r="L1030" i="15"/>
  <c r="K1030" i="15"/>
  <c r="J1030" i="15"/>
  <c r="H1030" i="15"/>
  <c r="AC1029" i="15"/>
  <c r="E1029" i="15"/>
  <c r="C1029" i="15" s="1"/>
  <c r="M1029" i="15" s="1"/>
  <c r="D1029" i="15"/>
  <c r="R1028" i="15" s="1"/>
  <c r="B1029" i="15"/>
  <c r="AC1028" i="15"/>
  <c r="M1028" i="15"/>
  <c r="L1028" i="15"/>
  <c r="K1028" i="15"/>
  <c r="J1028" i="15"/>
  <c r="H1028" i="15"/>
  <c r="AC1027" i="15"/>
  <c r="E1027" i="15"/>
  <c r="C1027" i="15" s="1"/>
  <c r="L1027" i="15" s="1"/>
  <c r="D1027" i="15"/>
  <c r="R1026" i="15" s="1"/>
  <c r="B1027" i="15"/>
  <c r="H1027" i="15" s="1"/>
  <c r="AC1026" i="15"/>
  <c r="M1026" i="15"/>
  <c r="L1026" i="15"/>
  <c r="K1026" i="15"/>
  <c r="J1026" i="15"/>
  <c r="H1026" i="15"/>
  <c r="AC1025" i="15"/>
  <c r="E1025" i="15"/>
  <c r="C1025" i="15" s="1"/>
  <c r="D1025" i="15"/>
  <c r="R1024" i="15" s="1"/>
  <c r="B1025" i="15"/>
  <c r="J1025" i="15" s="1"/>
  <c r="AC1024" i="15"/>
  <c r="M1024" i="15"/>
  <c r="L1024" i="15"/>
  <c r="K1024" i="15"/>
  <c r="J1024" i="15"/>
  <c r="H1024" i="15"/>
  <c r="AC1023" i="15"/>
  <c r="E1023" i="15"/>
  <c r="C1023" i="15" s="1"/>
  <c r="M1023" i="15" s="1"/>
  <c r="D1023" i="15"/>
  <c r="R1022" i="15" s="1"/>
  <c r="B1023" i="15"/>
  <c r="AC1022" i="15"/>
  <c r="M1022" i="15"/>
  <c r="L1022" i="15"/>
  <c r="K1022" i="15"/>
  <c r="J1022" i="15"/>
  <c r="H1022" i="15"/>
  <c r="AC1021" i="15"/>
  <c r="E1021" i="15"/>
  <c r="C1021" i="15" s="1"/>
  <c r="D1021" i="15"/>
  <c r="R1020" i="15" s="1"/>
  <c r="B1021" i="15"/>
  <c r="K1021" i="15" s="1"/>
  <c r="AC1020" i="15"/>
  <c r="M1020" i="15"/>
  <c r="L1020" i="15"/>
  <c r="K1020" i="15"/>
  <c r="J1020" i="15"/>
  <c r="H1020" i="15"/>
  <c r="AC1019" i="15"/>
  <c r="E1019" i="15"/>
  <c r="C1019" i="15" s="1"/>
  <c r="D1019" i="15"/>
  <c r="R1018" i="15" s="1"/>
  <c r="B1019" i="15"/>
  <c r="K1019" i="15" s="1"/>
  <c r="N1019" i="15" s="1"/>
  <c r="AC1018" i="15"/>
  <c r="M1018" i="15"/>
  <c r="L1018" i="15"/>
  <c r="K1018" i="15"/>
  <c r="J1018" i="15"/>
  <c r="H1018" i="15"/>
  <c r="AC1017" i="15"/>
  <c r="E1017" i="15"/>
  <c r="C1017" i="15" s="1"/>
  <c r="D1017" i="15"/>
  <c r="R1016" i="15" s="1"/>
  <c r="B1017" i="15"/>
  <c r="H1017" i="15" s="1"/>
  <c r="AC1016" i="15"/>
  <c r="M1016" i="15"/>
  <c r="L1016" i="15"/>
  <c r="K1016" i="15"/>
  <c r="J1016" i="15"/>
  <c r="H1016" i="15"/>
  <c r="AC1015" i="15"/>
  <c r="E1015" i="15"/>
  <c r="C1015" i="15" s="1"/>
  <c r="D1015" i="15"/>
  <c r="R1014" i="15" s="1"/>
  <c r="B1015" i="15"/>
  <c r="AC1014" i="15"/>
  <c r="M1014" i="15"/>
  <c r="L1014" i="15"/>
  <c r="K1014" i="15"/>
  <c r="J1014" i="15"/>
  <c r="H1014" i="15"/>
  <c r="AC1013" i="15"/>
  <c r="E1013" i="15"/>
  <c r="C1013" i="15" s="1"/>
  <c r="M1013" i="15" s="1"/>
  <c r="D1013" i="15"/>
  <c r="R1012" i="15" s="1"/>
  <c r="B1013" i="15"/>
  <c r="AC1012" i="15"/>
  <c r="M1012" i="15"/>
  <c r="L1012" i="15"/>
  <c r="K1012" i="15"/>
  <c r="J1012" i="15"/>
  <c r="H1012" i="15"/>
  <c r="AC1011" i="15"/>
  <c r="E1011" i="15"/>
  <c r="C1011" i="15" s="1"/>
  <c r="D1011" i="15"/>
  <c r="R1010" i="15" s="1"/>
  <c r="B1011" i="15"/>
  <c r="K1011" i="15" s="1"/>
  <c r="N1011" i="15" s="1"/>
  <c r="AC1010" i="15"/>
  <c r="M1010" i="15"/>
  <c r="L1010" i="15"/>
  <c r="K1010" i="15"/>
  <c r="J1010" i="15"/>
  <c r="H1010" i="15"/>
  <c r="AC1009" i="15"/>
  <c r="E1009" i="15"/>
  <c r="C1009" i="15" s="1"/>
  <c r="D1009" i="15"/>
  <c r="R1008" i="15" s="1"/>
  <c r="B1009" i="15"/>
  <c r="AC1008" i="15"/>
  <c r="M1008" i="15"/>
  <c r="L1008" i="15"/>
  <c r="K1008" i="15"/>
  <c r="J1008" i="15"/>
  <c r="H1008" i="15"/>
  <c r="AC1007" i="15"/>
  <c r="E1007" i="15"/>
  <c r="C1007" i="15" s="1"/>
  <c r="D1007" i="15"/>
  <c r="R1006" i="15" s="1"/>
  <c r="B1007" i="15"/>
  <c r="AC1006" i="15"/>
  <c r="M1006" i="15"/>
  <c r="L1006" i="15"/>
  <c r="K1006" i="15"/>
  <c r="J1006" i="15"/>
  <c r="H1006" i="15"/>
  <c r="AC1005" i="15"/>
  <c r="E1005" i="15"/>
  <c r="C1005" i="15" s="1"/>
  <c r="L1005" i="15" s="1"/>
  <c r="D1005" i="15"/>
  <c r="R1004" i="15" s="1"/>
  <c r="B1005" i="15"/>
  <c r="J1005" i="15" s="1"/>
  <c r="AC1004" i="15"/>
  <c r="M1004" i="15"/>
  <c r="L1004" i="15"/>
  <c r="K1004" i="15"/>
  <c r="J1004" i="15"/>
  <c r="H1004" i="15"/>
  <c r="AC1003" i="15"/>
  <c r="E1003" i="15"/>
  <c r="C1003" i="15" s="1"/>
  <c r="M1003" i="15" s="1"/>
  <c r="D1003" i="15"/>
  <c r="R1002" i="15" s="1"/>
  <c r="B1003" i="15"/>
  <c r="AC1002" i="15"/>
  <c r="M1002" i="15"/>
  <c r="L1002" i="15"/>
  <c r="K1002" i="15"/>
  <c r="J1002" i="15"/>
  <c r="H1002" i="15"/>
  <c r="AC1001" i="15"/>
  <c r="E1001" i="15"/>
  <c r="C1001" i="15" s="1"/>
  <c r="D1001" i="15"/>
  <c r="R1000" i="15" s="1"/>
  <c r="B1001" i="15"/>
  <c r="AC1000" i="15"/>
  <c r="M1000" i="15"/>
  <c r="L1000" i="15"/>
  <c r="K1000" i="15"/>
  <c r="J1000" i="15"/>
  <c r="H1000" i="15"/>
  <c r="AC999" i="15"/>
  <c r="E999" i="15"/>
  <c r="C999" i="15" s="1"/>
  <c r="M999" i="15" s="1"/>
  <c r="D999" i="15"/>
  <c r="R998" i="15" s="1"/>
  <c r="B999" i="15"/>
  <c r="K999" i="15" s="1"/>
  <c r="N999" i="15" s="1"/>
  <c r="AC998" i="15"/>
  <c r="M998" i="15"/>
  <c r="L998" i="15"/>
  <c r="K998" i="15"/>
  <c r="J998" i="15"/>
  <c r="H998" i="15"/>
  <c r="AC997" i="15"/>
  <c r="E997" i="15"/>
  <c r="C997" i="15" s="1"/>
  <c r="M997" i="15" s="1"/>
  <c r="D997" i="15"/>
  <c r="R996" i="15" s="1"/>
  <c r="B997" i="15"/>
  <c r="K997" i="15" s="1"/>
  <c r="N997" i="15" s="1"/>
  <c r="AC996" i="15"/>
  <c r="M996" i="15"/>
  <c r="L996" i="15"/>
  <c r="K996" i="15"/>
  <c r="J996" i="15"/>
  <c r="H996" i="15"/>
  <c r="AC995" i="15"/>
  <c r="E995" i="15"/>
  <c r="C995" i="15" s="1"/>
  <c r="M995" i="15" s="1"/>
  <c r="D995" i="15"/>
  <c r="R994" i="15" s="1"/>
  <c r="B995" i="15"/>
  <c r="AC994" i="15"/>
  <c r="M994" i="15"/>
  <c r="L994" i="15"/>
  <c r="K994" i="15"/>
  <c r="J994" i="15"/>
  <c r="H994" i="15"/>
  <c r="AC993" i="15"/>
  <c r="E993" i="15"/>
  <c r="C993" i="15" s="1"/>
  <c r="D993" i="15"/>
  <c r="R992" i="15" s="1"/>
  <c r="B993" i="15"/>
  <c r="H993" i="15" s="1"/>
  <c r="AC992" i="15"/>
  <c r="M992" i="15"/>
  <c r="L992" i="15"/>
  <c r="K992" i="15"/>
  <c r="J992" i="15"/>
  <c r="H992" i="15"/>
  <c r="AC991" i="15"/>
  <c r="E991" i="15"/>
  <c r="C991" i="15" s="1"/>
  <c r="D991" i="15"/>
  <c r="R990" i="15" s="1"/>
  <c r="B991" i="15"/>
  <c r="K991" i="15" s="1"/>
  <c r="N991" i="15" s="1"/>
  <c r="AC990" i="15"/>
  <c r="M990" i="15"/>
  <c r="L990" i="15"/>
  <c r="K990" i="15"/>
  <c r="J990" i="15"/>
  <c r="H990" i="15"/>
  <c r="AC989" i="15"/>
  <c r="E989" i="15"/>
  <c r="C989" i="15" s="1"/>
  <c r="D989" i="15"/>
  <c r="R988" i="15" s="1"/>
  <c r="B989" i="15"/>
  <c r="J989" i="15" s="1"/>
  <c r="AC988" i="15"/>
  <c r="M988" i="15"/>
  <c r="L988" i="15"/>
  <c r="K988" i="15"/>
  <c r="J988" i="15"/>
  <c r="H988" i="15"/>
  <c r="AC987" i="15"/>
  <c r="E987" i="15"/>
  <c r="C987" i="15" s="1"/>
  <c r="D987" i="15"/>
  <c r="R986" i="15" s="1"/>
  <c r="B987" i="15"/>
  <c r="AC986" i="15"/>
  <c r="M986" i="15"/>
  <c r="L986" i="15"/>
  <c r="K986" i="15"/>
  <c r="J986" i="15"/>
  <c r="H986" i="15"/>
  <c r="AC985" i="15"/>
  <c r="E985" i="15"/>
  <c r="C985" i="15" s="1"/>
  <c r="D985" i="15"/>
  <c r="R984" i="15" s="1"/>
  <c r="B985" i="15"/>
  <c r="AC984" i="15"/>
  <c r="M984" i="15"/>
  <c r="L984" i="15"/>
  <c r="K984" i="15"/>
  <c r="J984" i="15"/>
  <c r="H984" i="15"/>
  <c r="AC983" i="15"/>
  <c r="E983" i="15"/>
  <c r="C983" i="15" s="1"/>
  <c r="D983" i="15"/>
  <c r="R982" i="15" s="1"/>
  <c r="B983" i="15"/>
  <c r="AC982" i="15"/>
  <c r="M982" i="15"/>
  <c r="L982" i="15"/>
  <c r="K982" i="15"/>
  <c r="J982" i="15"/>
  <c r="H982" i="15"/>
  <c r="AC981" i="15"/>
  <c r="E981" i="15"/>
  <c r="C981" i="15" s="1"/>
  <c r="D981" i="15"/>
  <c r="R980" i="15" s="1"/>
  <c r="B981" i="15"/>
  <c r="AC980" i="15"/>
  <c r="M980" i="15"/>
  <c r="L980" i="15"/>
  <c r="K980" i="15"/>
  <c r="J980" i="15"/>
  <c r="H980" i="15"/>
  <c r="AC979" i="15"/>
  <c r="E979" i="15"/>
  <c r="C979" i="15" s="1"/>
  <c r="D979" i="15"/>
  <c r="R978" i="15" s="1"/>
  <c r="B979" i="15"/>
  <c r="J979" i="15" s="1"/>
  <c r="AC978" i="15"/>
  <c r="M978" i="15"/>
  <c r="L978" i="15"/>
  <c r="K978" i="15"/>
  <c r="J978" i="15"/>
  <c r="H978" i="15"/>
  <c r="AC977" i="15"/>
  <c r="E977" i="15"/>
  <c r="C977" i="15" s="1"/>
  <c r="D977" i="15"/>
  <c r="R976" i="15" s="1"/>
  <c r="B977" i="15"/>
  <c r="AC976" i="15"/>
  <c r="M976" i="15"/>
  <c r="L976" i="15"/>
  <c r="K976" i="15"/>
  <c r="J976" i="15"/>
  <c r="H976" i="15"/>
  <c r="AC975" i="15"/>
  <c r="E975" i="15"/>
  <c r="C975" i="15" s="1"/>
  <c r="L975" i="15" s="1"/>
  <c r="D975" i="15"/>
  <c r="R974" i="15" s="1"/>
  <c r="B975" i="15"/>
  <c r="K975" i="15" s="1"/>
  <c r="N975" i="15" s="1"/>
  <c r="AC974" i="15"/>
  <c r="M974" i="15"/>
  <c r="L974" i="15"/>
  <c r="K974" i="15"/>
  <c r="J974" i="15"/>
  <c r="H974" i="15"/>
  <c r="AC973" i="15"/>
  <c r="E973" i="15"/>
  <c r="C973" i="15" s="1"/>
  <c r="M973" i="15" s="1"/>
  <c r="D973" i="15"/>
  <c r="R972" i="15" s="1"/>
  <c r="B973" i="15"/>
  <c r="AC972" i="15"/>
  <c r="M972" i="15"/>
  <c r="L972" i="15"/>
  <c r="K972" i="15"/>
  <c r="J972" i="15"/>
  <c r="H972" i="15"/>
  <c r="AC971" i="15"/>
  <c r="E971" i="15"/>
  <c r="C971" i="15" s="1"/>
  <c r="L971" i="15" s="1"/>
  <c r="D971" i="15"/>
  <c r="R970" i="15" s="1"/>
  <c r="B971" i="15"/>
  <c r="K971" i="15" s="1"/>
  <c r="N971" i="15" s="1"/>
  <c r="AC970" i="15"/>
  <c r="M970" i="15"/>
  <c r="L970" i="15"/>
  <c r="K970" i="15"/>
  <c r="H970" i="15"/>
  <c r="AC969" i="15"/>
  <c r="AB969" i="15"/>
  <c r="E969" i="15"/>
  <c r="C969" i="15" s="1"/>
  <c r="D969" i="15"/>
  <c r="R968" i="15" s="1"/>
  <c r="B969" i="15"/>
  <c r="AC967" i="15"/>
  <c r="AB967" i="15"/>
  <c r="E967" i="15"/>
  <c r="C967" i="15" s="1"/>
  <c r="D967" i="15"/>
  <c r="R966" i="15" s="1"/>
  <c r="B967" i="15"/>
  <c r="AC965" i="15"/>
  <c r="AB965" i="15"/>
  <c r="E965" i="15"/>
  <c r="C965" i="15" s="1"/>
  <c r="M965" i="15" s="1"/>
  <c r="D965" i="15"/>
  <c r="R964" i="15" s="1"/>
  <c r="B965" i="15"/>
  <c r="AC963" i="15"/>
  <c r="AB963" i="15"/>
  <c r="E963" i="15"/>
  <c r="C963" i="15" s="1"/>
  <c r="D963" i="15"/>
  <c r="R962" i="15" s="1"/>
  <c r="B963" i="15"/>
  <c r="J963" i="15" s="1"/>
  <c r="AC961" i="15"/>
  <c r="E961" i="15"/>
  <c r="C961" i="15" s="1"/>
  <c r="D961" i="15"/>
  <c r="R960" i="15" s="1"/>
  <c r="B961" i="15"/>
  <c r="U956" i="15"/>
  <c r="V953" i="15"/>
  <c r="V952" i="15"/>
  <c r="V951" i="15"/>
  <c r="V950" i="15"/>
  <c r="V949" i="15"/>
  <c r="V948" i="15"/>
  <c r="V947" i="15"/>
  <c r="V946" i="15"/>
  <c r="V945" i="15"/>
  <c r="AC923" i="15"/>
  <c r="AB923" i="15"/>
  <c r="C923" i="15"/>
  <c r="R922" i="15"/>
  <c r="B923" i="15"/>
  <c r="AC921" i="15"/>
  <c r="AB921" i="15"/>
  <c r="C921" i="15"/>
  <c r="R920" i="15"/>
  <c r="B921" i="15"/>
  <c r="AC919" i="15"/>
  <c r="AB919" i="15"/>
  <c r="C919" i="15"/>
  <c r="R918" i="15"/>
  <c r="B919" i="15"/>
  <c r="AC917" i="15"/>
  <c r="AB917" i="15"/>
  <c r="C917" i="15"/>
  <c r="R916" i="15"/>
  <c r="B917" i="15"/>
  <c r="K917" i="15" s="1"/>
  <c r="N917" i="15" s="1"/>
  <c r="AC915" i="15"/>
  <c r="AB915" i="15"/>
  <c r="C915" i="15"/>
  <c r="R914" i="15"/>
  <c r="B915" i="15"/>
  <c r="K915" i="15" s="1"/>
  <c r="N915" i="15" s="1"/>
  <c r="AC913" i="15"/>
  <c r="AB913" i="15"/>
  <c r="E913" i="15"/>
  <c r="C913" i="15" s="1"/>
  <c r="D913" i="15"/>
  <c r="R912" i="15" s="1"/>
  <c r="B913" i="15"/>
  <c r="K913" i="15" s="1"/>
  <c r="N913" i="15" s="1"/>
  <c r="AC911" i="15"/>
  <c r="AB911" i="15"/>
  <c r="E911" i="15"/>
  <c r="C911" i="15" s="1"/>
  <c r="L911" i="15" s="1"/>
  <c r="D911" i="15"/>
  <c r="R910" i="15" s="1"/>
  <c r="B911" i="15"/>
  <c r="AC909" i="15"/>
  <c r="AB909" i="15"/>
  <c r="E909" i="15"/>
  <c r="C909" i="15" s="1"/>
  <c r="L909" i="15" s="1"/>
  <c r="D909" i="15"/>
  <c r="R908" i="15" s="1"/>
  <c r="B909" i="15"/>
  <c r="K909" i="15" s="1"/>
  <c r="N909" i="15" s="1"/>
  <c r="AC907" i="15"/>
  <c r="AB907" i="15"/>
  <c r="E907" i="15"/>
  <c r="C907" i="15" s="1"/>
  <c r="D907" i="15"/>
  <c r="R906" i="15" s="1"/>
  <c r="B907" i="15"/>
  <c r="AC905" i="15"/>
  <c r="AB905" i="15"/>
  <c r="E905" i="15"/>
  <c r="C905" i="15" s="1"/>
  <c r="L905" i="15" s="1"/>
  <c r="D905" i="15"/>
  <c r="R904" i="15" s="1"/>
  <c r="B905" i="15"/>
  <c r="H905" i="15" s="1"/>
  <c r="AC903" i="15"/>
  <c r="AB903" i="15"/>
  <c r="E903" i="15"/>
  <c r="C903" i="15" s="1"/>
  <c r="D903" i="15"/>
  <c r="R902" i="15" s="1"/>
  <c r="B903" i="15"/>
  <c r="J903" i="15" s="1"/>
  <c r="AC901" i="15"/>
  <c r="AB901" i="15"/>
  <c r="E901" i="15"/>
  <c r="C901" i="15" s="1"/>
  <c r="D901" i="15"/>
  <c r="R900" i="15" s="1"/>
  <c r="B901" i="15"/>
  <c r="AC899" i="15"/>
  <c r="AB899" i="15"/>
  <c r="E899" i="15"/>
  <c r="C899" i="15" s="1"/>
  <c r="D899" i="15"/>
  <c r="R898" i="15" s="1"/>
  <c r="B899" i="15"/>
  <c r="J899" i="15" s="1"/>
  <c r="AC897" i="15"/>
  <c r="AB897" i="15"/>
  <c r="E897" i="15"/>
  <c r="C897" i="15" s="1"/>
  <c r="D897" i="15"/>
  <c r="R896" i="15" s="1"/>
  <c r="B897" i="15"/>
  <c r="AC895" i="15"/>
  <c r="AB895" i="15"/>
  <c r="E895" i="15"/>
  <c r="C895" i="15" s="1"/>
  <c r="D895" i="15"/>
  <c r="R894" i="15" s="1"/>
  <c r="B895" i="15"/>
  <c r="AC893" i="15"/>
  <c r="AB893" i="15"/>
  <c r="E893" i="15"/>
  <c r="C893" i="15" s="1"/>
  <c r="D893" i="15"/>
  <c r="R892" i="15" s="1"/>
  <c r="B893" i="15"/>
  <c r="H893" i="15" s="1"/>
  <c r="AC891" i="15"/>
  <c r="AB891" i="15"/>
  <c r="E891" i="15"/>
  <c r="C891" i="15" s="1"/>
  <c r="D891" i="15"/>
  <c r="R890" i="15" s="1"/>
  <c r="B891" i="15"/>
  <c r="K891" i="15" s="1"/>
  <c r="N891" i="15" s="1"/>
  <c r="AC889" i="15"/>
  <c r="AB889" i="15"/>
  <c r="E889" i="15"/>
  <c r="C889" i="15" s="1"/>
  <c r="D889" i="15"/>
  <c r="R888" i="15" s="1"/>
  <c r="B889" i="15"/>
  <c r="AC887" i="15"/>
  <c r="AB887" i="15"/>
  <c r="E887" i="15"/>
  <c r="C887" i="15" s="1"/>
  <c r="M887" i="15" s="1"/>
  <c r="D887" i="15"/>
  <c r="R886" i="15" s="1"/>
  <c r="B887" i="15"/>
  <c r="AC885" i="15"/>
  <c r="AB885" i="15"/>
  <c r="E885" i="15"/>
  <c r="C885" i="15" s="1"/>
  <c r="D885" i="15"/>
  <c r="R884" i="15" s="1"/>
  <c r="B885" i="15"/>
  <c r="H885" i="15" s="1"/>
  <c r="AC883" i="15"/>
  <c r="AB883" i="15"/>
  <c r="E883" i="15"/>
  <c r="C883" i="15" s="1"/>
  <c r="D883" i="15"/>
  <c r="R882" i="15" s="1"/>
  <c r="B883" i="15"/>
  <c r="AC881" i="15"/>
  <c r="AB881" i="15"/>
  <c r="E881" i="15"/>
  <c r="C881" i="15" s="1"/>
  <c r="D881" i="15"/>
  <c r="R880" i="15" s="1"/>
  <c r="B881" i="15"/>
  <c r="AC879" i="15"/>
  <c r="AB879" i="15"/>
  <c r="E879" i="15"/>
  <c r="C879" i="15" s="1"/>
  <c r="D879" i="15"/>
  <c r="R878" i="15" s="1"/>
  <c r="B879" i="15"/>
  <c r="AC877" i="15"/>
  <c r="AB877" i="15"/>
  <c r="E877" i="15"/>
  <c r="C877" i="15" s="1"/>
  <c r="D877" i="15"/>
  <c r="R876" i="15" s="1"/>
  <c r="B877" i="15"/>
  <c r="AC875" i="15"/>
  <c r="AB875" i="15"/>
  <c r="E875" i="15"/>
  <c r="C875" i="15" s="1"/>
  <c r="D875" i="15"/>
  <c r="R874" i="15" s="1"/>
  <c r="B875" i="15"/>
  <c r="AC873" i="15"/>
  <c r="AB873" i="15"/>
  <c r="E873" i="15"/>
  <c r="C873" i="15" s="1"/>
  <c r="D873" i="15"/>
  <c r="R872" i="15" s="1"/>
  <c r="B873" i="15"/>
  <c r="AC871" i="15"/>
  <c r="AB871" i="15"/>
  <c r="E871" i="15"/>
  <c r="C871" i="15" s="1"/>
  <c r="M871" i="15" s="1"/>
  <c r="D871" i="15"/>
  <c r="R870" i="15" s="1"/>
  <c r="B871" i="15"/>
  <c r="AC869" i="15"/>
  <c r="AB869" i="15"/>
  <c r="E869" i="15"/>
  <c r="C869" i="15" s="1"/>
  <c r="D869" i="15"/>
  <c r="R868" i="15" s="1"/>
  <c r="B869" i="15"/>
  <c r="AC867" i="15"/>
  <c r="AB867" i="15"/>
  <c r="E867" i="15"/>
  <c r="C867" i="15" s="1"/>
  <c r="M867" i="15" s="1"/>
  <c r="D867" i="15"/>
  <c r="R866" i="15" s="1"/>
  <c r="B867" i="15"/>
  <c r="AC865" i="15"/>
  <c r="AB865" i="15"/>
  <c r="E865" i="15"/>
  <c r="C865" i="15" s="1"/>
  <c r="D865" i="15"/>
  <c r="R864" i="15" s="1"/>
  <c r="B865" i="15"/>
  <c r="AC863" i="15"/>
  <c r="E863" i="15"/>
  <c r="C863" i="15" s="1"/>
  <c r="M863" i="15" s="1"/>
  <c r="D863" i="15"/>
  <c r="R862" i="15" s="1"/>
  <c r="B863" i="15"/>
  <c r="AC861" i="15"/>
  <c r="E861" i="15"/>
  <c r="C861" i="15" s="1"/>
  <c r="D861" i="15"/>
  <c r="R860" i="15" s="1"/>
  <c r="B861" i="15"/>
  <c r="AC859" i="15"/>
  <c r="E859" i="15"/>
  <c r="C859" i="15" s="1"/>
  <c r="D859" i="15"/>
  <c r="R858" i="15" s="1"/>
  <c r="B859" i="15"/>
  <c r="AC857" i="15"/>
  <c r="E857" i="15"/>
  <c r="C857" i="15" s="1"/>
  <c r="D857" i="15"/>
  <c r="R856" i="15" s="1"/>
  <c r="B857" i="15"/>
  <c r="AC855" i="15"/>
  <c r="E855" i="15"/>
  <c r="C855" i="15" s="1"/>
  <c r="M855" i="15" s="1"/>
  <c r="D855" i="15"/>
  <c r="R854" i="15" s="1"/>
  <c r="B855" i="15"/>
  <c r="K855" i="15" s="1"/>
  <c r="N855" i="15" s="1"/>
  <c r="AC853" i="15"/>
  <c r="AB853" i="15"/>
  <c r="E853" i="15"/>
  <c r="C853" i="15" s="1"/>
  <c r="M853" i="15" s="1"/>
  <c r="D853" i="15"/>
  <c r="R852" i="15" s="1"/>
  <c r="B853" i="15"/>
  <c r="AC851" i="15"/>
  <c r="AB851" i="15"/>
  <c r="E851" i="15"/>
  <c r="C851" i="15" s="1"/>
  <c r="L851" i="15" s="1"/>
  <c r="D851" i="15"/>
  <c r="R850" i="15" s="1"/>
  <c r="B851" i="15"/>
  <c r="AC849" i="15"/>
  <c r="AB849" i="15"/>
  <c r="E849" i="15"/>
  <c r="C849" i="15" s="1"/>
  <c r="D849" i="15"/>
  <c r="R848" i="15" s="1"/>
  <c r="B849" i="15"/>
  <c r="AC847" i="15"/>
  <c r="AB847" i="15"/>
  <c r="E847" i="15"/>
  <c r="C847" i="15" s="1"/>
  <c r="D847" i="15"/>
  <c r="R846" i="15" s="1"/>
  <c r="B847" i="15"/>
  <c r="AC845" i="15"/>
  <c r="E845" i="15"/>
  <c r="C845" i="15" s="1"/>
  <c r="L845" i="15" s="1"/>
  <c r="D845" i="15"/>
  <c r="R844" i="15" s="1"/>
  <c r="B845" i="15"/>
  <c r="AA840" i="15"/>
  <c r="Z840" i="15"/>
  <c r="Y840" i="15"/>
  <c r="X840" i="15"/>
  <c r="U840" i="15"/>
  <c r="V837" i="15"/>
  <c r="V836" i="15"/>
  <c r="V835" i="15"/>
  <c r="V834" i="15"/>
  <c r="V833" i="15"/>
  <c r="V832" i="15"/>
  <c r="V831" i="15"/>
  <c r="V830" i="15"/>
  <c r="V829" i="15"/>
  <c r="AC807" i="15"/>
  <c r="AB807" i="15"/>
  <c r="I807" i="15"/>
  <c r="R806" i="15"/>
  <c r="B807" i="15"/>
  <c r="Q806" i="15"/>
  <c r="AC805" i="15"/>
  <c r="AB805" i="15"/>
  <c r="R804" i="15"/>
  <c r="B805" i="15"/>
  <c r="Q804" i="15"/>
  <c r="AC803" i="15"/>
  <c r="AB803" i="15"/>
  <c r="R802" i="15"/>
  <c r="B803" i="15"/>
  <c r="Q802" i="15"/>
  <c r="AC801" i="15"/>
  <c r="AB801" i="15"/>
  <c r="R800" i="15"/>
  <c r="B801" i="15"/>
  <c r="Q800" i="15"/>
  <c r="AC799" i="15"/>
  <c r="AB799" i="15"/>
  <c r="R798" i="15"/>
  <c r="B799" i="15"/>
  <c r="Q798" i="15"/>
  <c r="AC797" i="15"/>
  <c r="AB797" i="15"/>
  <c r="E797" i="15"/>
  <c r="C797" i="15" s="1"/>
  <c r="K796" i="15" s="1"/>
  <c r="D797" i="15"/>
  <c r="R796" i="15" s="1"/>
  <c r="B797" i="15"/>
  <c r="Q796" i="15"/>
  <c r="AC795" i="15"/>
  <c r="AB795" i="15"/>
  <c r="E795" i="15"/>
  <c r="C795" i="15" s="1"/>
  <c r="D795" i="15"/>
  <c r="R794" i="15" s="1"/>
  <c r="B795" i="15"/>
  <c r="Q794" i="15"/>
  <c r="AC793" i="15"/>
  <c r="AB793" i="15"/>
  <c r="E793" i="15"/>
  <c r="D793" i="15"/>
  <c r="R792" i="15" s="1"/>
  <c r="B793" i="15"/>
  <c r="Q792" i="15"/>
  <c r="AC791" i="15"/>
  <c r="AB791" i="15"/>
  <c r="E791" i="15"/>
  <c r="I791" i="15" s="1"/>
  <c r="D791" i="15"/>
  <c r="R790" i="15" s="1"/>
  <c r="B791" i="15"/>
  <c r="Q790" i="15"/>
  <c r="AC789" i="15"/>
  <c r="AB789" i="15"/>
  <c r="E789" i="15"/>
  <c r="I789" i="15" s="1"/>
  <c r="D789" i="15"/>
  <c r="R788" i="15" s="1"/>
  <c r="B789" i="15"/>
  <c r="J789" i="15" s="1"/>
  <c r="Q788" i="15"/>
  <c r="AC787" i="15"/>
  <c r="AB787" i="15"/>
  <c r="E787" i="15"/>
  <c r="D787" i="15"/>
  <c r="R786" i="15" s="1"/>
  <c r="B787" i="15"/>
  <c r="Q786" i="15"/>
  <c r="AC785" i="15"/>
  <c r="AB785" i="15"/>
  <c r="E785" i="15"/>
  <c r="C785" i="15" s="1"/>
  <c r="D785" i="15"/>
  <c r="R784" i="15" s="1"/>
  <c r="B785" i="15"/>
  <c r="Q784" i="15"/>
  <c r="AC783" i="15"/>
  <c r="AB783" i="15"/>
  <c r="E783" i="15"/>
  <c r="D783" i="15"/>
  <c r="R782" i="15" s="1"/>
  <c r="B783" i="15"/>
  <c r="Q782" i="15"/>
  <c r="AC781" i="15"/>
  <c r="AB781" i="15"/>
  <c r="E781" i="15"/>
  <c r="C781" i="15" s="1"/>
  <c r="D781" i="15"/>
  <c r="R780" i="15" s="1"/>
  <c r="B781" i="15"/>
  <c r="Q780" i="15"/>
  <c r="AC779" i="15"/>
  <c r="AB779" i="15"/>
  <c r="E779" i="15"/>
  <c r="C779" i="15" s="1"/>
  <c r="D779" i="15"/>
  <c r="R778" i="15" s="1"/>
  <c r="B779" i="15"/>
  <c r="J779" i="15" s="1"/>
  <c r="Q778" i="15"/>
  <c r="AC777" i="15"/>
  <c r="AB777" i="15"/>
  <c r="E777" i="15"/>
  <c r="C777" i="15" s="1"/>
  <c r="D777" i="15"/>
  <c r="R776" i="15" s="1"/>
  <c r="B777" i="15"/>
  <c r="Q776" i="15"/>
  <c r="AC775" i="15"/>
  <c r="AB775" i="15"/>
  <c r="E775" i="15"/>
  <c r="I775" i="15" s="1"/>
  <c r="D775" i="15"/>
  <c r="R774" i="15" s="1"/>
  <c r="B775" i="15"/>
  <c r="Q774" i="15"/>
  <c r="AC773" i="15"/>
  <c r="AB773" i="15"/>
  <c r="E773" i="15"/>
  <c r="I773" i="15" s="1"/>
  <c r="D773" i="15"/>
  <c r="R772" i="15" s="1"/>
  <c r="B773" i="15"/>
  <c r="Q772" i="15"/>
  <c r="AC771" i="15"/>
  <c r="AB771" i="15"/>
  <c r="E771" i="15"/>
  <c r="C771" i="15" s="1"/>
  <c r="D771" i="15"/>
  <c r="R770" i="15" s="1"/>
  <c r="B771" i="15"/>
  <c r="J771" i="15" s="1"/>
  <c r="Q770" i="15"/>
  <c r="AC769" i="15"/>
  <c r="AB769" i="15"/>
  <c r="E769" i="15"/>
  <c r="C769" i="15" s="1"/>
  <c r="K768" i="15" s="1"/>
  <c r="D769" i="15"/>
  <c r="R768" i="15" s="1"/>
  <c r="B769" i="15"/>
  <c r="H769" i="15" s="1"/>
  <c r="Q768" i="15"/>
  <c r="AC767" i="15"/>
  <c r="AB767" i="15"/>
  <c r="E767" i="15"/>
  <c r="D767" i="15"/>
  <c r="R766" i="15" s="1"/>
  <c r="B767" i="15"/>
  <c r="Q766" i="15"/>
  <c r="AC765" i="15"/>
  <c r="AB765" i="15"/>
  <c r="E765" i="15"/>
  <c r="I765" i="15" s="1"/>
  <c r="D765" i="15"/>
  <c r="R764" i="15" s="1"/>
  <c r="B765" i="15"/>
  <c r="Q764" i="15"/>
  <c r="AC763" i="15"/>
  <c r="AB763" i="15"/>
  <c r="E763" i="15"/>
  <c r="C763" i="15" s="1"/>
  <c r="M763" i="15" s="1"/>
  <c r="Q763" i="15" s="1"/>
  <c r="D763" i="15"/>
  <c r="R762" i="15" s="1"/>
  <c r="B763" i="15"/>
  <c r="Q762" i="15"/>
  <c r="AC761" i="15"/>
  <c r="AB761" i="15"/>
  <c r="E761" i="15"/>
  <c r="I761" i="15" s="1"/>
  <c r="D761" i="15"/>
  <c r="R760" i="15" s="1"/>
  <c r="B761" i="15"/>
  <c r="Q760" i="15"/>
  <c r="AC759" i="15"/>
  <c r="AB759" i="15"/>
  <c r="E759" i="15"/>
  <c r="C759" i="15" s="1"/>
  <c r="D759" i="15"/>
  <c r="R758" i="15" s="1"/>
  <c r="B759" i="15"/>
  <c r="Q758" i="15"/>
  <c r="AC757" i="15"/>
  <c r="AB757" i="15"/>
  <c r="E757" i="15"/>
  <c r="C757" i="15" s="1"/>
  <c r="D757" i="15"/>
  <c r="R756" i="15" s="1"/>
  <c r="B757" i="15"/>
  <c r="Q756" i="15"/>
  <c r="AC755" i="15"/>
  <c r="AB755" i="15"/>
  <c r="E755" i="15"/>
  <c r="D755" i="15"/>
  <c r="R754" i="15" s="1"/>
  <c r="B755" i="15"/>
  <c r="Q754" i="15"/>
  <c r="AC753" i="15"/>
  <c r="AB753" i="15"/>
  <c r="E753" i="15"/>
  <c r="I753" i="15" s="1"/>
  <c r="D753" i="15"/>
  <c r="R752" i="15" s="1"/>
  <c r="B753" i="15"/>
  <c r="Q752" i="15"/>
  <c r="AC751" i="15"/>
  <c r="AB751" i="15"/>
  <c r="E751" i="15"/>
  <c r="C751" i="15" s="1"/>
  <c r="D751" i="15"/>
  <c r="R750" i="15" s="1"/>
  <c r="B751" i="15"/>
  <c r="Q750" i="15"/>
  <c r="AC749" i="15"/>
  <c r="AB749" i="15"/>
  <c r="E749" i="15"/>
  <c r="C749" i="15" s="1"/>
  <c r="D749" i="15"/>
  <c r="R748" i="15" s="1"/>
  <c r="B749" i="15"/>
  <c r="Q748" i="15"/>
  <c r="AC747" i="15"/>
  <c r="AB747" i="15"/>
  <c r="E747" i="15"/>
  <c r="D747" i="15"/>
  <c r="R746" i="15" s="1"/>
  <c r="B747" i="15"/>
  <c r="Q746" i="15"/>
  <c r="AC745" i="15"/>
  <c r="AB745" i="15"/>
  <c r="E745" i="15"/>
  <c r="I745" i="15" s="1"/>
  <c r="D745" i="15"/>
  <c r="R744" i="15" s="1"/>
  <c r="B745" i="15"/>
  <c r="Q744" i="15"/>
  <c r="AC743" i="15"/>
  <c r="AB743" i="15"/>
  <c r="E743" i="15"/>
  <c r="I743" i="15" s="1"/>
  <c r="D743" i="15"/>
  <c r="R742" i="15" s="1"/>
  <c r="B743" i="15"/>
  <c r="Q742" i="15"/>
  <c r="AC741" i="15"/>
  <c r="AB741" i="15"/>
  <c r="E741" i="15"/>
  <c r="C741" i="15" s="1"/>
  <c r="K740" i="15" s="1"/>
  <c r="D741" i="15"/>
  <c r="R740" i="15" s="1"/>
  <c r="B741" i="15"/>
  <c r="Q740" i="15"/>
  <c r="AC739" i="15"/>
  <c r="AB739" i="15"/>
  <c r="E739" i="15"/>
  <c r="D739" i="15"/>
  <c r="R738" i="15" s="1"/>
  <c r="B739" i="15"/>
  <c r="Q738" i="15"/>
  <c r="AC737" i="15"/>
  <c r="AB737" i="15"/>
  <c r="E737" i="15"/>
  <c r="I737" i="15" s="1"/>
  <c r="D737" i="15"/>
  <c r="R736" i="15" s="1"/>
  <c r="B737" i="15"/>
  <c r="Q736" i="15"/>
  <c r="AC735" i="15"/>
  <c r="AB735" i="15"/>
  <c r="E735" i="15"/>
  <c r="I735" i="15" s="1"/>
  <c r="D735" i="15"/>
  <c r="R734" i="15" s="1"/>
  <c r="B735" i="15"/>
  <c r="Q734" i="15"/>
  <c r="AC733" i="15"/>
  <c r="AB733" i="15"/>
  <c r="E733" i="15"/>
  <c r="I733" i="15" s="1"/>
  <c r="D733" i="15"/>
  <c r="R732" i="15" s="1"/>
  <c r="B733" i="15"/>
  <c r="Q732" i="15"/>
  <c r="AC731" i="15"/>
  <c r="AB731" i="15"/>
  <c r="E731" i="15"/>
  <c r="D731" i="15"/>
  <c r="R730" i="15" s="1"/>
  <c r="B731" i="15"/>
  <c r="Q730" i="15"/>
  <c r="AC729" i="15"/>
  <c r="E729" i="15"/>
  <c r="D729" i="15"/>
  <c r="R728" i="15" s="1"/>
  <c r="B729" i="15"/>
  <c r="AA724" i="15"/>
  <c r="Z724" i="15"/>
  <c r="Y724" i="15"/>
  <c r="X724" i="15"/>
  <c r="W724" i="15"/>
  <c r="V724" i="15"/>
  <c r="V956" i="15" s="1"/>
  <c r="U724" i="15"/>
  <c r="V721" i="15"/>
  <c r="V720" i="15"/>
  <c r="V719" i="15"/>
  <c r="V718" i="15"/>
  <c r="V717" i="15"/>
  <c r="V716" i="15"/>
  <c r="V715" i="15"/>
  <c r="AC693" i="15"/>
  <c r="C693" i="15"/>
  <c r="R692" i="15"/>
  <c r="B693" i="15"/>
  <c r="J693" i="15" s="1"/>
  <c r="AC691" i="15"/>
  <c r="C691" i="15"/>
  <c r="R690" i="15"/>
  <c r="B691" i="15"/>
  <c r="AC689" i="15"/>
  <c r="C689" i="15"/>
  <c r="M689" i="15" s="1"/>
  <c r="R688" i="15"/>
  <c r="B689" i="15"/>
  <c r="K689" i="15" s="1"/>
  <c r="N689" i="15" s="1"/>
  <c r="AC687" i="15"/>
  <c r="C687" i="15"/>
  <c r="R686" i="15"/>
  <c r="B687" i="15"/>
  <c r="J687" i="15" s="1"/>
  <c r="AC685" i="15"/>
  <c r="C685" i="15"/>
  <c r="L685" i="15" s="1"/>
  <c r="R684" i="15"/>
  <c r="B685" i="15"/>
  <c r="AC683" i="15"/>
  <c r="E683" i="15"/>
  <c r="C683" i="15" s="1"/>
  <c r="D683" i="15"/>
  <c r="R682" i="15" s="1"/>
  <c r="B683" i="15"/>
  <c r="AC681" i="15"/>
  <c r="E681" i="15"/>
  <c r="C681" i="15" s="1"/>
  <c r="D681" i="15"/>
  <c r="R680" i="15" s="1"/>
  <c r="B681" i="15"/>
  <c r="AC679" i="15"/>
  <c r="E679" i="15"/>
  <c r="C679" i="15" s="1"/>
  <c r="D679" i="15"/>
  <c r="R678" i="15" s="1"/>
  <c r="B679" i="15"/>
  <c r="AC677" i="15"/>
  <c r="E677" i="15"/>
  <c r="C677" i="15" s="1"/>
  <c r="D677" i="15"/>
  <c r="R676" i="15" s="1"/>
  <c r="B677" i="15"/>
  <c r="AC675" i="15"/>
  <c r="E675" i="15"/>
  <c r="C675" i="15" s="1"/>
  <c r="D675" i="15"/>
  <c r="R674" i="15" s="1"/>
  <c r="B675" i="15"/>
  <c r="AC673" i="15"/>
  <c r="E673" i="15"/>
  <c r="C673" i="15" s="1"/>
  <c r="D673" i="15"/>
  <c r="R672" i="15" s="1"/>
  <c r="B673" i="15"/>
  <c r="AC671" i="15"/>
  <c r="E671" i="15"/>
  <c r="C671" i="15" s="1"/>
  <c r="D671" i="15"/>
  <c r="R670" i="15" s="1"/>
  <c r="B671" i="15"/>
  <c r="AC669" i="15"/>
  <c r="E669" i="15"/>
  <c r="C669" i="15" s="1"/>
  <c r="D669" i="15"/>
  <c r="R668" i="15" s="1"/>
  <c r="B669" i="15"/>
  <c r="AC667" i="15"/>
  <c r="E667" i="15"/>
  <c r="C667" i="15" s="1"/>
  <c r="M667" i="15" s="1"/>
  <c r="D667" i="15"/>
  <c r="R666" i="15" s="1"/>
  <c r="B667" i="15"/>
  <c r="AC665" i="15"/>
  <c r="E665" i="15"/>
  <c r="C665" i="15" s="1"/>
  <c r="D665" i="15"/>
  <c r="R664" i="15" s="1"/>
  <c r="B665" i="15"/>
  <c r="AC663" i="15"/>
  <c r="E663" i="15"/>
  <c r="C663" i="15" s="1"/>
  <c r="D663" i="15"/>
  <c r="R662" i="15" s="1"/>
  <c r="B663" i="15"/>
  <c r="H663" i="15" s="1"/>
  <c r="AC661" i="15"/>
  <c r="E661" i="15"/>
  <c r="C661" i="15" s="1"/>
  <c r="L661" i="15" s="1"/>
  <c r="D661" i="15"/>
  <c r="R660" i="15" s="1"/>
  <c r="B661" i="15"/>
  <c r="K661" i="15" s="1"/>
  <c r="N661" i="15" s="1"/>
  <c r="AC659" i="15"/>
  <c r="E659" i="15"/>
  <c r="C659" i="15" s="1"/>
  <c r="D659" i="15"/>
  <c r="R658" i="15" s="1"/>
  <c r="B659" i="15"/>
  <c r="K659" i="15" s="1"/>
  <c r="N659" i="15" s="1"/>
  <c r="AC657" i="15"/>
  <c r="E657" i="15"/>
  <c r="C657" i="15" s="1"/>
  <c r="D657" i="15"/>
  <c r="R656" i="15" s="1"/>
  <c r="B657" i="15"/>
  <c r="AC655" i="15"/>
  <c r="E655" i="15"/>
  <c r="C655" i="15" s="1"/>
  <c r="M655" i="15" s="1"/>
  <c r="D655" i="15"/>
  <c r="R654" i="15" s="1"/>
  <c r="B655" i="15"/>
  <c r="AC653" i="15"/>
  <c r="E653" i="15"/>
  <c r="C653" i="15" s="1"/>
  <c r="D653" i="15"/>
  <c r="R652" i="15" s="1"/>
  <c r="B653" i="15"/>
  <c r="AC651" i="15"/>
  <c r="E651" i="15"/>
  <c r="C651" i="15" s="1"/>
  <c r="D651" i="15"/>
  <c r="R650" i="15" s="1"/>
  <c r="B651" i="15"/>
  <c r="AC649" i="15"/>
  <c r="E649" i="15"/>
  <c r="C649" i="15" s="1"/>
  <c r="D649" i="15"/>
  <c r="R648" i="15" s="1"/>
  <c r="B649" i="15"/>
  <c r="AC647" i="15"/>
  <c r="E647" i="15"/>
  <c r="C647" i="15" s="1"/>
  <c r="M647" i="15" s="1"/>
  <c r="D647" i="15"/>
  <c r="R646" i="15" s="1"/>
  <c r="B647" i="15"/>
  <c r="J647" i="15" s="1"/>
  <c r="AC645" i="15"/>
  <c r="E645" i="15"/>
  <c r="C645" i="15" s="1"/>
  <c r="D645" i="15"/>
  <c r="R644" i="15" s="1"/>
  <c r="B645" i="15"/>
  <c r="AC643" i="15"/>
  <c r="E643" i="15"/>
  <c r="C643" i="15" s="1"/>
  <c r="M643" i="15" s="1"/>
  <c r="D643" i="15"/>
  <c r="R642" i="15" s="1"/>
  <c r="B643" i="15"/>
  <c r="AC641" i="15"/>
  <c r="E641" i="15"/>
  <c r="C641" i="15" s="1"/>
  <c r="D641" i="15"/>
  <c r="R640" i="15" s="1"/>
  <c r="B641" i="15"/>
  <c r="AC639" i="15"/>
  <c r="E639" i="15"/>
  <c r="C639" i="15" s="1"/>
  <c r="M639" i="15" s="1"/>
  <c r="D639" i="15"/>
  <c r="R638" i="15" s="1"/>
  <c r="B639" i="15"/>
  <c r="AC637" i="15"/>
  <c r="E637" i="15"/>
  <c r="C637" i="15" s="1"/>
  <c r="D637" i="15"/>
  <c r="R636" i="15" s="1"/>
  <c r="B637" i="15"/>
  <c r="AC635" i="15"/>
  <c r="E635" i="15"/>
  <c r="C635" i="15" s="1"/>
  <c r="D635" i="15"/>
  <c r="R634" i="15" s="1"/>
  <c r="B635" i="15"/>
  <c r="AC633" i="15"/>
  <c r="AB633" i="15"/>
  <c r="E633" i="15"/>
  <c r="C633" i="15" s="1"/>
  <c r="D633" i="15"/>
  <c r="R632" i="15" s="1"/>
  <c r="B633" i="15"/>
  <c r="AC631" i="15"/>
  <c r="AB631" i="15"/>
  <c r="E631" i="15"/>
  <c r="C631" i="15" s="1"/>
  <c r="D631" i="15"/>
  <c r="R630" i="15" s="1"/>
  <c r="B631" i="15"/>
  <c r="AC629" i="15"/>
  <c r="AB629" i="15"/>
  <c r="E629" i="15"/>
  <c r="C629" i="15" s="1"/>
  <c r="L629" i="15" s="1"/>
  <c r="D629" i="15"/>
  <c r="R628" i="15" s="1"/>
  <c r="B629" i="15"/>
  <c r="AC627" i="15"/>
  <c r="AB627" i="15"/>
  <c r="E627" i="15"/>
  <c r="C627" i="15" s="1"/>
  <c r="D627" i="15"/>
  <c r="R626" i="15" s="1"/>
  <c r="B627" i="15"/>
  <c r="AC625" i="15"/>
  <c r="AB625" i="15"/>
  <c r="E625" i="15"/>
  <c r="C625" i="15" s="1"/>
  <c r="D625" i="15"/>
  <c r="R624" i="15" s="1"/>
  <c r="B625" i="15"/>
  <c r="AC623" i="15"/>
  <c r="AB623" i="15"/>
  <c r="E623" i="15"/>
  <c r="C623" i="15" s="1"/>
  <c r="M623" i="15" s="1"/>
  <c r="D623" i="15"/>
  <c r="R622" i="15" s="1"/>
  <c r="B623" i="15"/>
  <c r="AC621" i="15"/>
  <c r="AB621" i="15"/>
  <c r="E621" i="15"/>
  <c r="C621" i="15" s="1"/>
  <c r="D621" i="15"/>
  <c r="R620" i="15" s="1"/>
  <c r="B621" i="15"/>
  <c r="AC619" i="15"/>
  <c r="AB619" i="15"/>
  <c r="E619" i="15"/>
  <c r="C619" i="15" s="1"/>
  <c r="D619" i="15"/>
  <c r="R618" i="15" s="1"/>
  <c r="B619" i="15"/>
  <c r="AC617" i="15"/>
  <c r="AB617" i="15"/>
  <c r="E617" i="15"/>
  <c r="C617" i="15" s="1"/>
  <c r="D617" i="15"/>
  <c r="R616" i="15" s="1"/>
  <c r="B617" i="15"/>
  <c r="AC615" i="15"/>
  <c r="E615" i="15"/>
  <c r="C615" i="15" s="1"/>
  <c r="D615" i="15"/>
  <c r="R614" i="15" s="1"/>
  <c r="B615" i="15"/>
  <c r="AA610" i="15"/>
  <c r="Z610" i="15"/>
  <c r="Y610" i="15"/>
  <c r="X610" i="15"/>
  <c r="W610" i="15"/>
  <c r="V610" i="15"/>
  <c r="U610" i="15"/>
  <c r="AC579" i="15"/>
  <c r="C579" i="15"/>
  <c r="P579" i="15" s="1"/>
  <c r="R578" i="15"/>
  <c r="B579" i="15"/>
  <c r="AC577" i="15"/>
  <c r="C577" i="15"/>
  <c r="R576" i="15"/>
  <c r="B577" i="15"/>
  <c r="H577" i="15" s="1"/>
  <c r="AC575" i="15"/>
  <c r="C575" i="15"/>
  <c r="R574" i="15"/>
  <c r="B575" i="15"/>
  <c r="H575" i="15" s="1"/>
  <c r="AC573" i="15"/>
  <c r="C573" i="15"/>
  <c r="R572" i="15"/>
  <c r="B573" i="15"/>
  <c r="AC571" i="15"/>
  <c r="C571" i="15"/>
  <c r="R570" i="15"/>
  <c r="B571" i="15"/>
  <c r="AC569" i="15"/>
  <c r="E569" i="15"/>
  <c r="C569" i="15" s="1"/>
  <c r="D569" i="15"/>
  <c r="R568" i="15" s="1"/>
  <c r="B569" i="15"/>
  <c r="AC567" i="15"/>
  <c r="E567" i="15"/>
  <c r="C567" i="15" s="1"/>
  <c r="P567" i="15" s="1"/>
  <c r="D567" i="15"/>
  <c r="R566" i="15" s="1"/>
  <c r="B567" i="15"/>
  <c r="K567" i="15" s="1"/>
  <c r="N567" i="15" s="1"/>
  <c r="AC565" i="15"/>
  <c r="E565" i="15"/>
  <c r="C565" i="15" s="1"/>
  <c r="O565" i="15" s="1"/>
  <c r="D565" i="15"/>
  <c r="R564" i="15" s="1"/>
  <c r="B565" i="15"/>
  <c r="AC563" i="15"/>
  <c r="E563" i="15"/>
  <c r="C563" i="15" s="1"/>
  <c r="D563" i="15"/>
  <c r="R562" i="15" s="1"/>
  <c r="B563" i="15"/>
  <c r="AC561" i="15"/>
  <c r="E561" i="15"/>
  <c r="C561" i="15" s="1"/>
  <c r="O561" i="15" s="1"/>
  <c r="D561" i="15"/>
  <c r="R560" i="15" s="1"/>
  <c r="B561" i="15"/>
  <c r="H561" i="15" s="1"/>
  <c r="AC559" i="15"/>
  <c r="E559" i="15"/>
  <c r="C559" i="15" s="1"/>
  <c r="D559" i="15"/>
  <c r="R558" i="15" s="1"/>
  <c r="B559" i="15"/>
  <c r="H559" i="15" s="1"/>
  <c r="AC557" i="15"/>
  <c r="E557" i="15"/>
  <c r="C557" i="15" s="1"/>
  <c r="D557" i="15"/>
  <c r="R556" i="15" s="1"/>
  <c r="B557" i="15"/>
  <c r="AC555" i="15"/>
  <c r="E555" i="15"/>
  <c r="C555" i="15" s="1"/>
  <c r="D555" i="15"/>
  <c r="R554" i="15" s="1"/>
  <c r="B555" i="15"/>
  <c r="K555" i="15" s="1"/>
  <c r="N555" i="15" s="1"/>
  <c r="AC553" i="15"/>
  <c r="E553" i="15"/>
  <c r="C553" i="15" s="1"/>
  <c r="D553" i="15"/>
  <c r="R552" i="15" s="1"/>
  <c r="B553" i="15"/>
  <c r="AC551" i="15"/>
  <c r="E551" i="15"/>
  <c r="C551" i="15" s="1"/>
  <c r="P551" i="15" s="1"/>
  <c r="D551" i="15"/>
  <c r="R550" i="15" s="1"/>
  <c r="B551" i="15"/>
  <c r="K551" i="15" s="1"/>
  <c r="N551" i="15" s="1"/>
  <c r="AC549" i="15"/>
  <c r="E549" i="15"/>
  <c r="C549" i="15" s="1"/>
  <c r="O549" i="15" s="1"/>
  <c r="D549" i="15"/>
  <c r="R548" i="15" s="1"/>
  <c r="B549" i="15"/>
  <c r="AC547" i="15"/>
  <c r="E547" i="15"/>
  <c r="C547" i="15" s="1"/>
  <c r="D547" i="15"/>
  <c r="R546" i="15" s="1"/>
  <c r="B547" i="15"/>
  <c r="AC545" i="15"/>
  <c r="E545" i="15"/>
  <c r="C545" i="15" s="1"/>
  <c r="D545" i="15"/>
  <c r="R544" i="15" s="1"/>
  <c r="B545" i="15"/>
  <c r="AC543" i="15"/>
  <c r="E543" i="15"/>
  <c r="C543" i="15" s="1"/>
  <c r="D543" i="15"/>
  <c r="R542" i="15" s="1"/>
  <c r="B543" i="15"/>
  <c r="H543" i="15" s="1"/>
  <c r="AC541" i="15"/>
  <c r="E541" i="15"/>
  <c r="C541" i="15" s="1"/>
  <c r="D541" i="15"/>
  <c r="R540" i="15" s="1"/>
  <c r="B541" i="15"/>
  <c r="AC539" i="15"/>
  <c r="E539" i="15"/>
  <c r="C539" i="15" s="1"/>
  <c r="D539" i="15"/>
  <c r="R538" i="15" s="1"/>
  <c r="B539" i="15"/>
  <c r="K539" i="15" s="1"/>
  <c r="N539" i="15" s="1"/>
  <c r="AC537" i="15"/>
  <c r="E537" i="15"/>
  <c r="C537" i="15" s="1"/>
  <c r="D537" i="15"/>
  <c r="R536" i="15" s="1"/>
  <c r="B537" i="15"/>
  <c r="AC535" i="15"/>
  <c r="E535" i="15"/>
  <c r="C535" i="15" s="1"/>
  <c r="D535" i="15"/>
  <c r="R534" i="15" s="1"/>
  <c r="B535" i="15"/>
  <c r="AC533" i="15"/>
  <c r="E533" i="15"/>
  <c r="C533" i="15" s="1"/>
  <c r="P533" i="15" s="1"/>
  <c r="D533" i="15"/>
  <c r="R532" i="15" s="1"/>
  <c r="B533" i="15"/>
  <c r="AC531" i="15"/>
  <c r="E531" i="15"/>
  <c r="C531" i="15" s="1"/>
  <c r="D531" i="15"/>
  <c r="R530" i="15" s="1"/>
  <c r="B531" i="15"/>
  <c r="AC529" i="15"/>
  <c r="E529" i="15"/>
  <c r="C529" i="15" s="1"/>
  <c r="P529" i="15" s="1"/>
  <c r="D529" i="15"/>
  <c r="R528" i="15" s="1"/>
  <c r="B529" i="15"/>
  <c r="AC527" i="15"/>
  <c r="E527" i="15"/>
  <c r="C527" i="15" s="1"/>
  <c r="D527" i="15"/>
  <c r="R526" i="15" s="1"/>
  <c r="B527" i="15"/>
  <c r="AC525" i="15"/>
  <c r="E525" i="15"/>
  <c r="C525" i="15" s="1"/>
  <c r="D525" i="15"/>
  <c r="R524" i="15" s="1"/>
  <c r="B525" i="15"/>
  <c r="AC523" i="15"/>
  <c r="E523" i="15"/>
  <c r="C523" i="15" s="1"/>
  <c r="D523" i="15"/>
  <c r="R522" i="15" s="1"/>
  <c r="B523" i="15"/>
  <c r="AC521" i="15"/>
  <c r="E521" i="15"/>
  <c r="C521" i="15" s="1"/>
  <c r="D521" i="15"/>
  <c r="R520" i="15" s="1"/>
  <c r="B521" i="15"/>
  <c r="AC519" i="15"/>
  <c r="E519" i="15"/>
  <c r="C519" i="15" s="1"/>
  <c r="D519" i="15"/>
  <c r="R518" i="15" s="1"/>
  <c r="B519" i="15"/>
  <c r="AC517" i="15"/>
  <c r="E517" i="15"/>
  <c r="C517" i="15" s="1"/>
  <c r="P517" i="15" s="1"/>
  <c r="D517" i="15"/>
  <c r="R516" i="15" s="1"/>
  <c r="B517" i="15"/>
  <c r="V517" i="15" s="1"/>
  <c r="AC515" i="15"/>
  <c r="E515" i="15"/>
  <c r="C515" i="15" s="1"/>
  <c r="D515" i="15"/>
  <c r="R514" i="15" s="1"/>
  <c r="B515" i="15"/>
  <c r="AC513" i="15"/>
  <c r="E513" i="15"/>
  <c r="C513" i="15" s="1"/>
  <c r="P513" i="15" s="1"/>
  <c r="D513" i="15"/>
  <c r="R512" i="15" s="1"/>
  <c r="B513" i="15"/>
  <c r="V513" i="15" s="1"/>
  <c r="AC511" i="15"/>
  <c r="E511" i="15"/>
  <c r="C511" i="15" s="1"/>
  <c r="D511" i="15"/>
  <c r="R510" i="15" s="1"/>
  <c r="B511" i="15"/>
  <c r="AC509" i="15"/>
  <c r="AB509" i="15"/>
  <c r="E509" i="15"/>
  <c r="C509" i="15" s="1"/>
  <c r="D509" i="15"/>
  <c r="R508" i="15" s="1"/>
  <c r="B509" i="15"/>
  <c r="AC507" i="15"/>
  <c r="AB507" i="15"/>
  <c r="E507" i="15"/>
  <c r="C507" i="15" s="1"/>
  <c r="D507" i="15"/>
  <c r="R506" i="15" s="1"/>
  <c r="B507" i="15"/>
  <c r="AC505" i="15"/>
  <c r="AB505" i="15"/>
  <c r="E505" i="15"/>
  <c r="C505" i="15" s="1"/>
  <c r="D505" i="15"/>
  <c r="R504" i="15" s="1"/>
  <c r="B505" i="15"/>
  <c r="AC503" i="15"/>
  <c r="AB503" i="15"/>
  <c r="E503" i="15"/>
  <c r="C503" i="15" s="1"/>
  <c r="D503" i="15"/>
  <c r="R502" i="15" s="1"/>
  <c r="B503" i="15"/>
  <c r="AC501" i="15"/>
  <c r="E501" i="15"/>
  <c r="C501" i="15" s="1"/>
  <c r="P501" i="15" s="1"/>
  <c r="D501" i="15"/>
  <c r="R500" i="15" s="1"/>
  <c r="B501" i="15"/>
  <c r="AA496" i="15"/>
  <c r="Z496" i="15"/>
  <c r="Y496" i="15"/>
  <c r="X496" i="15"/>
  <c r="W496" i="15"/>
  <c r="U496" i="15"/>
  <c r="AC483" i="15"/>
  <c r="AB483" i="15"/>
  <c r="B483" i="15"/>
  <c r="AC481" i="15"/>
  <c r="AB481" i="15"/>
  <c r="B481" i="15"/>
  <c r="AC479" i="15"/>
  <c r="AB479" i="15"/>
  <c r="B479" i="15"/>
  <c r="H479" i="15" s="1"/>
  <c r="AC477" i="15"/>
  <c r="AB477" i="15"/>
  <c r="B477" i="15"/>
  <c r="L477" i="15" s="1"/>
  <c r="AC475" i="15"/>
  <c r="B475" i="15"/>
  <c r="AA470" i="15"/>
  <c r="Z470" i="15"/>
  <c r="Y470" i="15"/>
  <c r="X470" i="15"/>
  <c r="W470" i="15"/>
  <c r="V470" i="15"/>
  <c r="U470" i="15"/>
  <c r="AC467" i="15"/>
  <c r="AB467" i="15"/>
  <c r="B467" i="15"/>
  <c r="AC465" i="15"/>
  <c r="AB465" i="15"/>
  <c r="B465" i="15"/>
  <c r="H465" i="15" s="1"/>
  <c r="AC463" i="15"/>
  <c r="AB463" i="15"/>
  <c r="B463" i="15"/>
  <c r="AC461" i="15"/>
  <c r="AB461" i="15"/>
  <c r="B461" i="15"/>
  <c r="AC459" i="15"/>
  <c r="B459" i="15"/>
  <c r="AA454" i="15"/>
  <c r="Z454" i="15"/>
  <c r="Y454" i="15"/>
  <c r="X454" i="15"/>
  <c r="W454" i="15"/>
  <c r="V454" i="15"/>
  <c r="U454" i="15"/>
  <c r="AC449" i="15"/>
  <c r="AB449" i="15"/>
  <c r="B449" i="15"/>
  <c r="AC447" i="15"/>
  <c r="AB447" i="15"/>
  <c r="B447" i="15"/>
  <c r="AC445" i="15"/>
  <c r="AB445" i="15"/>
  <c r="B445" i="15"/>
  <c r="AC443" i="15"/>
  <c r="AB443" i="15"/>
  <c r="B443" i="15"/>
  <c r="AC441" i="15"/>
  <c r="B441" i="15"/>
  <c r="AA436" i="15"/>
  <c r="Z436" i="15"/>
  <c r="Y436" i="15"/>
  <c r="X436" i="15"/>
  <c r="W436" i="15"/>
  <c r="V436" i="15"/>
  <c r="U436" i="15"/>
  <c r="T436" i="15"/>
  <c r="S436" i="15"/>
  <c r="AC412" i="15"/>
  <c r="AB412" i="15"/>
  <c r="D412" i="15"/>
  <c r="K411" i="15" s="1"/>
  <c r="K412" i="15" s="1"/>
  <c r="B412" i="15"/>
  <c r="AC410" i="15"/>
  <c r="AB410" i="15"/>
  <c r="D410" i="15"/>
  <c r="B410" i="15"/>
  <c r="AC408" i="15"/>
  <c r="AB408" i="15"/>
  <c r="D408" i="15"/>
  <c r="B408" i="15"/>
  <c r="AC406" i="15"/>
  <c r="AB406" i="15"/>
  <c r="D406" i="15"/>
  <c r="B406" i="15"/>
  <c r="AC404" i="15"/>
  <c r="AB404" i="15"/>
  <c r="M404" i="15"/>
  <c r="L404" i="15"/>
  <c r="K404" i="15"/>
  <c r="D404" i="15"/>
  <c r="B404" i="15"/>
  <c r="AC402" i="15"/>
  <c r="AB402" i="15"/>
  <c r="C402" i="15"/>
  <c r="D402" i="15" s="1"/>
  <c r="B402" i="15"/>
  <c r="AC400" i="15"/>
  <c r="AB400" i="15"/>
  <c r="C400" i="15"/>
  <c r="D400" i="15" s="1"/>
  <c r="K399" i="15" s="1"/>
  <c r="K400" i="15" s="1"/>
  <c r="B400" i="15"/>
  <c r="AC398" i="15"/>
  <c r="AB398" i="15"/>
  <c r="C398" i="15"/>
  <c r="D398" i="15" s="1"/>
  <c r="B398" i="15"/>
  <c r="J398" i="15" s="1"/>
  <c r="AC396" i="15"/>
  <c r="AB396" i="15"/>
  <c r="C396" i="15"/>
  <c r="D396" i="15" s="1"/>
  <c r="K395" i="15" s="1"/>
  <c r="K396" i="15" s="1"/>
  <c r="B396" i="15"/>
  <c r="J396" i="15" s="1"/>
  <c r="AC394" i="15"/>
  <c r="AB394" i="15"/>
  <c r="C394" i="15"/>
  <c r="D394" i="15" s="1"/>
  <c r="B394" i="15"/>
  <c r="AC392" i="15"/>
  <c r="AB392" i="15"/>
  <c r="C392" i="15"/>
  <c r="D392" i="15" s="1"/>
  <c r="B392" i="15"/>
  <c r="AC390" i="15"/>
  <c r="AB390" i="15"/>
  <c r="C390" i="15"/>
  <c r="D390" i="15" s="1"/>
  <c r="B390" i="15"/>
  <c r="J390" i="15" s="1"/>
  <c r="AC388" i="15"/>
  <c r="AB388" i="15"/>
  <c r="C388" i="15"/>
  <c r="D388" i="15" s="1"/>
  <c r="B388" i="15"/>
  <c r="AC386" i="15"/>
  <c r="AB386" i="15"/>
  <c r="C386" i="15"/>
  <c r="D386" i="15" s="1"/>
  <c r="B386" i="15"/>
  <c r="AC384" i="15"/>
  <c r="AB384" i="15"/>
  <c r="C384" i="15"/>
  <c r="D384" i="15" s="1"/>
  <c r="K383" i="15" s="1"/>
  <c r="K384" i="15" s="1"/>
  <c r="B384" i="15"/>
  <c r="AC382" i="15"/>
  <c r="AB382" i="15"/>
  <c r="C382" i="15"/>
  <c r="D382" i="15" s="1"/>
  <c r="K381" i="15" s="1"/>
  <c r="B382" i="15"/>
  <c r="AC380" i="15"/>
  <c r="AB380" i="15"/>
  <c r="C380" i="15"/>
  <c r="D380" i="15" s="1"/>
  <c r="B380" i="15"/>
  <c r="AC378" i="15"/>
  <c r="AB378" i="15"/>
  <c r="C378" i="15"/>
  <c r="D378" i="15" s="1"/>
  <c r="K377" i="15" s="1"/>
  <c r="K378" i="15" s="1"/>
  <c r="B378" i="15"/>
  <c r="AC376" i="15"/>
  <c r="AB376" i="15"/>
  <c r="C376" i="15"/>
  <c r="D376" i="15" s="1"/>
  <c r="K375" i="15" s="1"/>
  <c r="K376" i="15" s="1"/>
  <c r="B376" i="15"/>
  <c r="AC374" i="15"/>
  <c r="AB374" i="15"/>
  <c r="C374" i="15"/>
  <c r="D374" i="15" s="1"/>
  <c r="B374" i="15"/>
  <c r="AC372" i="15"/>
  <c r="AB372" i="15"/>
  <c r="C372" i="15"/>
  <c r="D372" i="15" s="1"/>
  <c r="B372" i="15"/>
  <c r="AC370" i="15"/>
  <c r="AB370" i="15"/>
  <c r="C370" i="15"/>
  <c r="D370" i="15" s="1"/>
  <c r="K369" i="15" s="1"/>
  <c r="B370" i="15"/>
  <c r="J370" i="15" s="1"/>
  <c r="AC368" i="15"/>
  <c r="AB368" i="15"/>
  <c r="C368" i="15"/>
  <c r="D368" i="15" s="1"/>
  <c r="B368" i="15"/>
  <c r="AC366" i="15"/>
  <c r="AB366" i="15"/>
  <c r="C366" i="15"/>
  <c r="D366" i="15" s="1"/>
  <c r="B366" i="15"/>
  <c r="AC364" i="15"/>
  <c r="AB364" i="15"/>
  <c r="C364" i="15"/>
  <c r="D364" i="15" s="1"/>
  <c r="B364" i="15"/>
  <c r="AC362" i="15"/>
  <c r="AB362" i="15"/>
  <c r="C362" i="15"/>
  <c r="D362" i="15" s="1"/>
  <c r="B362" i="15"/>
  <c r="AC360" i="15"/>
  <c r="AB360" i="15"/>
  <c r="C360" i="15"/>
  <c r="D360" i="15" s="1"/>
  <c r="B360" i="15"/>
  <c r="AC358" i="15"/>
  <c r="AB358" i="15"/>
  <c r="C358" i="15"/>
  <c r="D358" i="15" s="1"/>
  <c r="B358" i="15"/>
  <c r="AC356" i="15"/>
  <c r="AB356" i="15"/>
  <c r="C356" i="15"/>
  <c r="D356" i="15" s="1"/>
  <c r="B356" i="15"/>
  <c r="AC354" i="15"/>
  <c r="AB354" i="15"/>
  <c r="C354" i="15"/>
  <c r="D354" i="15" s="1"/>
  <c r="K353" i="15" s="1"/>
  <c r="K354" i="15" s="1"/>
  <c r="B354" i="15"/>
  <c r="AC352" i="15"/>
  <c r="AB352" i="15"/>
  <c r="C352" i="15"/>
  <c r="D352" i="15" s="1"/>
  <c r="K351" i="15" s="1"/>
  <c r="K352" i="15" s="1"/>
  <c r="B352" i="15"/>
  <c r="AC350" i="15"/>
  <c r="AB350" i="15"/>
  <c r="C350" i="15"/>
  <c r="D350" i="15" s="1"/>
  <c r="K349" i="15" s="1"/>
  <c r="L349" i="15" s="1"/>
  <c r="L350" i="15" s="1"/>
  <c r="B350" i="15"/>
  <c r="H350" i="15" s="1"/>
  <c r="AC348" i="15"/>
  <c r="AB348" i="15"/>
  <c r="C348" i="15"/>
  <c r="D348" i="15" s="1"/>
  <c r="K347" i="15" s="1"/>
  <c r="K348" i="15" s="1"/>
  <c r="B348" i="15"/>
  <c r="AC346" i="15"/>
  <c r="AB346" i="15"/>
  <c r="C346" i="15"/>
  <c r="D346" i="15" s="1"/>
  <c r="K345" i="15" s="1"/>
  <c r="K346" i="15" s="1"/>
  <c r="B346" i="15"/>
  <c r="AC344" i="15"/>
  <c r="AB344" i="15"/>
  <c r="C344" i="15"/>
  <c r="D344" i="15" s="1"/>
  <c r="K343" i="15" s="1"/>
  <c r="K344" i="15" s="1"/>
  <c r="B344" i="15"/>
  <c r="AC342" i="15"/>
  <c r="AB342" i="15"/>
  <c r="C342" i="15"/>
  <c r="D342" i="15" s="1"/>
  <c r="K341" i="15" s="1"/>
  <c r="K342" i="15" s="1"/>
  <c r="B342" i="15"/>
  <c r="AC340" i="15"/>
  <c r="AB340" i="15"/>
  <c r="C340" i="15"/>
  <c r="D340" i="15" s="1"/>
  <c r="B340" i="15"/>
  <c r="AC338" i="15"/>
  <c r="AB338" i="15"/>
  <c r="C338" i="15"/>
  <c r="D338" i="15" s="1"/>
  <c r="K337" i="15" s="1"/>
  <c r="K338" i="15" s="1"/>
  <c r="B338" i="15"/>
  <c r="AC336" i="15"/>
  <c r="AB336" i="15"/>
  <c r="C336" i="15"/>
  <c r="D336" i="15" s="1"/>
  <c r="K335" i="15" s="1"/>
  <c r="K336" i="15" s="1"/>
  <c r="B336" i="15"/>
  <c r="AC334" i="15"/>
  <c r="C334" i="15"/>
  <c r="D334" i="15" s="1"/>
  <c r="K333" i="15" s="1"/>
  <c r="K334" i="15" s="1"/>
  <c r="M418" i="15" s="1"/>
  <c r="N418" i="15" s="1"/>
  <c r="B334" i="15"/>
  <c r="AA329" i="15"/>
  <c r="Z329" i="15"/>
  <c r="Y329" i="15"/>
  <c r="X329" i="15"/>
  <c r="W329" i="15"/>
  <c r="V329" i="15"/>
  <c r="U329" i="15"/>
  <c r="V326" i="15"/>
  <c r="V325" i="15"/>
  <c r="V324" i="15"/>
  <c r="V323" i="15"/>
  <c r="V322" i="15"/>
  <c r="V321" i="15"/>
  <c r="V320" i="15"/>
  <c r="V319" i="15"/>
  <c r="V318" i="15"/>
  <c r="AC296" i="15"/>
  <c r="B296" i="15"/>
  <c r="AC294" i="15"/>
  <c r="B294" i="15"/>
  <c r="K294" i="15" s="1"/>
  <c r="N294" i="15" s="1"/>
  <c r="AC292" i="15"/>
  <c r="B292" i="15"/>
  <c r="H292" i="15" s="1"/>
  <c r="AC290" i="15"/>
  <c r="B290" i="15"/>
  <c r="AC288" i="15"/>
  <c r="B288" i="15"/>
  <c r="K288" i="15" s="1"/>
  <c r="N288" i="15" s="1"/>
  <c r="AC286" i="15"/>
  <c r="B286" i="15"/>
  <c r="AC284" i="15"/>
  <c r="B284" i="15"/>
  <c r="AC282" i="15"/>
  <c r="B282" i="15"/>
  <c r="J282" i="15" s="1"/>
  <c r="AC280" i="15"/>
  <c r="B280" i="15"/>
  <c r="J280" i="15" s="1"/>
  <c r="AC278" i="15"/>
  <c r="B278" i="15"/>
  <c r="K278" i="15" s="1"/>
  <c r="N278" i="15" s="1"/>
  <c r="AC276" i="15"/>
  <c r="B276" i="15"/>
  <c r="H276" i="15" s="1"/>
  <c r="AC274" i="15"/>
  <c r="B274" i="15"/>
  <c r="AC272" i="15"/>
  <c r="B272" i="15"/>
  <c r="AC270" i="15"/>
  <c r="B270" i="15"/>
  <c r="J270" i="15" s="1"/>
  <c r="AC268" i="15"/>
  <c r="B268" i="15"/>
  <c r="AC266" i="15"/>
  <c r="B266" i="15"/>
  <c r="AC264" i="15"/>
  <c r="B264" i="15"/>
  <c r="J264" i="15" s="1"/>
  <c r="AC262" i="15"/>
  <c r="B262" i="15"/>
  <c r="K262" i="15" s="1"/>
  <c r="N262" i="15" s="1"/>
  <c r="AC260" i="15"/>
  <c r="B260" i="15"/>
  <c r="AC258" i="15"/>
  <c r="B258" i="15"/>
  <c r="AC256" i="15"/>
  <c r="B256" i="15"/>
  <c r="AC254" i="15"/>
  <c r="B254" i="15"/>
  <c r="AC252" i="15"/>
  <c r="B252" i="15"/>
  <c r="AC250" i="15"/>
  <c r="B250" i="15"/>
  <c r="H250" i="15" s="1"/>
  <c r="AC248" i="15"/>
  <c r="B248" i="15"/>
  <c r="J248" i="15" s="1"/>
  <c r="AC246" i="15"/>
  <c r="B246" i="15"/>
  <c r="K246" i="15" s="1"/>
  <c r="N246" i="15" s="1"/>
  <c r="AC244" i="15"/>
  <c r="B244" i="15"/>
  <c r="H244" i="15" s="1"/>
  <c r="AC242" i="15"/>
  <c r="B242" i="15"/>
  <c r="AC240" i="15"/>
  <c r="B240" i="15"/>
  <c r="AC238" i="15"/>
  <c r="B238" i="15"/>
  <c r="AC236" i="15"/>
  <c r="B236" i="15"/>
  <c r="AC234" i="15"/>
  <c r="B234" i="15"/>
  <c r="AC232" i="15"/>
  <c r="B232" i="15"/>
  <c r="AC230" i="15"/>
  <c r="B230" i="15"/>
  <c r="K230" i="15" s="1"/>
  <c r="N230" i="15" s="1"/>
  <c r="AC228" i="15"/>
  <c r="B228" i="15"/>
  <c r="AC226" i="15"/>
  <c r="B226" i="15"/>
  <c r="AC224" i="15"/>
  <c r="B224" i="15"/>
  <c r="AC222" i="15"/>
  <c r="B222" i="15"/>
  <c r="AC220" i="15"/>
  <c r="B220" i="15"/>
  <c r="AC218" i="15"/>
  <c r="B218" i="15"/>
  <c r="AA213" i="15"/>
  <c r="Z213" i="15"/>
  <c r="Y213" i="15"/>
  <c r="X213" i="15"/>
  <c r="W213" i="15"/>
  <c r="V213" i="15"/>
  <c r="U213" i="15"/>
  <c r="V210" i="15"/>
  <c r="B179" i="15"/>
  <c r="B177" i="15"/>
  <c r="B175" i="15"/>
  <c r="B173" i="15"/>
  <c r="B171" i="15"/>
  <c r="B169" i="15"/>
  <c r="B167" i="15"/>
  <c r="B165" i="15"/>
  <c r="B163" i="15"/>
  <c r="B161" i="15"/>
  <c r="B159" i="15"/>
  <c r="B157" i="15"/>
  <c r="L157" i="15" s="1"/>
  <c r="B155" i="15"/>
  <c r="B153" i="15"/>
  <c r="B151" i="15"/>
  <c r="AC149" i="15"/>
  <c r="B149" i="15"/>
  <c r="AC147" i="15"/>
  <c r="B147" i="15"/>
  <c r="AC145" i="15"/>
  <c r="B145" i="15"/>
  <c r="AC143" i="15"/>
  <c r="B143" i="15"/>
  <c r="AC141" i="15"/>
  <c r="B141" i="15"/>
  <c r="AC139" i="15"/>
  <c r="B139" i="15"/>
  <c r="AC137" i="15"/>
  <c r="B137" i="15"/>
  <c r="AC135" i="15"/>
  <c r="B135" i="15"/>
  <c r="AC133" i="15"/>
  <c r="B133" i="15"/>
  <c r="AC131" i="15"/>
  <c r="B131" i="15"/>
  <c r="AC129" i="15"/>
  <c r="B129" i="15"/>
  <c r="AC127" i="15"/>
  <c r="B127" i="15"/>
  <c r="AC125" i="15"/>
  <c r="B125" i="15"/>
  <c r="AC123" i="15"/>
  <c r="B123" i="15"/>
  <c r="AC121" i="15"/>
  <c r="B121" i="15"/>
  <c r="AC119" i="15"/>
  <c r="B119" i="15"/>
  <c r="AC117" i="15"/>
  <c r="B117" i="15"/>
  <c r="AC115" i="15"/>
  <c r="B115" i="15"/>
  <c r="AC113" i="15"/>
  <c r="B113" i="15"/>
  <c r="AC111" i="15"/>
  <c r="AC109" i="15"/>
  <c r="B109" i="15"/>
  <c r="AC107" i="15"/>
  <c r="B107" i="15"/>
  <c r="AC105" i="15"/>
  <c r="B105" i="15"/>
  <c r="AC103" i="15"/>
  <c r="B103" i="15"/>
  <c r="AC101" i="15"/>
  <c r="B101" i="15"/>
  <c r="AA96" i="15"/>
  <c r="Z96" i="15"/>
  <c r="Y96" i="15"/>
  <c r="X96" i="15"/>
  <c r="W96" i="15"/>
  <c r="V96" i="15"/>
  <c r="U96" i="15"/>
  <c r="V93" i="15"/>
  <c r="V92" i="15"/>
  <c r="V91" i="15"/>
  <c r="V90" i="15"/>
  <c r="V89" i="15"/>
  <c r="V88" i="15"/>
  <c r="V87" i="15"/>
  <c r="V86" i="15"/>
  <c r="AC83" i="15"/>
  <c r="AB83" i="15"/>
  <c r="B83" i="15"/>
  <c r="AC81" i="15"/>
  <c r="AB81" i="15"/>
  <c r="B81" i="15"/>
  <c r="AC79" i="15"/>
  <c r="B79" i="15"/>
  <c r="AC77" i="15"/>
  <c r="B77" i="15"/>
  <c r="AA72" i="15"/>
  <c r="Z72" i="15"/>
  <c r="Y72" i="15"/>
  <c r="X72" i="15"/>
  <c r="W72" i="15"/>
  <c r="V72" i="15"/>
  <c r="U72" i="15"/>
  <c r="T72" i="15"/>
  <c r="S72" i="15"/>
  <c r="AC69" i="15"/>
  <c r="AB69" i="15"/>
  <c r="B69" i="15"/>
  <c r="AC67" i="15"/>
  <c r="AB67" i="15"/>
  <c r="B67" i="15"/>
  <c r="AC65" i="15"/>
  <c r="B65" i="15"/>
  <c r="AC63" i="15"/>
  <c r="B63" i="15"/>
  <c r="AA58" i="15"/>
  <c r="Z58" i="15"/>
  <c r="Y58" i="15"/>
  <c r="X58" i="15"/>
  <c r="W58" i="15"/>
  <c r="V58" i="15"/>
  <c r="U58" i="15"/>
  <c r="T58" i="15"/>
  <c r="S58" i="15"/>
  <c r="AC53" i="15"/>
  <c r="AB53" i="15"/>
  <c r="B53" i="15"/>
  <c r="AC51" i="15"/>
  <c r="AB51" i="15"/>
  <c r="B51" i="15"/>
  <c r="AC49" i="15"/>
  <c r="B49" i="15"/>
  <c r="AC47" i="15"/>
  <c r="B47" i="15"/>
  <c r="AA42" i="15"/>
  <c r="Z42" i="15"/>
  <c r="Y42" i="15"/>
  <c r="X42" i="15"/>
  <c r="W42" i="15"/>
  <c r="U42" i="15"/>
  <c r="T42" i="15"/>
  <c r="S42" i="15"/>
  <c r="Z32" i="15"/>
  <c r="M32" i="15"/>
  <c r="Z14" i="15"/>
  <c r="Z13" i="15"/>
  <c r="Z12" i="15"/>
  <c r="Z11" i="15"/>
  <c r="Z10" i="15"/>
  <c r="Z9" i="15"/>
  <c r="Z8" i="15"/>
  <c r="Z6" i="15"/>
  <c r="Z5" i="15"/>
  <c r="Z4" i="15"/>
  <c r="M4" i="15"/>
  <c r="S213" i="15" s="1"/>
  <c r="Z3" i="15"/>
  <c r="U1291" i="15" l="1"/>
  <c r="U1285" i="15"/>
  <c r="U1287" i="15"/>
  <c r="U1289" i="15"/>
  <c r="U1283" i="15"/>
  <c r="U1176" i="15"/>
  <c r="U1184" i="15"/>
  <c r="U1178" i="15"/>
  <c r="U1182" i="15"/>
  <c r="U1180" i="15"/>
  <c r="U1051" i="15"/>
  <c r="U1057" i="15"/>
  <c r="U1053" i="15"/>
  <c r="U1055" i="15"/>
  <c r="U1059" i="15"/>
  <c r="AA935" i="15"/>
  <c r="AA937" i="15"/>
  <c r="AA941" i="15"/>
  <c r="AA939" i="15"/>
  <c r="AA943" i="15"/>
  <c r="U937" i="15"/>
  <c r="U943" i="15"/>
  <c r="U935" i="15"/>
  <c r="U941" i="15"/>
  <c r="U939" i="15"/>
  <c r="Z937" i="15"/>
  <c r="Z935" i="15"/>
  <c r="Z939" i="15"/>
  <c r="Z943" i="15"/>
  <c r="Z941" i="15"/>
  <c r="X939" i="15"/>
  <c r="X943" i="15"/>
  <c r="X941" i="15"/>
  <c r="X937" i="15"/>
  <c r="X935" i="15"/>
  <c r="Y939" i="15"/>
  <c r="Y941" i="15"/>
  <c r="Y943" i="15"/>
  <c r="Y937" i="15"/>
  <c r="Y935" i="15"/>
  <c r="Z819" i="15"/>
  <c r="Z823" i="15"/>
  <c r="Z821" i="15"/>
  <c r="Z827" i="15"/>
  <c r="Z825" i="15"/>
  <c r="U821" i="15"/>
  <c r="U823" i="15"/>
  <c r="U827" i="15"/>
  <c r="U819" i="15"/>
  <c r="U825" i="15"/>
  <c r="X825" i="15"/>
  <c r="X821" i="15"/>
  <c r="X823" i="15"/>
  <c r="X827" i="15"/>
  <c r="X819" i="15"/>
  <c r="AA821" i="15"/>
  <c r="AA825" i="15"/>
  <c r="AA823" i="15"/>
  <c r="AA819" i="15"/>
  <c r="AA827" i="15"/>
  <c r="W827" i="15"/>
  <c r="W825" i="15"/>
  <c r="W819" i="15"/>
  <c r="W823" i="15"/>
  <c r="W821" i="15"/>
  <c r="Y827" i="15"/>
  <c r="Y823" i="15"/>
  <c r="Y819" i="15"/>
  <c r="Y821" i="15"/>
  <c r="Y825" i="15"/>
  <c r="AA707" i="15"/>
  <c r="AA709" i="15"/>
  <c r="AA711" i="15"/>
  <c r="AA713" i="15"/>
  <c r="AA705" i="15"/>
  <c r="Z711" i="15"/>
  <c r="Z707" i="15"/>
  <c r="Z709" i="15"/>
  <c r="Z705" i="15"/>
  <c r="Z713" i="15"/>
  <c r="AB705" i="15"/>
  <c r="AB709" i="15"/>
  <c r="U705" i="15"/>
  <c r="AB713" i="15"/>
  <c r="AB707" i="15"/>
  <c r="AB711" i="15"/>
  <c r="U713" i="15"/>
  <c r="U707" i="15"/>
  <c r="U709" i="15"/>
  <c r="U711" i="15"/>
  <c r="Y707" i="15"/>
  <c r="Y711" i="15"/>
  <c r="Y705" i="15"/>
  <c r="Y709" i="15"/>
  <c r="Y713" i="15"/>
  <c r="W705" i="15"/>
  <c r="W713" i="15"/>
  <c r="W707" i="15"/>
  <c r="W711" i="15"/>
  <c r="W709" i="15"/>
  <c r="X705" i="15"/>
  <c r="X707" i="15"/>
  <c r="X709" i="15"/>
  <c r="X713" i="15"/>
  <c r="X711" i="15"/>
  <c r="U591" i="15"/>
  <c r="U593" i="15"/>
  <c r="U595" i="15"/>
  <c r="U597" i="15"/>
  <c r="U599" i="15"/>
  <c r="AB599" i="15"/>
  <c r="AB597" i="15"/>
  <c r="AB595" i="15"/>
  <c r="AB593" i="15"/>
  <c r="AB591" i="15"/>
  <c r="X595" i="15"/>
  <c r="X599" i="15"/>
  <c r="X591" i="15"/>
  <c r="X597" i="15"/>
  <c r="X593" i="15"/>
  <c r="Y593" i="15"/>
  <c r="Y595" i="15"/>
  <c r="Y591" i="15"/>
  <c r="Y597" i="15"/>
  <c r="Y599" i="15"/>
  <c r="Z593" i="15"/>
  <c r="Z591" i="15"/>
  <c r="Z597" i="15"/>
  <c r="Z595" i="15"/>
  <c r="Z599" i="15"/>
  <c r="W591" i="15"/>
  <c r="W597" i="15"/>
  <c r="W593" i="15"/>
  <c r="W595" i="15"/>
  <c r="W599" i="15"/>
  <c r="AA593" i="15"/>
  <c r="AA591" i="15"/>
  <c r="AA595" i="15"/>
  <c r="AA597" i="15"/>
  <c r="AA599" i="15"/>
  <c r="W430" i="15"/>
  <c r="W432" i="15"/>
  <c r="W424" i="15"/>
  <c r="W428" i="15"/>
  <c r="W426" i="15"/>
  <c r="X430" i="15"/>
  <c r="X426" i="15"/>
  <c r="X424" i="15"/>
  <c r="X432" i="15"/>
  <c r="X428" i="15"/>
  <c r="Z432" i="15"/>
  <c r="Z426" i="15"/>
  <c r="Z424" i="15"/>
  <c r="Z428" i="15"/>
  <c r="Z430" i="15"/>
  <c r="AA424" i="15"/>
  <c r="AA432" i="15"/>
  <c r="AA428" i="15"/>
  <c r="AA426" i="15"/>
  <c r="AA430" i="15"/>
  <c r="U424" i="15"/>
  <c r="U426" i="15"/>
  <c r="U432" i="15"/>
  <c r="U430" i="15"/>
  <c r="U428" i="15"/>
  <c r="Y428" i="15"/>
  <c r="Y432" i="15"/>
  <c r="Y430" i="15"/>
  <c r="Y424" i="15"/>
  <c r="Y426" i="15"/>
  <c r="M387" i="15"/>
  <c r="M388" i="15" s="1"/>
  <c r="K387" i="15"/>
  <c r="L387" i="15" s="1"/>
  <c r="L388" i="15" s="1"/>
  <c r="AB314" i="15"/>
  <c r="AB312" i="15"/>
  <c r="AB310" i="15"/>
  <c r="AB316" i="15"/>
  <c r="AB308" i="15"/>
  <c r="U308" i="15"/>
  <c r="U316" i="15"/>
  <c r="U312" i="15"/>
  <c r="U310" i="15"/>
  <c r="U314" i="15"/>
  <c r="X312" i="15"/>
  <c r="X308" i="15"/>
  <c r="X314" i="15"/>
  <c r="X316" i="15"/>
  <c r="X310" i="15"/>
  <c r="W314" i="15"/>
  <c r="W310" i="15"/>
  <c r="W316" i="15"/>
  <c r="W308" i="15"/>
  <c r="W312" i="15"/>
  <c r="Y308" i="15"/>
  <c r="Y310" i="15"/>
  <c r="Y314" i="15"/>
  <c r="Y312" i="15"/>
  <c r="Y316" i="15"/>
  <c r="S314" i="15"/>
  <c r="S308" i="15"/>
  <c r="S312" i="15"/>
  <c r="S310" i="15"/>
  <c r="S316" i="15"/>
  <c r="Z316" i="15"/>
  <c r="Z308" i="15"/>
  <c r="Z314" i="15"/>
  <c r="Z312" i="15"/>
  <c r="Z310" i="15"/>
  <c r="AA312" i="15"/>
  <c r="AA310" i="15"/>
  <c r="AA314" i="15"/>
  <c r="AA308" i="15"/>
  <c r="AA316" i="15"/>
  <c r="X195" i="15"/>
  <c r="X197" i="15"/>
  <c r="X199" i="15"/>
  <c r="X191" i="15"/>
  <c r="X193" i="15"/>
  <c r="Y191" i="15"/>
  <c r="Y193" i="15"/>
  <c r="Y195" i="15"/>
  <c r="Y197" i="15"/>
  <c r="Y199" i="15"/>
  <c r="Z193" i="15"/>
  <c r="Z199" i="15"/>
  <c r="Z195" i="15"/>
  <c r="Z191" i="15"/>
  <c r="Z197" i="15"/>
  <c r="U195" i="15"/>
  <c r="U197" i="15"/>
  <c r="U199" i="15"/>
  <c r="U191" i="15"/>
  <c r="U193" i="15"/>
  <c r="AA197" i="15"/>
  <c r="AA199" i="15"/>
  <c r="AA193" i="15"/>
  <c r="AA195" i="15"/>
  <c r="AA191" i="15"/>
  <c r="W224" i="15"/>
  <c r="AA925" i="15"/>
  <c r="AA929" i="15"/>
  <c r="AA931" i="15"/>
  <c r="AA933" i="15"/>
  <c r="AA927" i="15"/>
  <c r="U933" i="15"/>
  <c r="U929" i="15"/>
  <c r="U931" i="15"/>
  <c r="U925" i="15"/>
  <c r="U927" i="15"/>
  <c r="X956" i="15"/>
  <c r="X1033" i="15" s="1"/>
  <c r="X931" i="15"/>
  <c r="X927" i="15"/>
  <c r="X929" i="15"/>
  <c r="X933" i="15"/>
  <c r="X925" i="15"/>
  <c r="Y933" i="15"/>
  <c r="Y925" i="15"/>
  <c r="Y927" i="15"/>
  <c r="Y929" i="15"/>
  <c r="Y931" i="15"/>
  <c r="Z931" i="15"/>
  <c r="Z929" i="15"/>
  <c r="Z927" i="15"/>
  <c r="Z925" i="15"/>
  <c r="Z933" i="15"/>
  <c r="T441" i="15"/>
  <c r="U189" i="15"/>
  <c r="U181" i="15"/>
  <c r="U183" i="15"/>
  <c r="U187" i="15"/>
  <c r="U185" i="15"/>
  <c r="Z183" i="15"/>
  <c r="Z189" i="15"/>
  <c r="Z185" i="15"/>
  <c r="Z181" i="15"/>
  <c r="Z187" i="15"/>
  <c r="AA183" i="15"/>
  <c r="AA185" i="15"/>
  <c r="AA189" i="15"/>
  <c r="AA181" i="15"/>
  <c r="AA187" i="15"/>
  <c r="X183" i="15"/>
  <c r="X185" i="15"/>
  <c r="X187" i="15"/>
  <c r="X181" i="15"/>
  <c r="X189" i="15"/>
  <c r="Y181" i="15"/>
  <c r="Y185" i="15"/>
  <c r="Y187" i="15"/>
  <c r="Y189" i="15"/>
  <c r="Y183" i="15"/>
  <c r="Y300" i="15"/>
  <c r="Y304" i="15"/>
  <c r="Y302" i="15"/>
  <c r="Y306" i="15"/>
  <c r="Y298" i="15"/>
  <c r="Z300" i="15"/>
  <c r="Z304" i="15"/>
  <c r="Z302" i="15"/>
  <c r="Z306" i="15"/>
  <c r="Z298" i="15"/>
  <c r="AA300" i="15"/>
  <c r="AA302" i="15"/>
  <c r="AA306" i="15"/>
  <c r="AA298" i="15"/>
  <c r="AA304" i="15"/>
  <c r="AB298" i="15"/>
  <c r="AB304" i="15"/>
  <c r="AB300" i="15"/>
  <c r="AB302" i="15"/>
  <c r="AB306" i="15"/>
  <c r="U300" i="15"/>
  <c r="U304" i="15"/>
  <c r="U298" i="15"/>
  <c r="U306" i="15"/>
  <c r="U302" i="15"/>
  <c r="S300" i="15"/>
  <c r="S306" i="15"/>
  <c r="S302" i="15"/>
  <c r="S298" i="15"/>
  <c r="S304" i="15"/>
  <c r="W300" i="15"/>
  <c r="W304" i="15"/>
  <c r="W298" i="15"/>
  <c r="W302" i="15"/>
  <c r="W306" i="15"/>
  <c r="X300" i="15"/>
  <c r="X302" i="15"/>
  <c r="X306" i="15"/>
  <c r="X304" i="15"/>
  <c r="X298" i="15"/>
  <c r="Z420" i="15"/>
  <c r="Z418" i="15"/>
  <c r="Z422" i="15"/>
  <c r="Z414" i="15"/>
  <c r="Z416" i="15"/>
  <c r="AA414" i="15"/>
  <c r="AA422" i="15"/>
  <c r="AA418" i="15"/>
  <c r="AA420" i="15"/>
  <c r="AA416" i="15"/>
  <c r="X422" i="15"/>
  <c r="X420" i="15"/>
  <c r="X416" i="15"/>
  <c r="X418" i="15"/>
  <c r="X414" i="15"/>
  <c r="Y418" i="15"/>
  <c r="Y414" i="15"/>
  <c r="Y420" i="15"/>
  <c r="Y422" i="15"/>
  <c r="Y416" i="15"/>
  <c r="U420" i="15"/>
  <c r="U418" i="15"/>
  <c r="U422" i="15"/>
  <c r="U416" i="15"/>
  <c r="U414" i="15"/>
  <c r="W414" i="15"/>
  <c r="W416" i="15"/>
  <c r="W418" i="15"/>
  <c r="W420" i="15"/>
  <c r="W422" i="15"/>
  <c r="Z581" i="15"/>
  <c r="Z589" i="15"/>
  <c r="Z585" i="15"/>
  <c r="Z587" i="15"/>
  <c r="Z583" i="15"/>
  <c r="AA581" i="15"/>
  <c r="AA583" i="15"/>
  <c r="AA585" i="15"/>
  <c r="AA587" i="15"/>
  <c r="AA589" i="15"/>
  <c r="AB585" i="15"/>
  <c r="AB587" i="15"/>
  <c r="AB589" i="15"/>
  <c r="AB583" i="15"/>
  <c r="AB581" i="15"/>
  <c r="U589" i="15"/>
  <c r="U583" i="15"/>
  <c r="U585" i="15"/>
  <c r="U587" i="15"/>
  <c r="U581" i="15"/>
  <c r="X577" i="15"/>
  <c r="X583" i="15"/>
  <c r="X587" i="15"/>
  <c r="X589" i="15"/>
  <c r="X585" i="15"/>
  <c r="X581" i="15"/>
  <c r="Y583" i="15"/>
  <c r="Y587" i="15"/>
  <c r="Y581" i="15"/>
  <c r="Y585" i="15"/>
  <c r="Y589" i="15"/>
  <c r="W583" i="15"/>
  <c r="W587" i="15"/>
  <c r="W589" i="15"/>
  <c r="W581" i="15"/>
  <c r="W585" i="15"/>
  <c r="W703" i="15"/>
  <c r="W699" i="15"/>
  <c r="W701" i="15"/>
  <c r="W695" i="15"/>
  <c r="W697" i="15"/>
  <c r="X697" i="15"/>
  <c r="X703" i="15"/>
  <c r="X699" i="15"/>
  <c r="X695" i="15"/>
  <c r="X701" i="15"/>
  <c r="Y695" i="15"/>
  <c r="Y697" i="15"/>
  <c r="Y703" i="15"/>
  <c r="Y701" i="15"/>
  <c r="Y699" i="15"/>
  <c r="AB701" i="15"/>
  <c r="AB697" i="15"/>
  <c r="AB703" i="15"/>
  <c r="AB699" i="15"/>
  <c r="AB695" i="15"/>
  <c r="U695" i="15"/>
  <c r="U697" i="15"/>
  <c r="U701" i="15"/>
  <c r="U703" i="15"/>
  <c r="U699" i="15"/>
  <c r="Z703" i="15"/>
  <c r="Z695" i="15"/>
  <c r="Z701" i="15"/>
  <c r="Z697" i="15"/>
  <c r="Z699" i="15"/>
  <c r="AA703" i="15"/>
  <c r="AA699" i="15"/>
  <c r="AA697" i="15"/>
  <c r="AA695" i="15"/>
  <c r="AA701" i="15"/>
  <c r="Y811" i="15"/>
  <c r="Y817" i="15"/>
  <c r="Y809" i="15"/>
  <c r="Y813" i="15"/>
  <c r="Y815" i="15"/>
  <c r="W817" i="15"/>
  <c r="W811" i="15"/>
  <c r="W809" i="15"/>
  <c r="W813" i="15"/>
  <c r="W815" i="15"/>
  <c r="Z811" i="15"/>
  <c r="Z809" i="15"/>
  <c r="Z813" i="15"/>
  <c r="Z817" i="15"/>
  <c r="Z815" i="15"/>
  <c r="AA815" i="15"/>
  <c r="AA809" i="15"/>
  <c r="AA811" i="15"/>
  <c r="AA817" i="15"/>
  <c r="AA813" i="15"/>
  <c r="X809" i="15"/>
  <c r="X815" i="15"/>
  <c r="X813" i="15"/>
  <c r="X817" i="15"/>
  <c r="X811" i="15"/>
  <c r="U811" i="15"/>
  <c r="U817" i="15"/>
  <c r="U815" i="15"/>
  <c r="U809" i="15"/>
  <c r="U813" i="15"/>
  <c r="U1043" i="15"/>
  <c r="U1049" i="15"/>
  <c r="U1041" i="15"/>
  <c r="U1045" i="15"/>
  <c r="U1047" i="15"/>
  <c r="V961" i="15"/>
  <c r="U1166" i="15"/>
  <c r="U1170" i="15"/>
  <c r="U1172" i="15"/>
  <c r="U1174" i="15"/>
  <c r="U1168" i="15"/>
  <c r="U1275" i="15"/>
  <c r="U1277" i="15"/>
  <c r="U1279" i="15"/>
  <c r="U1281" i="15"/>
  <c r="U1273" i="15"/>
  <c r="V741" i="15"/>
  <c r="V969" i="15"/>
  <c r="V1164" i="15"/>
  <c r="W260" i="15"/>
  <c r="W621" i="15"/>
  <c r="U242" i="15"/>
  <c r="U258" i="15"/>
  <c r="U274" i="15"/>
  <c r="U290" i="15"/>
  <c r="U459" i="15"/>
  <c r="S96" i="15"/>
  <c r="U103" i="15"/>
  <c r="U111" i="15"/>
  <c r="U119" i="15"/>
  <c r="U127" i="15"/>
  <c r="U135" i="15"/>
  <c r="U143" i="15"/>
  <c r="U151" i="15"/>
  <c r="Z222" i="15"/>
  <c r="Z238" i="15"/>
  <c r="AB441" i="15"/>
  <c r="U509" i="15"/>
  <c r="Y107" i="15"/>
  <c r="Y115" i="15"/>
  <c r="Y123" i="15"/>
  <c r="Y131" i="15"/>
  <c r="AB109" i="15"/>
  <c r="W342" i="15"/>
  <c r="Y354" i="15"/>
  <c r="Y358" i="15"/>
  <c r="Y362" i="15"/>
  <c r="W378" i="15"/>
  <c r="W382" i="15"/>
  <c r="Y845" i="15"/>
  <c r="Z234" i="15"/>
  <c r="AB72" i="15"/>
  <c r="U153" i="15"/>
  <c r="U169" i="15"/>
  <c r="W527" i="15"/>
  <c r="W637" i="15"/>
  <c r="W653" i="15"/>
  <c r="V1092" i="15"/>
  <c r="AB691" i="15"/>
  <c r="V840" i="15"/>
  <c r="V853" i="15" s="1"/>
  <c r="W505" i="15"/>
  <c r="U753" i="15"/>
  <c r="Y871" i="15"/>
  <c r="Z887" i="15"/>
  <c r="U1013" i="15"/>
  <c r="U1029" i="15"/>
  <c r="AB63" i="15"/>
  <c r="Z336" i="15"/>
  <c r="Z340" i="15"/>
  <c r="W368" i="15"/>
  <c r="W392" i="15"/>
  <c r="U441" i="15"/>
  <c r="V807" i="15"/>
  <c r="V861" i="15"/>
  <c r="Z53" i="15"/>
  <c r="W67" i="15"/>
  <c r="AB107" i="15"/>
  <c r="W443" i="15"/>
  <c r="W521" i="15"/>
  <c r="W553" i="15"/>
  <c r="X619" i="15"/>
  <c r="X635" i="15"/>
  <c r="W671" i="15"/>
  <c r="W675" i="15"/>
  <c r="W691" i="15"/>
  <c r="X769" i="15"/>
  <c r="Z793" i="15"/>
  <c r="V623" i="15"/>
  <c r="V507" i="15"/>
  <c r="AB547" i="15" s="1"/>
  <c r="V501" i="15"/>
  <c r="AB533" i="15" s="1"/>
  <c r="V615" i="15"/>
  <c r="AB653" i="15" s="1"/>
  <c r="V773" i="15"/>
  <c r="U1134" i="15"/>
  <c r="V477" i="15"/>
  <c r="X398" i="15"/>
  <c r="V915" i="15"/>
  <c r="V1220" i="15"/>
  <c r="V867" i="15"/>
  <c r="V883" i="15"/>
  <c r="V641" i="15"/>
  <c r="V1116" i="15"/>
  <c r="V1128" i="15"/>
  <c r="V376" i="15"/>
  <c r="V380" i="15"/>
  <c r="V523" i="15"/>
  <c r="V240" i="15"/>
  <c r="V256" i="15"/>
  <c r="V272" i="15"/>
  <c r="V1106" i="15"/>
  <c r="V1118" i="15"/>
  <c r="V1122" i="15"/>
  <c r="V569" i="15"/>
  <c r="V749" i="15"/>
  <c r="V757" i="15"/>
  <c r="V765" i="15"/>
  <c r="V911" i="15"/>
  <c r="V985" i="15"/>
  <c r="V1009" i="15"/>
  <c r="V1029" i="15"/>
  <c r="V743" i="15"/>
  <c r="AA571" i="15"/>
  <c r="AA47" i="15"/>
  <c r="V529" i="15"/>
  <c r="C735" i="15"/>
  <c r="K734" i="15" s="1"/>
  <c r="L735" i="15" s="1"/>
  <c r="V149" i="15"/>
  <c r="AB187" i="15" s="1"/>
  <c r="AA679" i="15"/>
  <c r="AA853" i="15"/>
  <c r="AA857" i="15"/>
  <c r="AA901" i="15"/>
  <c r="AB501" i="15"/>
  <c r="AA737" i="15"/>
  <c r="AA793" i="15"/>
  <c r="AA801" i="15"/>
  <c r="AA773" i="15"/>
  <c r="AA781" i="15"/>
  <c r="AA805" i="15"/>
  <c r="AA481" i="15"/>
  <c r="AA346" i="15"/>
  <c r="AA334" i="15"/>
  <c r="AA105" i="15"/>
  <c r="AA113" i="15"/>
  <c r="AA121" i="15"/>
  <c r="AA129" i="15"/>
  <c r="AA137" i="15"/>
  <c r="AA145" i="15"/>
  <c r="AA228" i="15"/>
  <c r="AA410" i="15"/>
  <c r="AA461" i="15"/>
  <c r="AA445" i="15"/>
  <c r="AA63" i="15"/>
  <c r="Z633" i="15"/>
  <c r="Z649" i="15"/>
  <c r="Z685" i="15"/>
  <c r="Z923" i="15"/>
  <c r="Z515" i="15"/>
  <c r="Z344" i="15"/>
  <c r="Z372" i="15"/>
  <c r="Z65" i="15"/>
  <c r="Y657" i="15"/>
  <c r="Y677" i="15"/>
  <c r="Y541" i="15"/>
  <c r="Y545" i="15"/>
  <c r="Y356" i="15"/>
  <c r="Y360" i="15"/>
  <c r="Y404" i="15"/>
  <c r="Y139" i="15"/>
  <c r="Y147" i="15"/>
  <c r="Y412" i="15"/>
  <c r="Y366" i="15"/>
  <c r="Y81" i="15"/>
  <c r="AB58" i="15"/>
  <c r="AB79" i="15"/>
  <c r="X643" i="15"/>
  <c r="X651" i="15"/>
  <c r="X667" i="15"/>
  <c r="X683" i="15"/>
  <c r="X629" i="15"/>
  <c r="X645" i="15"/>
  <c r="X847" i="15"/>
  <c r="X865" i="15"/>
  <c r="X881" i="15"/>
  <c r="X743" i="15"/>
  <c r="X751" i="15"/>
  <c r="X759" i="15"/>
  <c r="X791" i="15"/>
  <c r="X807" i="15"/>
  <c r="X503" i="15"/>
  <c r="X557" i="15"/>
  <c r="X565" i="15"/>
  <c r="X895" i="15"/>
  <c r="X859" i="15"/>
  <c r="X889" i="15"/>
  <c r="X747" i="15"/>
  <c r="X849" i="15"/>
  <c r="X519" i="15"/>
  <c r="X535" i="15"/>
  <c r="X394" i="15"/>
  <c r="X218" i="15"/>
  <c r="X226" i="15"/>
  <c r="X286" i="15"/>
  <c r="AB334" i="15"/>
  <c r="X252" i="15"/>
  <c r="X268" i="15"/>
  <c r="X284" i="15"/>
  <c r="AB42" i="15"/>
  <c r="U967" i="15"/>
  <c r="U897" i="15"/>
  <c r="U1228" i="15"/>
  <c r="U869" i="15"/>
  <c r="U999" i="15"/>
  <c r="U1023" i="15"/>
  <c r="U1001" i="15"/>
  <c r="U1256" i="15"/>
  <c r="AB575" i="15"/>
  <c r="U525" i="15"/>
  <c r="U537" i="15"/>
  <c r="U775" i="15"/>
  <c r="U799" i="15"/>
  <c r="AB496" i="15"/>
  <c r="AB486" i="15" s="1"/>
  <c r="AB517" i="15"/>
  <c r="AB553" i="15"/>
  <c r="U731" i="15"/>
  <c r="U571" i="15"/>
  <c r="U739" i="15"/>
  <c r="U787" i="15"/>
  <c r="U795" i="15"/>
  <c r="U155" i="15"/>
  <c r="U171" i="15"/>
  <c r="U348" i="15"/>
  <c r="U467" i="15"/>
  <c r="U159" i="15"/>
  <c r="U175" i="15"/>
  <c r="U254" i="15"/>
  <c r="U161" i="15"/>
  <c r="U177" i="15"/>
  <c r="U109" i="15"/>
  <c r="U117" i="15"/>
  <c r="U125" i="15"/>
  <c r="U163" i="15"/>
  <c r="U296" i="15"/>
  <c r="U165" i="15"/>
  <c r="AB49" i="15"/>
  <c r="U447" i="15"/>
  <c r="T51" i="15"/>
  <c r="T83" i="15"/>
  <c r="T79" i="15"/>
  <c r="T49" i="15"/>
  <c r="T69" i="15"/>
  <c r="V133" i="15"/>
  <c r="AB171" i="15" s="1"/>
  <c r="X242" i="15"/>
  <c r="Y294" i="15"/>
  <c r="J274" i="15"/>
  <c r="V751" i="15"/>
  <c r="V759" i="15"/>
  <c r="V274" i="15"/>
  <c r="AA693" i="15"/>
  <c r="U101" i="15"/>
  <c r="J101" i="15"/>
  <c r="H344" i="15"/>
  <c r="AA913" i="15"/>
  <c r="V913" i="15"/>
  <c r="V537" i="15"/>
  <c r="V246" i="15"/>
  <c r="L79" i="15"/>
  <c r="V159" i="15"/>
  <c r="AB197" i="15" s="1"/>
  <c r="Y143" i="15"/>
  <c r="V250" i="15"/>
  <c r="V169" i="15"/>
  <c r="Z179" i="15"/>
  <c r="U83" i="15"/>
  <c r="J109" i="15"/>
  <c r="V390" i="15"/>
  <c r="AA905" i="15"/>
  <c r="S290" i="15"/>
  <c r="C743" i="15"/>
  <c r="K742" i="15" s="1"/>
  <c r="K743" i="15" s="1"/>
  <c r="Y171" i="15"/>
  <c r="V374" i="15"/>
  <c r="V290" i="15"/>
  <c r="AA290" i="15"/>
  <c r="Z368" i="15"/>
  <c r="W77" i="15"/>
  <c r="L77" i="15"/>
  <c r="M77" i="15"/>
  <c r="K77" i="15"/>
  <c r="AA366" i="15"/>
  <c r="Z901" i="15"/>
  <c r="H368" i="15"/>
  <c r="M391" i="15"/>
  <c r="M392" i="15" s="1"/>
  <c r="AA477" i="15"/>
  <c r="J1226" i="15"/>
  <c r="U985" i="15"/>
  <c r="H519" i="15"/>
  <c r="J459" i="15"/>
  <c r="V83" i="15"/>
  <c r="AB115" i="15" s="1"/>
  <c r="L689" i="15"/>
  <c r="Q689" i="15" s="1"/>
  <c r="J1011" i="15"/>
  <c r="M741" i="15"/>
  <c r="Q741" i="15" s="1"/>
  <c r="U342" i="15"/>
  <c r="C789" i="15"/>
  <c r="M789" i="15" s="1"/>
  <c r="Q789" i="15" s="1"/>
  <c r="K571" i="15"/>
  <c r="N571" i="15" s="1"/>
  <c r="Z623" i="15"/>
  <c r="U51" i="15"/>
  <c r="Z83" i="15"/>
  <c r="L740" i="15"/>
  <c r="H1009" i="15"/>
  <c r="K1037" i="15"/>
  <c r="N1037" i="15" s="1"/>
  <c r="K143" i="15"/>
  <c r="M1031" i="15"/>
  <c r="Q1031" i="15" s="1"/>
  <c r="N404" i="15"/>
  <c r="V49" i="15"/>
  <c r="H159" i="15"/>
  <c r="H869" i="15"/>
  <c r="J893" i="15"/>
  <c r="J901" i="15"/>
  <c r="U1104" i="15"/>
  <c r="Y893" i="15"/>
  <c r="K901" i="15"/>
  <c r="N901" i="15" s="1"/>
  <c r="K967" i="15"/>
  <c r="N967" i="15" s="1"/>
  <c r="V1104" i="15"/>
  <c r="U1192" i="15"/>
  <c r="K49" i="15"/>
  <c r="U334" i="15"/>
  <c r="L467" i="15"/>
  <c r="J519" i="15"/>
  <c r="H557" i="15"/>
  <c r="Z659" i="15"/>
  <c r="Z334" i="15"/>
  <c r="J342" i="15"/>
  <c r="H517" i="15"/>
  <c r="K1208" i="15"/>
  <c r="N1208" i="15" s="1"/>
  <c r="V117" i="15"/>
  <c r="AB155" i="15" s="1"/>
  <c r="L101" i="15"/>
  <c r="V129" i="15"/>
  <c r="AB167" i="15" s="1"/>
  <c r="T445" i="15"/>
  <c r="K645" i="15"/>
  <c r="N645" i="15" s="1"/>
  <c r="K675" i="15"/>
  <c r="N675" i="15" s="1"/>
  <c r="H853" i="15"/>
  <c r="J1124" i="15"/>
  <c r="J1216" i="15"/>
  <c r="V445" i="15"/>
  <c r="Y653" i="15"/>
  <c r="H117" i="15"/>
  <c r="V234" i="15"/>
  <c r="J354" i="15"/>
  <c r="J392" i="15"/>
  <c r="K117" i="15"/>
  <c r="V465" i="15"/>
  <c r="K521" i="15"/>
  <c r="N521" i="15" s="1"/>
  <c r="J559" i="15"/>
  <c r="J691" i="15"/>
  <c r="H887" i="15"/>
  <c r="H901" i="15"/>
  <c r="J1122" i="15"/>
  <c r="J1140" i="15"/>
  <c r="L49" i="15"/>
  <c r="AA53" i="15"/>
  <c r="X69" i="15"/>
  <c r="V125" i="15"/>
  <c r="AB163" i="15" s="1"/>
  <c r="H125" i="15"/>
  <c r="H151" i="15"/>
  <c r="H228" i="15"/>
  <c r="Y408" i="15"/>
  <c r="M393" i="15"/>
  <c r="M394" i="15" s="1"/>
  <c r="X507" i="15"/>
  <c r="V663" i="15"/>
  <c r="K651" i="15"/>
  <c r="N651" i="15" s="1"/>
  <c r="V737" i="15"/>
  <c r="I751" i="15"/>
  <c r="H1011" i="15"/>
  <c r="H1025" i="15"/>
  <c r="K1128" i="15"/>
  <c r="N1128" i="15" s="1"/>
  <c r="H1138" i="15"/>
  <c r="U358" i="15"/>
  <c r="J376" i="15"/>
  <c r="J394" i="15"/>
  <c r="K151" i="15"/>
  <c r="J103" i="15"/>
  <c r="K109" i="15"/>
  <c r="L125" i="15"/>
  <c r="V282" i="15"/>
  <c r="H282" i="15"/>
  <c r="J340" i="15"/>
  <c r="H366" i="15"/>
  <c r="V467" i="15"/>
  <c r="J517" i="15"/>
  <c r="O551" i="15"/>
  <c r="R551" i="15" s="1"/>
  <c r="J575" i="15"/>
  <c r="AA623" i="15"/>
  <c r="K629" i="15"/>
  <c r="N629" i="15" s="1"/>
  <c r="I771" i="15"/>
  <c r="X891" i="15"/>
  <c r="H903" i="15"/>
  <c r="M905" i="15"/>
  <c r="Q905" i="15" s="1"/>
  <c r="J917" i="15"/>
  <c r="M1084" i="15"/>
  <c r="Q1084" i="15" s="1"/>
  <c r="J1136" i="15"/>
  <c r="W1196" i="15"/>
  <c r="J1214" i="15"/>
  <c r="L47" i="15"/>
  <c r="S47" i="15"/>
  <c r="K51" i="15"/>
  <c r="H153" i="15"/>
  <c r="U346" i="15"/>
  <c r="H356" i="15"/>
  <c r="U523" i="15"/>
  <c r="H515" i="15"/>
  <c r="U629" i="15"/>
  <c r="U649" i="15"/>
  <c r="W687" i="15"/>
  <c r="AA771" i="15"/>
  <c r="K1136" i="15"/>
  <c r="N1136" i="15" s="1"/>
  <c r="Y47" i="15"/>
  <c r="Z346" i="15"/>
  <c r="J356" i="15"/>
  <c r="M385" i="15"/>
  <c r="M386" i="15" s="1"/>
  <c r="H503" i="15"/>
  <c r="J515" i="15"/>
  <c r="J523" i="15"/>
  <c r="H545" i="15"/>
  <c r="W629" i="15"/>
  <c r="H635" i="15"/>
  <c r="J677" i="15"/>
  <c r="H757" i="15"/>
  <c r="U891" i="15"/>
  <c r="J861" i="15"/>
  <c r="U901" i="15"/>
  <c r="H997" i="15"/>
  <c r="J1027" i="15"/>
  <c r="J1116" i="15"/>
  <c r="W1204" i="15"/>
  <c r="H1218" i="15"/>
  <c r="W1238" i="15"/>
  <c r="K125" i="15"/>
  <c r="K63" i="15"/>
  <c r="L69" i="15"/>
  <c r="H111" i="15"/>
  <c r="W579" i="15"/>
  <c r="J503" i="15"/>
  <c r="H535" i="15"/>
  <c r="U771" i="15"/>
  <c r="C737" i="15"/>
  <c r="M737" i="15" s="1"/>
  <c r="Q737" i="15" s="1"/>
  <c r="C753" i="15"/>
  <c r="K752" i="15" s="1"/>
  <c r="L753" i="15" s="1"/>
  <c r="J765" i="15"/>
  <c r="H871" i="15"/>
  <c r="H979" i="15"/>
  <c r="J997" i="15"/>
  <c r="H1100" i="15"/>
  <c r="J1106" i="15"/>
  <c r="W1218" i="15"/>
  <c r="U69" i="15"/>
  <c r="J111" i="15"/>
  <c r="J117" i="15"/>
  <c r="J143" i="15"/>
  <c r="H272" i="15"/>
  <c r="J344" i="15"/>
  <c r="W386" i="15"/>
  <c r="H501" i="15"/>
  <c r="H521" i="15"/>
  <c r="AA535" i="15"/>
  <c r="H801" i="15"/>
  <c r="U849" i="15"/>
  <c r="U997" i="15"/>
  <c r="J1100" i="15"/>
  <c r="H1124" i="15"/>
  <c r="H1140" i="15"/>
  <c r="H266" i="15"/>
  <c r="J266" i="15"/>
  <c r="U167" i="15"/>
  <c r="H167" i="15"/>
  <c r="W511" i="15"/>
  <c r="U511" i="15"/>
  <c r="K511" i="15"/>
  <c r="N511" i="15" s="1"/>
  <c r="K961" i="15"/>
  <c r="N961" i="15" s="1"/>
  <c r="J961" i="15"/>
  <c r="H961" i="15"/>
  <c r="U179" i="15"/>
  <c r="Y179" i="15"/>
  <c r="L179" i="15"/>
  <c r="K179" i="15"/>
  <c r="J179" i="15"/>
  <c r="V655" i="15"/>
  <c r="X655" i="15"/>
  <c r="J135" i="15"/>
  <c r="H252" i="15"/>
  <c r="W49" i="15"/>
  <c r="V69" i="15"/>
  <c r="J119" i="15"/>
  <c r="J127" i="15"/>
  <c r="K135" i="15"/>
  <c r="W149" i="15"/>
  <c r="Z149" i="15"/>
  <c r="L149" i="15"/>
  <c r="K149" i="15"/>
  <c r="H149" i="15"/>
  <c r="L665" i="15"/>
  <c r="M665" i="15"/>
  <c r="J1230" i="15"/>
  <c r="K1230" i="15"/>
  <c r="N1230" i="15" s="1"/>
  <c r="Z352" i="15"/>
  <c r="W352" i="15"/>
  <c r="AA797" i="15"/>
  <c r="J797" i="15"/>
  <c r="L1025" i="15"/>
  <c r="M1025" i="15"/>
  <c r="V51" i="15"/>
  <c r="X49" i="15"/>
  <c r="W69" i="15"/>
  <c r="X77" i="15"/>
  <c r="K101" i="15"/>
  <c r="L119" i="15"/>
  <c r="K127" i="15"/>
  <c r="Z531" i="15"/>
  <c r="U531" i="15"/>
  <c r="K531" i="15"/>
  <c r="N531" i="15" s="1"/>
  <c r="J531" i="15"/>
  <c r="H531" i="15"/>
  <c r="M663" i="15"/>
  <c r="L663" i="15"/>
  <c r="K758" i="15"/>
  <c r="L759" i="15" s="1"/>
  <c r="M759" i="15"/>
  <c r="Q759" i="15" s="1"/>
  <c r="X785" i="15"/>
  <c r="H785" i="15"/>
  <c r="I805" i="15"/>
  <c r="C805" i="15"/>
  <c r="M805" i="15" s="1"/>
  <c r="Q805" i="15" s="1"/>
  <c r="H119" i="15"/>
  <c r="Z49" i="15"/>
  <c r="V127" i="15"/>
  <c r="AB165" i="15" s="1"/>
  <c r="U133" i="15"/>
  <c r="X133" i="15"/>
  <c r="L133" i="15"/>
  <c r="Y374" i="15"/>
  <c r="J374" i="15"/>
  <c r="P569" i="15"/>
  <c r="O569" i="15"/>
  <c r="V631" i="15"/>
  <c r="J631" i="15"/>
  <c r="W141" i="15"/>
  <c r="H133" i="15"/>
  <c r="U173" i="15"/>
  <c r="Y173" i="15"/>
  <c r="K220" i="15"/>
  <c r="N220" i="15" s="1"/>
  <c r="J220" i="15"/>
  <c r="H220" i="15"/>
  <c r="H338" i="15"/>
  <c r="Z338" i="15"/>
  <c r="U338" i="15"/>
  <c r="J338" i="15"/>
  <c r="Y364" i="15"/>
  <c r="U364" i="15"/>
  <c r="J364" i="15"/>
  <c r="H364" i="15"/>
  <c r="X400" i="15"/>
  <c r="M399" i="15"/>
  <c r="M400" i="15" s="1"/>
  <c r="U783" i="15"/>
  <c r="X783" i="15"/>
  <c r="V783" i="15"/>
  <c r="L915" i="15"/>
  <c r="M915" i="15"/>
  <c r="M1222" i="15"/>
  <c r="L1222" i="15"/>
  <c r="U141" i="15"/>
  <c r="X141" i="15"/>
  <c r="L141" i="15"/>
  <c r="K141" i="15"/>
  <c r="H141" i="15"/>
  <c r="V179" i="15"/>
  <c r="H179" i="15"/>
  <c r="H51" i="15"/>
  <c r="S53" i="15"/>
  <c r="L63" i="15"/>
  <c r="H69" i="15"/>
  <c r="J79" i="15"/>
  <c r="W83" i="15"/>
  <c r="X179" i="15"/>
  <c r="H121" i="15"/>
  <c r="K133" i="15"/>
  <c r="X735" i="15"/>
  <c r="J735" i="15"/>
  <c r="K750" i="15"/>
  <c r="K751" i="15" s="1"/>
  <c r="M751" i="15"/>
  <c r="Q751" i="15" s="1"/>
  <c r="L1128" i="15"/>
  <c r="M1128" i="15"/>
  <c r="H49" i="15"/>
  <c r="U49" i="15"/>
  <c r="X47" i="15"/>
  <c r="J49" i="15"/>
  <c r="J51" i="15"/>
  <c r="U53" i="15"/>
  <c r="K69" i="15"/>
  <c r="T81" i="15"/>
  <c r="K79" i="15"/>
  <c r="X83" i="15"/>
  <c r="H103" i="15"/>
  <c r="H109" i="15"/>
  <c r="V121" i="15"/>
  <c r="AB159" i="15" s="1"/>
  <c r="X125" i="15"/>
  <c r="H129" i="15"/>
  <c r="V533" i="15"/>
  <c r="K533" i="15"/>
  <c r="N533" i="15" s="1"/>
  <c r="I729" i="15"/>
  <c r="C729" i="15"/>
  <c r="K728" i="15" s="1"/>
  <c r="L729" i="15" s="1"/>
  <c r="M869" i="15"/>
  <c r="L869" i="15"/>
  <c r="M1226" i="15"/>
  <c r="L1226" i="15"/>
  <c r="U1208" i="15"/>
  <c r="K1214" i="15"/>
  <c r="N1214" i="15" s="1"/>
  <c r="K1216" i="15"/>
  <c r="N1216" i="15" s="1"/>
  <c r="K1232" i="15"/>
  <c r="N1232" i="15" s="1"/>
  <c r="J1258" i="15"/>
  <c r="L151" i="15"/>
  <c r="W288" i="15"/>
  <c r="V400" i="15"/>
  <c r="W340" i="15"/>
  <c r="Z342" i="15"/>
  <c r="AA344" i="15"/>
  <c r="W354" i="15"/>
  <c r="U356" i="15"/>
  <c r="J366" i="15"/>
  <c r="J368" i="15"/>
  <c r="J465" i="15"/>
  <c r="J479" i="15"/>
  <c r="Y579" i="15"/>
  <c r="J501" i="15"/>
  <c r="K515" i="15"/>
  <c r="N515" i="15" s="1"/>
  <c r="K517" i="15"/>
  <c r="N517" i="15" s="1"/>
  <c r="Y519" i="15"/>
  <c r="X521" i="15"/>
  <c r="U633" i="15"/>
  <c r="J635" i="15"/>
  <c r="H637" i="15"/>
  <c r="V643" i="15"/>
  <c r="H649" i="15"/>
  <c r="AA657" i="15"/>
  <c r="Y791" i="15"/>
  <c r="I759" i="15"/>
  <c r="I779" i="15"/>
  <c r="I781" i="15"/>
  <c r="H793" i="15"/>
  <c r="I795" i="15"/>
  <c r="X801" i="15"/>
  <c r="J845" i="15"/>
  <c r="K853" i="15"/>
  <c r="N853" i="15" s="1"/>
  <c r="U855" i="15"/>
  <c r="K865" i="15"/>
  <c r="N865" i="15" s="1"/>
  <c r="J871" i="15"/>
  <c r="J887" i="15"/>
  <c r="M911" i="15"/>
  <c r="Q911" i="15" s="1"/>
  <c r="H913" i="15"/>
  <c r="V1007" i="15"/>
  <c r="H963" i="15"/>
  <c r="U971" i="15"/>
  <c r="J1021" i="15"/>
  <c r="H1035" i="15"/>
  <c r="V1130" i="15"/>
  <c r="H1076" i="15"/>
  <c r="J1206" i="15"/>
  <c r="U1214" i="15"/>
  <c r="H1228" i="15"/>
  <c r="H1242" i="15"/>
  <c r="K1256" i="15"/>
  <c r="N1256" i="15" s="1"/>
  <c r="V266" i="15"/>
  <c r="H284" i="15"/>
  <c r="H336" i="15"/>
  <c r="AA340" i="15"/>
  <c r="Z354" i="15"/>
  <c r="W356" i="15"/>
  <c r="H362" i="15"/>
  <c r="U366" i="15"/>
  <c r="U368" i="15"/>
  <c r="V461" i="15"/>
  <c r="X479" i="15"/>
  <c r="U515" i="15"/>
  <c r="AA519" i="15"/>
  <c r="Y521" i="15"/>
  <c r="U661" i="15"/>
  <c r="K635" i="15"/>
  <c r="N635" i="15" s="1"/>
  <c r="J637" i="15"/>
  <c r="J781" i="15"/>
  <c r="J795" i="15"/>
  <c r="I797" i="15"/>
  <c r="AA869" i="15"/>
  <c r="K871" i="15"/>
  <c r="N871" i="15" s="1"/>
  <c r="K887" i="15"/>
  <c r="N887" i="15" s="1"/>
  <c r="J1035" i="15"/>
  <c r="J1076" i="15"/>
  <c r="K1082" i="15"/>
  <c r="N1082" i="15" s="1"/>
  <c r="K1206" i="15"/>
  <c r="N1206" i="15" s="1"/>
  <c r="U1226" i="15"/>
  <c r="J1228" i="15"/>
  <c r="J1242" i="15"/>
  <c r="H137" i="15"/>
  <c r="H145" i="15"/>
  <c r="H169" i="15"/>
  <c r="H175" i="15"/>
  <c r="K284" i="15"/>
  <c r="N284" i="15" s="1"/>
  <c r="W336" i="15"/>
  <c r="J350" i="15"/>
  <c r="Z356" i="15"/>
  <c r="J362" i="15"/>
  <c r="W366" i="15"/>
  <c r="M395" i="15"/>
  <c r="M396" i="15" s="1"/>
  <c r="W477" i="15"/>
  <c r="J477" i="15"/>
  <c r="V565" i="15"/>
  <c r="Z521" i="15"/>
  <c r="J543" i="15"/>
  <c r="H621" i="15"/>
  <c r="U635" i="15"/>
  <c r="K637" i="15"/>
  <c r="N637" i="15" s="1"/>
  <c r="AA649" i="15"/>
  <c r="H661" i="15"/>
  <c r="H685" i="15"/>
  <c r="C745" i="15"/>
  <c r="K744" i="15" s="1"/>
  <c r="K745" i="15" s="1"/>
  <c r="AA759" i="15"/>
  <c r="C773" i="15"/>
  <c r="K772" i="15" s="1"/>
  <c r="V781" i="15"/>
  <c r="I785" i="15"/>
  <c r="V789" i="15"/>
  <c r="H1019" i="15"/>
  <c r="H1080" i="15"/>
  <c r="K1228" i="15"/>
  <c r="N1228" i="15" s="1"/>
  <c r="K1242" i="15"/>
  <c r="N1242" i="15" s="1"/>
  <c r="V137" i="15"/>
  <c r="AB175" i="15" s="1"/>
  <c r="V145" i="15"/>
  <c r="AB183" i="15" s="1"/>
  <c r="K153" i="15"/>
  <c r="K161" i="15"/>
  <c r="K169" i="15"/>
  <c r="H268" i="15"/>
  <c r="V352" i="15"/>
  <c r="H334" i="15"/>
  <c r="AA336" i="15"/>
  <c r="L343" i="15"/>
  <c r="L344" i="15" s="1"/>
  <c r="H348" i="15"/>
  <c r="Z350" i="15"/>
  <c r="L353" i="15"/>
  <c r="L354" i="15" s="1"/>
  <c r="U362" i="15"/>
  <c r="H441" i="15"/>
  <c r="K477" i="15"/>
  <c r="N477" i="15" s="1"/>
  <c r="K507" i="15"/>
  <c r="N507" i="15" s="1"/>
  <c r="X509" i="15"/>
  <c r="J621" i="15"/>
  <c r="H623" i="15"/>
  <c r="Z635" i="15"/>
  <c r="Z641" i="15"/>
  <c r="X661" i="15"/>
  <c r="H677" i="15"/>
  <c r="H679" i="15"/>
  <c r="H693" i="15"/>
  <c r="H741" i="15"/>
  <c r="C765" i="15"/>
  <c r="K764" i="15" s="1"/>
  <c r="K765" i="15" s="1"/>
  <c r="L768" i="15"/>
  <c r="H771" i="15"/>
  <c r="K849" i="15"/>
  <c r="N849" i="15" s="1"/>
  <c r="K881" i="15"/>
  <c r="N881" i="15" s="1"/>
  <c r="J999" i="15"/>
  <c r="J1019" i="15"/>
  <c r="Y153" i="15"/>
  <c r="H177" i="15"/>
  <c r="U228" i="15"/>
  <c r="J250" i="15"/>
  <c r="K268" i="15"/>
  <c r="N268" i="15" s="1"/>
  <c r="H274" i="15"/>
  <c r="V362" i="15"/>
  <c r="J348" i="15"/>
  <c r="U360" i="15"/>
  <c r="K441" i="15"/>
  <c r="N441" i="15" s="1"/>
  <c r="H537" i="15"/>
  <c r="U619" i="15"/>
  <c r="Y621" i="15"/>
  <c r="X623" i="15"/>
  <c r="V885" i="15"/>
  <c r="Y163" i="15"/>
  <c r="K171" i="15"/>
  <c r="K177" i="15"/>
  <c r="W348" i="15"/>
  <c r="M369" i="15"/>
  <c r="M370" i="15" s="1"/>
  <c r="L383" i="15"/>
  <c r="L384" i="15" s="1"/>
  <c r="W441" i="15"/>
  <c r="V481" i="15"/>
  <c r="H505" i="15"/>
  <c r="Y507" i="15"/>
  <c r="AA621" i="15"/>
  <c r="K677" i="15"/>
  <c r="N677" i="15" s="1"/>
  <c r="H689" i="15"/>
  <c r="U691" i="15"/>
  <c r="J743" i="15"/>
  <c r="AA891" i="15"/>
  <c r="K985" i="15"/>
  <c r="N985" i="15" s="1"/>
  <c r="L999" i="15"/>
  <c r="Q999" i="15" s="1"/>
  <c r="K1106" i="15"/>
  <c r="N1106" i="15" s="1"/>
  <c r="H1122" i="15"/>
  <c r="V1138" i="15"/>
  <c r="H1216" i="15"/>
  <c r="W1234" i="15"/>
  <c r="H63" i="15"/>
  <c r="W63" i="15"/>
  <c r="L67" i="15"/>
  <c r="H79" i="15"/>
  <c r="L83" i="15"/>
  <c r="H101" i="15"/>
  <c r="X103" i="15"/>
  <c r="X111" i="15"/>
  <c r="Y155" i="15"/>
  <c r="W236" i="15"/>
  <c r="K236" i="15"/>
  <c r="N236" i="15" s="1"/>
  <c r="H236" i="15"/>
  <c r="O577" i="15"/>
  <c r="P577" i="15"/>
  <c r="Z617" i="15"/>
  <c r="AA617" i="15"/>
  <c r="U617" i="15"/>
  <c r="K617" i="15"/>
  <c r="N617" i="15" s="1"/>
  <c r="H617" i="15"/>
  <c r="V639" i="15"/>
  <c r="AA639" i="15"/>
  <c r="Z639" i="15"/>
  <c r="X639" i="15"/>
  <c r="H639" i="15"/>
  <c r="M683" i="15"/>
  <c r="L683" i="15"/>
  <c r="X879" i="15"/>
  <c r="V879" i="15"/>
  <c r="M1009" i="15"/>
  <c r="L1009" i="15"/>
  <c r="U1246" i="15"/>
  <c r="K1246" i="15"/>
  <c r="N1246" i="15" s="1"/>
  <c r="J1246" i="15"/>
  <c r="H1246" i="15"/>
  <c r="L1252" i="15"/>
  <c r="M1252" i="15"/>
  <c r="L1268" i="15"/>
  <c r="M1268" i="15"/>
  <c r="K1098" i="15"/>
  <c r="N1098" i="15" s="1"/>
  <c r="J1098" i="15"/>
  <c r="J63" i="15"/>
  <c r="X63" i="15"/>
  <c r="M67" i="15"/>
  <c r="M83" i="15"/>
  <c r="J125" i="15"/>
  <c r="H127" i="15"/>
  <c r="J133" i="15"/>
  <c r="H135" i="15"/>
  <c r="J141" i="15"/>
  <c r="H143" i="15"/>
  <c r="J149" i="15"/>
  <c r="J151" i="15"/>
  <c r="L153" i="15"/>
  <c r="U157" i="15"/>
  <c r="Y157" i="15"/>
  <c r="K157" i="15"/>
  <c r="N157" i="15" s="1"/>
  <c r="J157" i="15"/>
  <c r="H157" i="15"/>
  <c r="K339" i="15"/>
  <c r="K340" i="15" s="1"/>
  <c r="M1106" i="15"/>
  <c r="L1106" i="15"/>
  <c r="L1116" i="15"/>
  <c r="M1116" i="15"/>
  <c r="K669" i="15"/>
  <c r="N669" i="15" s="1"/>
  <c r="J669" i="15"/>
  <c r="H669" i="15"/>
  <c r="L1196" i="15"/>
  <c r="M1196" i="15"/>
  <c r="H113" i="15"/>
  <c r="P527" i="15"/>
  <c r="O527" i="15"/>
  <c r="U673" i="15"/>
  <c r="K673" i="15"/>
  <c r="N673" i="15" s="1"/>
  <c r="H673" i="15"/>
  <c r="V733" i="15"/>
  <c r="Y733" i="15"/>
  <c r="H733" i="15"/>
  <c r="V761" i="15"/>
  <c r="AA761" i="15"/>
  <c r="L1011" i="15"/>
  <c r="M1011" i="15"/>
  <c r="M1078" i="15"/>
  <c r="L1078" i="15"/>
  <c r="Y49" i="15"/>
  <c r="W51" i="15"/>
  <c r="Y63" i="15"/>
  <c r="M63" i="15"/>
  <c r="H65" i="15"/>
  <c r="Y77" i="15"/>
  <c r="U79" i="15"/>
  <c r="Y83" i="15"/>
  <c r="K103" i="15"/>
  <c r="V105" i="15"/>
  <c r="AB145" i="15" s="1"/>
  <c r="L109" i="15"/>
  <c r="K111" i="15"/>
  <c r="V113" i="15"/>
  <c r="AB151" i="15" s="1"/>
  <c r="L117" i="15"/>
  <c r="K119" i="15"/>
  <c r="L127" i="15"/>
  <c r="L135" i="15"/>
  <c r="L143" i="15"/>
  <c r="Y151" i="15"/>
  <c r="H155" i="15"/>
  <c r="K573" i="15"/>
  <c r="N573" i="15" s="1"/>
  <c r="J573" i="15"/>
  <c r="H573" i="15"/>
  <c r="M631" i="15"/>
  <c r="L631" i="15"/>
  <c r="L669" i="15"/>
  <c r="M669" i="15"/>
  <c r="M679" i="15"/>
  <c r="L679" i="15"/>
  <c r="L681" i="15"/>
  <c r="M681" i="15"/>
  <c r="L865" i="15"/>
  <c r="M865" i="15"/>
  <c r="M987" i="15"/>
  <c r="L987" i="15"/>
  <c r="K1007" i="15"/>
  <c r="N1007" i="15" s="1"/>
  <c r="H1007" i="15"/>
  <c r="X51" i="15"/>
  <c r="Z67" i="15"/>
  <c r="T63" i="15"/>
  <c r="U65" i="15"/>
  <c r="Z77" i="15"/>
  <c r="V79" i="15"/>
  <c r="AB111" i="15" s="1"/>
  <c r="H83" i="15"/>
  <c r="V101" i="15"/>
  <c r="AB141" i="15" s="1"/>
  <c r="L103" i="15"/>
  <c r="L111" i="15"/>
  <c r="V135" i="15"/>
  <c r="AB173" i="15" s="1"/>
  <c r="V143" i="15"/>
  <c r="AB181" i="15" s="1"/>
  <c r="J155" i="15"/>
  <c r="V625" i="15"/>
  <c r="Z625" i="15"/>
  <c r="Y625" i="15"/>
  <c r="W625" i="15"/>
  <c r="U63" i="15"/>
  <c r="J69" i="15"/>
  <c r="W79" i="15"/>
  <c r="J83" i="15"/>
  <c r="X101" i="15"/>
  <c r="V103" i="15"/>
  <c r="AB143" i="15" s="1"/>
  <c r="X109" i="15"/>
  <c r="V111" i="15"/>
  <c r="X117" i="15"/>
  <c r="W119" i="15"/>
  <c r="Z125" i="15"/>
  <c r="W127" i="15"/>
  <c r="Z133" i="15"/>
  <c r="W135" i="15"/>
  <c r="Z141" i="15"/>
  <c r="W143" i="15"/>
  <c r="K155" i="15"/>
  <c r="K371" i="15"/>
  <c r="K372" i="15" s="1"/>
  <c r="X402" i="15"/>
  <c r="J402" i="15"/>
  <c r="O509" i="15"/>
  <c r="P509" i="15"/>
  <c r="M615" i="15"/>
  <c r="L615" i="15"/>
  <c r="Z733" i="15"/>
  <c r="L1102" i="15"/>
  <c r="M1102" i="15"/>
  <c r="H105" i="15"/>
  <c r="V63" i="15"/>
  <c r="X79" i="15"/>
  <c r="K83" i="15"/>
  <c r="Z101" i="15"/>
  <c r="W103" i="15"/>
  <c r="Z109" i="15"/>
  <c r="W111" i="15"/>
  <c r="Z117" i="15"/>
  <c r="X119" i="15"/>
  <c r="X127" i="15"/>
  <c r="X135" i="15"/>
  <c r="X143" i="15"/>
  <c r="J153" i="15"/>
  <c r="L155" i="15"/>
  <c r="Y449" i="15"/>
  <c r="AA449" i="15"/>
  <c r="Z449" i="15"/>
  <c r="T449" i="15"/>
  <c r="S449" i="15"/>
  <c r="O525" i="15"/>
  <c r="P525" i="15"/>
  <c r="L645" i="15"/>
  <c r="M645" i="15"/>
  <c r="L881" i="15"/>
  <c r="M881" i="15"/>
  <c r="J159" i="15"/>
  <c r="L161" i="15"/>
  <c r="J167" i="15"/>
  <c r="L169" i="15"/>
  <c r="J175" i="15"/>
  <c r="L177" i="15"/>
  <c r="K252" i="15"/>
  <c r="N252" i="15" s="1"/>
  <c r="K272" i="15"/>
  <c r="N272" i="15" s="1"/>
  <c r="L335" i="15"/>
  <c r="L336" i="15" s="1"/>
  <c r="W338" i="15"/>
  <c r="H340" i="15"/>
  <c r="AA342" i="15"/>
  <c r="U344" i="15"/>
  <c r="H346" i="15"/>
  <c r="Z348" i="15"/>
  <c r="K350" i="15"/>
  <c r="H352" i="15"/>
  <c r="W358" i="15"/>
  <c r="W360" i="15"/>
  <c r="W362" i="15"/>
  <c r="W364" i="15"/>
  <c r="W370" i="15"/>
  <c r="J372" i="15"/>
  <c r="M381" i="15"/>
  <c r="M382" i="15" s="1"/>
  <c r="Y386" i="15"/>
  <c r="M401" i="15"/>
  <c r="M402" i="15" s="1"/>
  <c r="X441" i="15"/>
  <c r="V441" i="15"/>
  <c r="W465" i="15"/>
  <c r="K459" i="15"/>
  <c r="K465" i="15"/>
  <c r="X477" i="15"/>
  <c r="K479" i="15"/>
  <c r="K501" i="15"/>
  <c r="N501" i="15" s="1"/>
  <c r="Y503" i="15"/>
  <c r="K505" i="15"/>
  <c r="N505" i="15" s="1"/>
  <c r="K523" i="15"/>
  <c r="N523" i="15" s="1"/>
  <c r="K527" i="15"/>
  <c r="N527" i="15" s="1"/>
  <c r="H533" i="15"/>
  <c r="J535" i="15"/>
  <c r="K537" i="15"/>
  <c r="N537" i="15" s="1"/>
  <c r="H555" i="15"/>
  <c r="J557" i="15"/>
  <c r="Y619" i="15"/>
  <c r="AA633" i="15"/>
  <c r="Z651" i="15"/>
  <c r="AA653" i="15"/>
  <c r="Z655" i="15"/>
  <c r="AA661" i="15"/>
  <c r="X663" i="15"/>
  <c r="J685" i="15"/>
  <c r="K691" i="15"/>
  <c r="N691" i="15" s="1"/>
  <c r="C733" i="15"/>
  <c r="J751" i="15"/>
  <c r="C761" i="15"/>
  <c r="K760" i="15" s="1"/>
  <c r="M777" i="15"/>
  <c r="Q777" i="15" s="1"/>
  <c r="K776" i="15"/>
  <c r="L776" i="15" s="1"/>
  <c r="I783" i="15"/>
  <c r="C783" i="15"/>
  <c r="M783" i="15" s="1"/>
  <c r="Q783" i="15" s="1"/>
  <c r="M785" i="15"/>
  <c r="Q785" i="15" s="1"/>
  <c r="K784" i="15"/>
  <c r="L784" i="15" s="1"/>
  <c r="I803" i="15"/>
  <c r="C803" i="15"/>
  <c r="K802" i="15" s="1"/>
  <c r="K803" i="15" s="1"/>
  <c r="X873" i="15"/>
  <c r="AA873" i="15"/>
  <c r="J873" i="15"/>
  <c r="H873" i="15"/>
  <c r="M1110" i="15"/>
  <c r="L1110" i="15"/>
  <c r="L1144" i="15"/>
  <c r="M1144" i="15"/>
  <c r="K159" i="15"/>
  <c r="Y161" i="15"/>
  <c r="H165" i="15"/>
  <c r="K167" i="15"/>
  <c r="Y169" i="15"/>
  <c r="H173" i="15"/>
  <c r="K175" i="15"/>
  <c r="Y177" i="15"/>
  <c r="H226" i="15"/>
  <c r="W228" i="15"/>
  <c r="H234" i="15"/>
  <c r="H240" i="15"/>
  <c r="H258" i="15"/>
  <c r="H288" i="15"/>
  <c r="W344" i="15"/>
  <c r="J346" i="15"/>
  <c r="L347" i="15"/>
  <c r="L348" i="15" s="1"/>
  <c r="AA348" i="15"/>
  <c r="U350" i="15"/>
  <c r="J352" i="15"/>
  <c r="Z370" i="15"/>
  <c r="Y441" i="15"/>
  <c r="L459" i="15"/>
  <c r="L465" i="15"/>
  <c r="H467" i="15"/>
  <c r="Y477" i="15"/>
  <c r="L479" i="15"/>
  <c r="H481" i="15"/>
  <c r="AA503" i="15"/>
  <c r="X505" i="15"/>
  <c r="J507" i="15"/>
  <c r="W523" i="15"/>
  <c r="X525" i="15"/>
  <c r="J533" i="15"/>
  <c r="Y535" i="15"/>
  <c r="K557" i="15"/>
  <c r="N557" i="15" s="1"/>
  <c r="Z619" i="15"/>
  <c r="AA663" i="15"/>
  <c r="J675" i="15"/>
  <c r="K685" i="15"/>
  <c r="N685" i="15" s="1"/>
  <c r="Y759" i="15"/>
  <c r="C787" i="15"/>
  <c r="K786" i="15" s="1"/>
  <c r="K787" i="15" s="1"/>
  <c r="I787" i="15"/>
  <c r="K859" i="15"/>
  <c r="N859" i="15" s="1"/>
  <c r="H859" i="15"/>
  <c r="Z859" i="15"/>
  <c r="X919" i="15"/>
  <c r="K919" i="15"/>
  <c r="N919" i="15" s="1"/>
  <c r="J919" i="15"/>
  <c r="H919" i="15"/>
  <c r="M983" i="15"/>
  <c r="L983" i="15"/>
  <c r="J995" i="15"/>
  <c r="H995" i="15"/>
  <c r="M1007" i="15"/>
  <c r="L1007" i="15"/>
  <c r="M1228" i="15"/>
  <c r="L1228" i="15"/>
  <c r="W1250" i="15"/>
  <c r="H1250" i="15"/>
  <c r="L159" i="15"/>
  <c r="J165" i="15"/>
  <c r="L167" i="15"/>
  <c r="J173" i="15"/>
  <c r="L175" i="15"/>
  <c r="K218" i="15"/>
  <c r="N218" i="15" s="1"/>
  <c r="J226" i="15"/>
  <c r="J234" i="15"/>
  <c r="K240" i="15"/>
  <c r="N240" i="15" s="1"/>
  <c r="J258" i="15"/>
  <c r="AA338" i="15"/>
  <c r="U340" i="15"/>
  <c r="H342" i="15"/>
  <c r="W350" i="15"/>
  <c r="U352" i="15"/>
  <c r="H354" i="15"/>
  <c r="Y372" i="15"/>
  <c r="M379" i="15"/>
  <c r="M380" i="15" s="1"/>
  <c r="V459" i="15"/>
  <c r="J467" i="15"/>
  <c r="Z477" i="15"/>
  <c r="V479" i="15"/>
  <c r="Y505" i="15"/>
  <c r="Y523" i="15"/>
  <c r="K756" i="15"/>
  <c r="L756" i="15" s="1"/>
  <c r="M757" i="15"/>
  <c r="Q757" i="15" s="1"/>
  <c r="V877" i="15"/>
  <c r="J877" i="15"/>
  <c r="M907" i="15"/>
  <c r="L907" i="15"/>
  <c r="M969" i="15"/>
  <c r="L969" i="15"/>
  <c r="K1120" i="15"/>
  <c r="N1120" i="15" s="1"/>
  <c r="J1120" i="15"/>
  <c r="M1134" i="15"/>
  <c r="L1134" i="15"/>
  <c r="K1164" i="15"/>
  <c r="N1164" i="15" s="1"/>
  <c r="J1164" i="15"/>
  <c r="H1164" i="15"/>
  <c r="J1244" i="15"/>
  <c r="H1244" i="15"/>
  <c r="Y159" i="15"/>
  <c r="H163" i="15"/>
  <c r="K165" i="15"/>
  <c r="Y167" i="15"/>
  <c r="H171" i="15"/>
  <c r="K173" i="15"/>
  <c r="Y175" i="15"/>
  <c r="V226" i="15"/>
  <c r="W234" i="15"/>
  <c r="J380" i="15"/>
  <c r="J382" i="15"/>
  <c r="M397" i="15"/>
  <c r="M398" i="15" s="1"/>
  <c r="J400" i="15"/>
  <c r="S441" i="15"/>
  <c r="X459" i="15"/>
  <c r="X465" i="15"/>
  <c r="K467" i="15"/>
  <c r="H477" i="15"/>
  <c r="W479" i="15"/>
  <c r="Z505" i="15"/>
  <c r="W507" i="15"/>
  <c r="P549" i="15"/>
  <c r="Q549" i="15" s="1"/>
  <c r="H571" i="15"/>
  <c r="Y681" i="15"/>
  <c r="U675" i="15"/>
  <c r="Y751" i="15"/>
  <c r="I763" i="15"/>
  <c r="L849" i="15"/>
  <c r="M849" i="15"/>
  <c r="K897" i="15"/>
  <c r="N897" i="15" s="1"/>
  <c r="X897" i="15"/>
  <c r="J923" i="15"/>
  <c r="H923" i="15"/>
  <c r="K1096" i="15"/>
  <c r="N1096" i="15" s="1"/>
  <c r="H1096" i="15"/>
  <c r="K1108" i="15"/>
  <c r="N1108" i="15" s="1"/>
  <c r="J1108" i="15"/>
  <c r="H1108" i="15"/>
  <c r="K1202" i="15"/>
  <c r="N1202" i="15" s="1"/>
  <c r="J1202" i="15"/>
  <c r="J163" i="15"/>
  <c r="L165" i="15"/>
  <c r="J171" i="15"/>
  <c r="L173" i="15"/>
  <c r="X234" i="15"/>
  <c r="J246" i="15"/>
  <c r="W334" i="15"/>
  <c r="U336" i="15"/>
  <c r="W346" i="15"/>
  <c r="M375" i="15"/>
  <c r="M376" i="15" s="1"/>
  <c r="L395" i="15"/>
  <c r="L396" i="15" s="1"/>
  <c r="Z465" i="15"/>
  <c r="H541" i="15"/>
  <c r="Z669" i="15"/>
  <c r="H619" i="15"/>
  <c r="Y637" i="15"/>
  <c r="W641" i="15"/>
  <c r="U645" i="15"/>
  <c r="J659" i="15"/>
  <c r="J661" i="15"/>
  <c r="AA751" i="15"/>
  <c r="X857" i="15"/>
  <c r="Y857" i="15"/>
  <c r="J857" i="15"/>
  <c r="H857" i="15"/>
  <c r="M913" i="15"/>
  <c r="L913" i="15"/>
  <c r="M917" i="15"/>
  <c r="L917" i="15"/>
  <c r="M1092" i="15"/>
  <c r="Q1092" i="15" s="1"/>
  <c r="V1112" i="15"/>
  <c r="J1112" i="15"/>
  <c r="M1204" i="15"/>
  <c r="R1204" i="15" s="1"/>
  <c r="L1212" i="15"/>
  <c r="Q1212" i="15" s="1"/>
  <c r="L1242" i="15"/>
  <c r="M1242" i="15"/>
  <c r="M1256" i="15"/>
  <c r="L1256" i="15"/>
  <c r="M1270" i="15"/>
  <c r="L1270" i="15"/>
  <c r="H161" i="15"/>
  <c r="K163" i="15"/>
  <c r="Y165" i="15"/>
  <c r="J238" i="15"/>
  <c r="H242" i="15"/>
  <c r="H256" i="15"/>
  <c r="H290" i="15"/>
  <c r="U354" i="15"/>
  <c r="H358" i="15"/>
  <c r="H360" i="15"/>
  <c r="M371" i="15"/>
  <c r="M372" i="15" s="1"/>
  <c r="AA465" i="15"/>
  <c r="Y479" i="15"/>
  <c r="J541" i="15"/>
  <c r="P561" i="15"/>
  <c r="Q561" i="15" s="1"/>
  <c r="O567" i="15"/>
  <c r="R567" i="15" s="1"/>
  <c r="J619" i="15"/>
  <c r="H633" i="15"/>
  <c r="AA637" i="15"/>
  <c r="Y641" i="15"/>
  <c r="W645" i="15"/>
  <c r="K649" i="15"/>
  <c r="N649" i="15" s="1"/>
  <c r="H651" i="15"/>
  <c r="H653" i="15"/>
  <c r="Y735" i="15"/>
  <c r="U747" i="15"/>
  <c r="H749" i="15"/>
  <c r="AA753" i="15"/>
  <c r="AA859" i="15"/>
  <c r="AA875" i="15"/>
  <c r="X875" i="15"/>
  <c r="K875" i="15"/>
  <c r="N875" i="15" s="1"/>
  <c r="H875" i="15"/>
  <c r="M885" i="15"/>
  <c r="L885" i="15"/>
  <c r="K981" i="15"/>
  <c r="N981" i="15" s="1"/>
  <c r="J981" i="15"/>
  <c r="H981" i="15"/>
  <c r="J1084" i="15"/>
  <c r="H1084" i="15"/>
  <c r="L1108" i="15"/>
  <c r="M1108" i="15"/>
  <c r="K1146" i="15"/>
  <c r="N1146" i="15" s="1"/>
  <c r="J1146" i="15"/>
  <c r="J161" i="15"/>
  <c r="L163" i="15"/>
  <c r="J169" i="15"/>
  <c r="L171" i="15"/>
  <c r="J177" i="15"/>
  <c r="U238" i="15"/>
  <c r="J242" i="15"/>
  <c r="K256" i="15"/>
  <c r="N256" i="15" s="1"/>
  <c r="J290" i="15"/>
  <c r="J358" i="15"/>
  <c r="J360" i="15"/>
  <c r="L375" i="15"/>
  <c r="L376" i="15" s="1"/>
  <c r="J441" i="15"/>
  <c r="H459" i="15"/>
  <c r="H461" i="15"/>
  <c r="X467" i="15"/>
  <c r="K541" i="15"/>
  <c r="N541" i="15" s="1"/>
  <c r="O579" i="15"/>
  <c r="Q579" i="15" s="1"/>
  <c r="K619" i="15"/>
  <c r="N619" i="15" s="1"/>
  <c r="K633" i="15"/>
  <c r="N633" i="15" s="1"/>
  <c r="L647" i="15"/>
  <c r="Q647" i="15" s="1"/>
  <c r="J651" i="15"/>
  <c r="J653" i="15"/>
  <c r="H655" i="15"/>
  <c r="AA735" i="15"/>
  <c r="AA743" i="15"/>
  <c r="Z749" i="15"/>
  <c r="J759" i="15"/>
  <c r="K762" i="15"/>
  <c r="K763" i="15" s="1"/>
  <c r="X777" i="15"/>
  <c r="H777" i="15"/>
  <c r="U803" i="15"/>
  <c r="Z803" i="15"/>
  <c r="L883" i="15"/>
  <c r="M883" i="15"/>
  <c r="X921" i="15"/>
  <c r="K921" i="15"/>
  <c r="N921" i="15" s="1"/>
  <c r="J921" i="15"/>
  <c r="H921" i="15"/>
  <c r="L963" i="15"/>
  <c r="M963" i="15"/>
  <c r="J1094" i="15"/>
  <c r="H1094" i="15"/>
  <c r="M1148" i="15"/>
  <c r="R1148" i="15" s="1"/>
  <c r="W1194" i="15"/>
  <c r="J1194" i="15"/>
  <c r="M1210" i="15"/>
  <c r="Q1210" i="15" s="1"/>
  <c r="L1220" i="15"/>
  <c r="M1220" i="15"/>
  <c r="L1240" i="15"/>
  <c r="Q1240" i="15" s="1"/>
  <c r="Z891" i="15"/>
  <c r="AA915" i="15"/>
  <c r="K1027" i="15"/>
  <c r="N1027" i="15" s="1"/>
  <c r="U1204" i="15"/>
  <c r="V1146" i="15"/>
  <c r="W1226" i="15"/>
  <c r="J773" i="15"/>
  <c r="L797" i="15"/>
  <c r="C807" i="15"/>
  <c r="M807" i="15" s="1"/>
  <c r="Q807" i="15" s="1"/>
  <c r="U853" i="15"/>
  <c r="L863" i="15"/>
  <c r="Q863" i="15" s="1"/>
  <c r="U871" i="15"/>
  <c r="U887" i="15"/>
  <c r="H889" i="15"/>
  <c r="H891" i="15"/>
  <c r="L1023" i="15"/>
  <c r="Q1023" i="15" s="1"/>
  <c r="L1029" i="15"/>
  <c r="Q1029" i="15" s="1"/>
  <c r="J1090" i="15"/>
  <c r="K1116" i="15"/>
  <c r="N1116" i="15" s="1"/>
  <c r="H1152" i="15"/>
  <c r="H1248" i="15"/>
  <c r="K1258" i="15"/>
  <c r="N1258" i="15" s="1"/>
  <c r="H1260" i="15"/>
  <c r="H1262" i="15"/>
  <c r="H1264" i="15"/>
  <c r="H1266" i="15"/>
  <c r="C791" i="15"/>
  <c r="M791" i="15" s="1"/>
  <c r="Q791" i="15" s="1"/>
  <c r="J805" i="15"/>
  <c r="H855" i="15"/>
  <c r="U865" i="15"/>
  <c r="J889" i="15"/>
  <c r="J891" i="15"/>
  <c r="H915" i="15"/>
  <c r="H1092" i="15"/>
  <c r="H1110" i="15"/>
  <c r="H1144" i="15"/>
  <c r="H1148" i="15"/>
  <c r="L1162" i="15"/>
  <c r="Q1162" i="15" s="1"/>
  <c r="H1204" i="15"/>
  <c r="J1248" i="15"/>
  <c r="J1262" i="15"/>
  <c r="J1264" i="15"/>
  <c r="J855" i="15"/>
  <c r="L867" i="15"/>
  <c r="Q867" i="15" s="1"/>
  <c r="U881" i="15"/>
  <c r="AA889" i="15"/>
  <c r="V1088" i="15"/>
  <c r="L1086" i="15"/>
  <c r="Q1086" i="15" s="1"/>
  <c r="L1088" i="15"/>
  <c r="Q1088" i="15" s="1"/>
  <c r="J1092" i="15"/>
  <c r="M1112" i="15"/>
  <c r="Q1112" i="15" s="1"/>
  <c r="J1148" i="15"/>
  <c r="L1150" i="15"/>
  <c r="Q1150" i="15" s="1"/>
  <c r="L1158" i="15"/>
  <c r="Q1158" i="15" s="1"/>
  <c r="L1160" i="15"/>
  <c r="Q1160" i="15" s="1"/>
  <c r="H1192" i="15"/>
  <c r="J1204" i="15"/>
  <c r="H1230" i="15"/>
  <c r="H1232" i="15"/>
  <c r="K1262" i="15"/>
  <c r="N1262" i="15" s="1"/>
  <c r="M971" i="15"/>
  <c r="R971" i="15" s="1"/>
  <c r="M975" i="15"/>
  <c r="Q975" i="15" s="1"/>
  <c r="M1005" i="15"/>
  <c r="Q1005" i="15" s="1"/>
  <c r="K1092" i="15"/>
  <c r="N1092" i="15" s="1"/>
  <c r="L1094" i="15"/>
  <c r="Q1094" i="15" s="1"/>
  <c r="H1128" i="15"/>
  <c r="L1224" i="15"/>
  <c r="Q1224" i="15" s="1"/>
  <c r="J1232" i="15"/>
  <c r="L1236" i="15"/>
  <c r="Q1236" i="15" s="1"/>
  <c r="J1240" i="15"/>
  <c r="AB123" i="15"/>
  <c r="Z232" i="15"/>
  <c r="W232" i="15"/>
  <c r="H232" i="15"/>
  <c r="V232" i="15"/>
  <c r="S65" i="15"/>
  <c r="AA65" i="15"/>
  <c r="X67" i="15"/>
  <c r="Z81" i="15"/>
  <c r="AB105" i="15"/>
  <c r="Z107" i="15"/>
  <c r="Z115" i="15"/>
  <c r="V119" i="15"/>
  <c r="AB157" i="15" s="1"/>
  <c r="AB121" i="15"/>
  <c r="Z123" i="15"/>
  <c r="AB129" i="15"/>
  <c r="Z131" i="15"/>
  <c r="Z139" i="15"/>
  <c r="Z147" i="15"/>
  <c r="X149" i="15"/>
  <c r="V151" i="15"/>
  <c r="AB189" i="15" s="1"/>
  <c r="V153" i="15"/>
  <c r="AB191" i="15" s="1"/>
  <c r="V155" i="15"/>
  <c r="AB193" i="15" s="1"/>
  <c r="V157" i="15"/>
  <c r="AB195" i="15" s="1"/>
  <c r="V161" i="15"/>
  <c r="AB199" i="15" s="1"/>
  <c r="V163" i="15"/>
  <c r="V165" i="15"/>
  <c r="V167" i="15"/>
  <c r="V171" i="15"/>
  <c r="V173" i="15"/>
  <c r="V175" i="15"/>
  <c r="V177" i="15"/>
  <c r="Y218" i="15"/>
  <c r="AA220" i="15"/>
  <c r="X222" i="15"/>
  <c r="S226" i="15"/>
  <c r="AA230" i="15"/>
  <c r="AB230" i="15"/>
  <c r="Y232" i="15"/>
  <c r="AA246" i="15"/>
  <c r="Y250" i="15"/>
  <c r="AA252" i="15"/>
  <c r="AA258" i="15"/>
  <c r="Y266" i="15"/>
  <c r="AA268" i="15"/>
  <c r="AA274" i="15"/>
  <c r="Y282" i="15"/>
  <c r="AA284" i="15"/>
  <c r="Z296" i="15"/>
  <c r="Y296" i="15"/>
  <c r="K296" i="15"/>
  <c r="N296" i="15" s="1"/>
  <c r="X296" i="15"/>
  <c r="J296" i="15"/>
  <c r="W296" i="15"/>
  <c r="H296" i="15"/>
  <c r="V296" i="15"/>
  <c r="L333" i="15"/>
  <c r="L334" i="15" s="1"/>
  <c r="L351" i="15"/>
  <c r="L352" i="15" s="1"/>
  <c r="M355" i="15"/>
  <c r="M356" i="15" s="1"/>
  <c r="K355" i="15"/>
  <c r="M389" i="15"/>
  <c r="M390" i="15" s="1"/>
  <c r="K389" i="15"/>
  <c r="K390" i="15" s="1"/>
  <c r="S454" i="15"/>
  <c r="S470" i="15"/>
  <c r="S483" i="15" s="1"/>
  <c r="S329" i="15"/>
  <c r="T454" i="15"/>
  <c r="T461" i="15" s="1"/>
  <c r="T470" i="15"/>
  <c r="T475" i="15" s="1"/>
  <c r="Z47" i="15"/>
  <c r="T53" i="15"/>
  <c r="T65" i="15"/>
  <c r="AB65" i="15"/>
  <c r="Y67" i="15"/>
  <c r="S81" i="15"/>
  <c r="AA81" i="15"/>
  <c r="Y101" i="15"/>
  <c r="U105" i="15"/>
  <c r="AA107" i="15"/>
  <c r="Y109" i="15"/>
  <c r="U113" i="15"/>
  <c r="AA115" i="15"/>
  <c r="Y117" i="15"/>
  <c r="U121" i="15"/>
  <c r="AA123" i="15"/>
  <c r="Y125" i="15"/>
  <c r="U129" i="15"/>
  <c r="AA131" i="15"/>
  <c r="Y133" i="15"/>
  <c r="U137" i="15"/>
  <c r="AA139" i="15"/>
  <c r="Y141" i="15"/>
  <c r="U145" i="15"/>
  <c r="AA147" i="15"/>
  <c r="Y149" i="15"/>
  <c r="X151" i="15"/>
  <c r="X153" i="15"/>
  <c r="X155" i="15"/>
  <c r="X157" i="15"/>
  <c r="X159" i="15"/>
  <c r="X161" i="15"/>
  <c r="X163" i="15"/>
  <c r="X165" i="15"/>
  <c r="X167" i="15"/>
  <c r="X169" i="15"/>
  <c r="X171" i="15"/>
  <c r="X173" i="15"/>
  <c r="X175" i="15"/>
  <c r="X177" i="15"/>
  <c r="Z294" i="15"/>
  <c r="Z278" i="15"/>
  <c r="Z262" i="15"/>
  <c r="Z246" i="15"/>
  <c r="Z290" i="15"/>
  <c r="Z242" i="15"/>
  <c r="Z218" i="15"/>
  <c r="Y224" i="15"/>
  <c r="AA232" i="15"/>
  <c r="S236" i="15"/>
  <c r="AA244" i="15"/>
  <c r="S244" i="15"/>
  <c r="Y244" i="15"/>
  <c r="K244" i="15"/>
  <c r="N244" i="15" s="1"/>
  <c r="X244" i="15"/>
  <c r="J244" i="15"/>
  <c r="V244" i="15"/>
  <c r="Z248" i="15"/>
  <c r="Y248" i="15"/>
  <c r="K248" i="15"/>
  <c r="N248" i="15" s="1"/>
  <c r="W248" i="15"/>
  <c r="H248" i="15"/>
  <c r="V248" i="15"/>
  <c r="AA262" i="15"/>
  <c r="Z264" i="15"/>
  <c r="Y264" i="15"/>
  <c r="K264" i="15"/>
  <c r="N264" i="15" s="1"/>
  <c r="W264" i="15"/>
  <c r="H264" i="15"/>
  <c r="V264" i="15"/>
  <c r="AA278" i="15"/>
  <c r="Z280" i="15"/>
  <c r="Y280" i="15"/>
  <c r="K280" i="15"/>
  <c r="N280" i="15" s="1"/>
  <c r="W280" i="15"/>
  <c r="H280" i="15"/>
  <c r="V280" i="15"/>
  <c r="V288" i="15"/>
  <c r="AA294" i="15"/>
  <c r="S296" i="15"/>
  <c r="V342" i="15"/>
  <c r="V340" i="15"/>
  <c r="M363" i="15"/>
  <c r="M364" i="15" s="1"/>
  <c r="K363" i="15"/>
  <c r="K364" i="15" s="1"/>
  <c r="K382" i="15"/>
  <c r="L381" i="15"/>
  <c r="L382" i="15" s="1"/>
  <c r="U388" i="15"/>
  <c r="H388" i="15"/>
  <c r="AA388" i="15"/>
  <c r="Z388" i="15"/>
  <c r="W388" i="15"/>
  <c r="V388" i="15"/>
  <c r="Y388" i="15"/>
  <c r="P511" i="15"/>
  <c r="O511" i="15"/>
  <c r="P553" i="15"/>
  <c r="O553" i="15"/>
  <c r="W222" i="15"/>
  <c r="H222" i="15"/>
  <c r="AA222" i="15"/>
  <c r="S222" i="15"/>
  <c r="Y222" i="15"/>
  <c r="K222" i="15"/>
  <c r="N222" i="15" s="1"/>
  <c r="V372" i="15"/>
  <c r="V368" i="15"/>
  <c r="V366" i="15"/>
  <c r="V364" i="15"/>
  <c r="U549" i="15"/>
  <c r="K549" i="15"/>
  <c r="N549" i="15" s="1"/>
  <c r="J549" i="15"/>
  <c r="AA549" i="15"/>
  <c r="H549" i="15"/>
  <c r="Z549" i="15"/>
  <c r="W549" i="15"/>
  <c r="X549" i="15"/>
  <c r="V549" i="15"/>
  <c r="Y549" i="15"/>
  <c r="S77" i="15"/>
  <c r="T96" i="15"/>
  <c r="AB96" i="15"/>
  <c r="AA101" i="15"/>
  <c r="Y103" i="15"/>
  <c r="J105" i="15"/>
  <c r="W105" i="15"/>
  <c r="U107" i="15"/>
  <c r="AA109" i="15"/>
  <c r="Y111" i="15"/>
  <c r="J113" i="15"/>
  <c r="W113" i="15"/>
  <c r="U115" i="15"/>
  <c r="AA117" i="15"/>
  <c r="Y119" i="15"/>
  <c r="J121" i="15"/>
  <c r="W121" i="15"/>
  <c r="U123" i="15"/>
  <c r="AA125" i="15"/>
  <c r="Y127" i="15"/>
  <c r="J129" i="15"/>
  <c r="W129" i="15"/>
  <c r="U131" i="15"/>
  <c r="AA133" i="15"/>
  <c r="Y135" i="15"/>
  <c r="J137" i="15"/>
  <c r="W137" i="15"/>
  <c r="U139" i="15"/>
  <c r="AA141" i="15"/>
  <c r="J145" i="15"/>
  <c r="W145" i="15"/>
  <c r="U147" i="15"/>
  <c r="AA149" i="15"/>
  <c r="Z151" i="15"/>
  <c r="Z153" i="15"/>
  <c r="Z155" i="15"/>
  <c r="Z157" i="15"/>
  <c r="Z159" i="15"/>
  <c r="Z161" i="15"/>
  <c r="Z163" i="15"/>
  <c r="Z165" i="15"/>
  <c r="Z167" i="15"/>
  <c r="Z169" i="15"/>
  <c r="Z171" i="15"/>
  <c r="Z173" i="15"/>
  <c r="Z175" i="15"/>
  <c r="Z177" i="15"/>
  <c r="T213" i="15"/>
  <c r="AB213" i="15"/>
  <c r="AB218" i="15"/>
  <c r="S220" i="15"/>
  <c r="V224" i="15"/>
  <c r="AA224" i="15"/>
  <c r="S224" i="15"/>
  <c r="Z224" i="15"/>
  <c r="X224" i="15"/>
  <c r="J224" i="15"/>
  <c r="J232" i="15"/>
  <c r="Y234" i="15"/>
  <c r="AB234" i="15"/>
  <c r="S248" i="15"/>
  <c r="J254" i="15"/>
  <c r="H260" i="15"/>
  <c r="S264" i="15"/>
  <c r="S280" i="15"/>
  <c r="J286" i="15"/>
  <c r="AA296" i="15"/>
  <c r="M357" i="15"/>
  <c r="M358" i="15" s="1"/>
  <c r="K357" i="15"/>
  <c r="M365" i="15"/>
  <c r="M366" i="15" s="1"/>
  <c r="K365" i="15"/>
  <c r="M373" i="15"/>
  <c r="M374" i="15" s="1"/>
  <c r="K373" i="15"/>
  <c r="K374" i="15" s="1"/>
  <c r="U384" i="15"/>
  <c r="H384" i="15"/>
  <c r="AA384" i="15"/>
  <c r="Z384" i="15"/>
  <c r="J384" i="15"/>
  <c r="Y384" i="15"/>
  <c r="W384" i="15"/>
  <c r="M383" i="15"/>
  <c r="M384" i="15" s="1"/>
  <c r="K385" i="15"/>
  <c r="K386" i="15" s="1"/>
  <c r="J388" i="15"/>
  <c r="M687" i="15"/>
  <c r="L687" i="15"/>
  <c r="AA282" i="15"/>
  <c r="AA266" i="15"/>
  <c r="W270" i="15"/>
  <c r="H270" i="15"/>
  <c r="V270" i="15"/>
  <c r="AA270" i="15"/>
  <c r="S270" i="15"/>
  <c r="Y270" i="15"/>
  <c r="K270" i="15"/>
  <c r="N270" i="15" s="1"/>
  <c r="X406" i="15"/>
  <c r="M405" i="15"/>
  <c r="M406" i="15" s="1"/>
  <c r="W406" i="15"/>
  <c r="V406" i="15"/>
  <c r="J406" i="15"/>
  <c r="U406" i="15"/>
  <c r="H406" i="15"/>
  <c r="Z406" i="15"/>
  <c r="AA406" i="15"/>
  <c r="Y406" i="15"/>
  <c r="S67" i="15"/>
  <c r="U81" i="15"/>
  <c r="R5" i="15"/>
  <c r="U47" i="15"/>
  <c r="S49" i="15"/>
  <c r="AA49" i="15"/>
  <c r="L51" i="15"/>
  <c r="Y51" i="15"/>
  <c r="J53" i="15"/>
  <c r="W53" i="15"/>
  <c r="Z63" i="15"/>
  <c r="K65" i="15"/>
  <c r="W65" i="15"/>
  <c r="T67" i="15"/>
  <c r="M69" i="15"/>
  <c r="Y69" i="15"/>
  <c r="T77" i="15"/>
  <c r="AB77" i="15"/>
  <c r="M79" i="15"/>
  <c r="Y79" i="15"/>
  <c r="J81" i="15"/>
  <c r="V81" i="15"/>
  <c r="AB113" i="15" s="1"/>
  <c r="S83" i="15"/>
  <c r="AA83" i="15"/>
  <c r="AB101" i="15"/>
  <c r="Z103" i="15"/>
  <c r="K105" i="15"/>
  <c r="X105" i="15"/>
  <c r="H107" i="15"/>
  <c r="V107" i="15"/>
  <c r="Z111" i="15"/>
  <c r="K113" i="15"/>
  <c r="X113" i="15"/>
  <c r="H115" i="15"/>
  <c r="V115" i="15"/>
  <c r="AB153" i="15" s="1"/>
  <c r="AB117" i="15"/>
  <c r="Z119" i="15"/>
  <c r="K121" i="15"/>
  <c r="X121" i="15"/>
  <c r="H123" i="15"/>
  <c r="V123" i="15"/>
  <c r="AB161" i="15" s="1"/>
  <c r="AB125" i="15"/>
  <c r="Z127" i="15"/>
  <c r="K129" i="15"/>
  <c r="X129" i="15"/>
  <c r="H131" i="15"/>
  <c r="V131" i="15"/>
  <c r="AB169" i="15" s="1"/>
  <c r="Z135" i="15"/>
  <c r="K137" i="15"/>
  <c r="X137" i="15"/>
  <c r="H139" i="15"/>
  <c r="V139" i="15"/>
  <c r="AB177" i="15" s="1"/>
  <c r="Z143" i="15"/>
  <c r="K145" i="15"/>
  <c r="X145" i="15"/>
  <c r="H147" i="15"/>
  <c r="V147" i="15"/>
  <c r="AB185" i="15" s="1"/>
  <c r="AA151" i="15"/>
  <c r="AA153" i="15"/>
  <c r="AA155" i="15"/>
  <c r="AA157" i="15"/>
  <c r="AA159" i="15"/>
  <c r="AA161" i="15"/>
  <c r="AA163" i="15"/>
  <c r="AA165" i="15"/>
  <c r="AA167" i="15"/>
  <c r="AA169" i="15"/>
  <c r="AA171" i="15"/>
  <c r="AA173" i="15"/>
  <c r="AA175" i="15"/>
  <c r="AA177" i="15"/>
  <c r="AA179" i="15"/>
  <c r="AB222" i="15"/>
  <c r="AB220" i="15"/>
  <c r="U218" i="15"/>
  <c r="U220" i="15"/>
  <c r="J222" i="15"/>
  <c r="H224" i="15"/>
  <c r="U226" i="15"/>
  <c r="AA226" i="15"/>
  <c r="K232" i="15"/>
  <c r="N232" i="15" s="1"/>
  <c r="Y236" i="15"/>
  <c r="V238" i="15"/>
  <c r="W240" i="15"/>
  <c r="S242" i="15"/>
  <c r="U244" i="15"/>
  <c r="U248" i="15"/>
  <c r="U264" i="15"/>
  <c r="U280" i="15"/>
  <c r="L377" i="15"/>
  <c r="L378" i="15" s="1"/>
  <c r="X388" i="15"/>
  <c r="K405" i="15"/>
  <c r="K406" i="15" s="1"/>
  <c r="X410" i="15"/>
  <c r="M409" i="15"/>
  <c r="M410" i="15" s="1"/>
  <c r="W410" i="15"/>
  <c r="V410" i="15"/>
  <c r="J410" i="15"/>
  <c r="U410" i="15"/>
  <c r="H410" i="15"/>
  <c r="Z410" i="15"/>
  <c r="Y410" i="15"/>
  <c r="P519" i="15"/>
  <c r="O519" i="15"/>
  <c r="AA218" i="15"/>
  <c r="S228" i="15"/>
  <c r="AA276" i="15"/>
  <c r="S276" i="15"/>
  <c r="Y276" i="15"/>
  <c r="K276" i="15"/>
  <c r="N276" i="15" s="1"/>
  <c r="X276" i="15"/>
  <c r="J276" i="15"/>
  <c r="V276" i="15"/>
  <c r="AA292" i="15"/>
  <c r="S292" i="15"/>
  <c r="Y292" i="15"/>
  <c r="K292" i="15"/>
  <c r="N292" i="15" s="1"/>
  <c r="X292" i="15"/>
  <c r="J292" i="15"/>
  <c r="V292" i="15"/>
  <c r="AB47" i="15"/>
  <c r="H53" i="15"/>
  <c r="H81" i="15"/>
  <c r="H46" i="15"/>
  <c r="V47" i="15"/>
  <c r="Z51" i="15"/>
  <c r="K53" i="15"/>
  <c r="X53" i="15"/>
  <c r="S63" i="15"/>
  <c r="L65" i="15"/>
  <c r="X65" i="15"/>
  <c r="H67" i="15"/>
  <c r="U67" i="15"/>
  <c r="Z69" i="15"/>
  <c r="H77" i="15"/>
  <c r="U77" i="15"/>
  <c r="Z79" i="15"/>
  <c r="K81" i="15"/>
  <c r="W81" i="15"/>
  <c r="AA103" i="15"/>
  <c r="L105" i="15"/>
  <c r="Y105" i="15"/>
  <c r="J107" i="15"/>
  <c r="W107" i="15"/>
  <c r="AA111" i="15"/>
  <c r="L113" i="15"/>
  <c r="Y113" i="15"/>
  <c r="J115" i="15"/>
  <c r="W115" i="15"/>
  <c r="AA119" i="15"/>
  <c r="L121" i="15"/>
  <c r="Y121" i="15"/>
  <c r="J123" i="15"/>
  <c r="W123" i="15"/>
  <c r="AA127" i="15"/>
  <c r="L129" i="15"/>
  <c r="Y129" i="15"/>
  <c r="J131" i="15"/>
  <c r="W131" i="15"/>
  <c r="AA135" i="15"/>
  <c r="L137" i="15"/>
  <c r="Y137" i="15"/>
  <c r="J139" i="15"/>
  <c r="W139" i="15"/>
  <c r="AA143" i="15"/>
  <c r="L145" i="15"/>
  <c r="Y145" i="15"/>
  <c r="J147" i="15"/>
  <c r="W147" i="15"/>
  <c r="U149" i="15"/>
  <c r="AB292" i="15"/>
  <c r="AB276" i="15"/>
  <c r="AB260" i="15"/>
  <c r="AB244" i="15"/>
  <c r="AB228" i="15"/>
  <c r="AB290" i="15"/>
  <c r="AB274" i="15"/>
  <c r="AB258" i="15"/>
  <c r="AB242" i="15"/>
  <c r="AB286" i="15"/>
  <c r="AB270" i="15"/>
  <c r="AB254" i="15"/>
  <c r="AB238" i="15"/>
  <c r="AB284" i="15"/>
  <c r="AB268" i="15"/>
  <c r="AB252" i="15"/>
  <c r="AB236" i="15"/>
  <c r="AB296" i="15"/>
  <c r="AB280" i="15"/>
  <c r="AB264" i="15"/>
  <c r="AB248" i="15"/>
  <c r="AB232" i="15"/>
  <c r="V218" i="15"/>
  <c r="X220" i="15"/>
  <c r="Z220" i="15"/>
  <c r="V220" i="15"/>
  <c r="K224" i="15"/>
  <c r="N224" i="15" s="1"/>
  <c r="AB226" i="15"/>
  <c r="Z228" i="15"/>
  <c r="V230" i="15"/>
  <c r="S232" i="15"/>
  <c r="X236" i="15"/>
  <c r="AA236" i="15"/>
  <c r="X238" i="15"/>
  <c r="Y240" i="15"/>
  <c r="V242" i="15"/>
  <c r="W244" i="15"/>
  <c r="X248" i="15"/>
  <c r="W250" i="15"/>
  <c r="S252" i="15"/>
  <c r="W256" i="15"/>
  <c r="S258" i="15"/>
  <c r="U260" i="15"/>
  <c r="V262" i="15"/>
  <c r="X264" i="15"/>
  <c r="W266" i="15"/>
  <c r="S268" i="15"/>
  <c r="U270" i="15"/>
  <c r="W272" i="15"/>
  <c r="S274" i="15"/>
  <c r="U276" i="15"/>
  <c r="V278" i="15"/>
  <c r="X280" i="15"/>
  <c r="W282" i="15"/>
  <c r="S284" i="15"/>
  <c r="U286" i="15"/>
  <c r="U292" i="15"/>
  <c r="V294" i="15"/>
  <c r="L337" i="15"/>
  <c r="L338" i="15" s="1"/>
  <c r="L341" i="15"/>
  <c r="L342" i="15" s="1"/>
  <c r="L345" i="15"/>
  <c r="L346" i="15" s="1"/>
  <c r="M359" i="15"/>
  <c r="M360" i="15" s="1"/>
  <c r="K359" i="15"/>
  <c r="M367" i="15"/>
  <c r="M368" i="15" s="1"/>
  <c r="K367" i="15"/>
  <c r="K370" i="15"/>
  <c r="L369" i="15"/>
  <c r="L370" i="15" s="1"/>
  <c r="V384" i="15"/>
  <c r="S282" i="15"/>
  <c r="S266" i="15"/>
  <c r="S234" i="15"/>
  <c r="AB224" i="15"/>
  <c r="V236" i="15"/>
  <c r="W254" i="15"/>
  <c r="H254" i="15"/>
  <c r="V254" i="15"/>
  <c r="AA254" i="15"/>
  <c r="S254" i="15"/>
  <c r="Y254" i="15"/>
  <c r="K254" i="15"/>
  <c r="N254" i="15" s="1"/>
  <c r="V53" i="15"/>
  <c r="J47" i="15"/>
  <c r="W47" i="15"/>
  <c r="S51" i="15"/>
  <c r="AA51" i="15"/>
  <c r="L53" i="15"/>
  <c r="Y53" i="15"/>
  <c r="M65" i="15"/>
  <c r="Y65" i="15"/>
  <c r="J67" i="15"/>
  <c r="V67" i="15"/>
  <c r="S69" i="15"/>
  <c r="AA69" i="15"/>
  <c r="J77" i="15"/>
  <c r="V77" i="15"/>
  <c r="S79" i="15"/>
  <c r="AA79" i="15"/>
  <c r="L81" i="15"/>
  <c r="X81" i="15"/>
  <c r="AB103" i="15"/>
  <c r="Z105" i="15"/>
  <c r="K107" i="15"/>
  <c r="X107" i="15"/>
  <c r="V109" i="15"/>
  <c r="AB149" i="15" s="1"/>
  <c r="Z113" i="15"/>
  <c r="K115" i="15"/>
  <c r="X115" i="15"/>
  <c r="AB119" i="15"/>
  <c r="Z121" i="15"/>
  <c r="K123" i="15"/>
  <c r="X123" i="15"/>
  <c r="AB127" i="15"/>
  <c r="Z129" i="15"/>
  <c r="K131" i="15"/>
  <c r="X131" i="15"/>
  <c r="Z137" i="15"/>
  <c r="K139" i="15"/>
  <c r="X139" i="15"/>
  <c r="V141" i="15"/>
  <c r="AB179" i="15" s="1"/>
  <c r="Z145" i="15"/>
  <c r="K147" i="15"/>
  <c r="X147" i="15"/>
  <c r="W284" i="15"/>
  <c r="W268" i="15"/>
  <c r="W252" i="15"/>
  <c r="W290" i="15"/>
  <c r="W274" i="15"/>
  <c r="W258" i="15"/>
  <c r="W242" i="15"/>
  <c r="H218" i="15"/>
  <c r="W218" i="15"/>
  <c r="W220" i="15"/>
  <c r="U222" i="15"/>
  <c r="Y230" i="15"/>
  <c r="U232" i="15"/>
  <c r="AB240" i="15"/>
  <c r="Z244" i="15"/>
  <c r="Y246" i="15"/>
  <c r="AA248" i="15"/>
  <c r="Z250" i="15"/>
  <c r="V252" i="15"/>
  <c r="X254" i="15"/>
  <c r="Y256" i="15"/>
  <c r="V258" i="15"/>
  <c r="Y262" i="15"/>
  <c r="AA264" i="15"/>
  <c r="Z266" i="15"/>
  <c r="V268" i="15"/>
  <c r="X270" i="15"/>
  <c r="Y272" i="15"/>
  <c r="W276" i="15"/>
  <c r="Y278" i="15"/>
  <c r="AA280" i="15"/>
  <c r="Z282" i="15"/>
  <c r="V284" i="15"/>
  <c r="Y288" i="15"/>
  <c r="W292" i="15"/>
  <c r="AB294" i="15"/>
  <c r="X384" i="15"/>
  <c r="U477" i="15"/>
  <c r="AB470" i="15"/>
  <c r="AB475" i="15"/>
  <c r="L625" i="15"/>
  <c r="M625" i="15"/>
  <c r="S218" i="15"/>
  <c r="AA260" i="15"/>
  <c r="S260" i="15"/>
  <c r="Y260" i="15"/>
  <c r="K260" i="15"/>
  <c r="N260" i="15" s="1"/>
  <c r="X260" i="15"/>
  <c r="J260" i="15"/>
  <c r="V260" i="15"/>
  <c r="W286" i="15"/>
  <c r="H286" i="15"/>
  <c r="V286" i="15"/>
  <c r="AA286" i="15"/>
  <c r="S286" i="15"/>
  <c r="Y286" i="15"/>
  <c r="K286" i="15"/>
  <c r="N286" i="15" s="1"/>
  <c r="M5" i="15"/>
  <c r="T47" i="15"/>
  <c r="D33" i="10" s="1"/>
  <c r="J65" i="15"/>
  <c r="V65" i="15"/>
  <c r="AA67" i="15"/>
  <c r="AA77" i="15"/>
  <c r="K47" i="15"/>
  <c r="K67" i="15"/>
  <c r="M81" i="15"/>
  <c r="W101" i="15"/>
  <c r="L107" i="15"/>
  <c r="W109" i="15"/>
  <c r="L115" i="15"/>
  <c r="W117" i="15"/>
  <c r="L123" i="15"/>
  <c r="W125" i="15"/>
  <c r="L131" i="15"/>
  <c r="W133" i="15"/>
  <c r="L139" i="15"/>
  <c r="L147" i="15"/>
  <c r="X282" i="15"/>
  <c r="X266" i="15"/>
  <c r="X250" i="15"/>
  <c r="J218" i="15"/>
  <c r="Y220" i="15"/>
  <c r="V222" i="15"/>
  <c r="U224" i="15"/>
  <c r="Y228" i="15"/>
  <c r="K228" i="15"/>
  <c r="N228" i="15" s="1"/>
  <c r="X228" i="15"/>
  <c r="J228" i="15"/>
  <c r="V228" i="15"/>
  <c r="Z230" i="15"/>
  <c r="X232" i="15"/>
  <c r="W238" i="15"/>
  <c r="H238" i="15"/>
  <c r="AA238" i="15"/>
  <c r="S238" i="15"/>
  <c r="Y238" i="15"/>
  <c r="K238" i="15"/>
  <c r="N238" i="15" s="1"/>
  <c r="AA242" i="15"/>
  <c r="AB246" i="15"/>
  <c r="AB250" i="15"/>
  <c r="Y252" i="15"/>
  <c r="Z254" i="15"/>
  <c r="AB256" i="15"/>
  <c r="X258" i="15"/>
  <c r="Z260" i="15"/>
  <c r="AB262" i="15"/>
  <c r="AB266" i="15"/>
  <c r="Y268" i="15"/>
  <c r="Z270" i="15"/>
  <c r="AB272" i="15"/>
  <c r="X274" i="15"/>
  <c r="Z276" i="15"/>
  <c r="AB278" i="15"/>
  <c r="AB282" i="15"/>
  <c r="Y284" i="15"/>
  <c r="Z286" i="15"/>
  <c r="AB288" i="15"/>
  <c r="X290" i="15"/>
  <c r="Z292" i="15"/>
  <c r="T329" i="15"/>
  <c r="AB329" i="15"/>
  <c r="M361" i="15"/>
  <c r="M362" i="15" s="1"/>
  <c r="K361" i="15"/>
  <c r="K393" i="15"/>
  <c r="K394" i="15" s="1"/>
  <c r="K397" i="15"/>
  <c r="K398" i="15" s="1"/>
  <c r="Y467" i="15"/>
  <c r="Y459" i="15"/>
  <c r="Y465" i="15"/>
  <c r="Y463" i="15"/>
  <c r="L463" i="15"/>
  <c r="X463" i="15"/>
  <c r="K463" i="15"/>
  <c r="W463" i="15"/>
  <c r="J463" i="15"/>
  <c r="V463" i="15"/>
  <c r="H463" i="15"/>
  <c r="U463" i="15"/>
  <c r="AA463" i="15"/>
  <c r="Z463" i="15"/>
  <c r="P537" i="15"/>
  <c r="O537" i="15"/>
  <c r="W226" i="15"/>
  <c r="U230" i="15"/>
  <c r="AA234" i="15"/>
  <c r="Z236" i="15"/>
  <c r="J240" i="15"/>
  <c r="X240" i="15"/>
  <c r="U246" i="15"/>
  <c r="S250" i="15"/>
  <c r="AA250" i="15"/>
  <c r="Z252" i="15"/>
  <c r="J256" i="15"/>
  <c r="X256" i="15"/>
  <c r="U262" i="15"/>
  <c r="Z268" i="15"/>
  <c r="J272" i="15"/>
  <c r="X272" i="15"/>
  <c r="U278" i="15"/>
  <c r="Z284" i="15"/>
  <c r="J288" i="15"/>
  <c r="X288" i="15"/>
  <c r="U294" i="15"/>
  <c r="J334" i="15"/>
  <c r="V334" i="15"/>
  <c r="J336" i="15"/>
  <c r="V336" i="15"/>
  <c r="V338" i="15"/>
  <c r="V344" i="15"/>
  <c r="V346" i="15"/>
  <c r="V348" i="15"/>
  <c r="V350" i="15"/>
  <c r="V354" i="15"/>
  <c r="V356" i="15"/>
  <c r="V358" i="15"/>
  <c r="V360" i="15"/>
  <c r="K379" i="15"/>
  <c r="V382" i="15"/>
  <c r="U386" i="15"/>
  <c r="H386" i="15"/>
  <c r="AA386" i="15"/>
  <c r="Z386" i="15"/>
  <c r="X386" i="15"/>
  <c r="K391" i="15"/>
  <c r="V392" i="15"/>
  <c r="U394" i="15"/>
  <c r="U398" i="15"/>
  <c r="V402" i="15"/>
  <c r="X408" i="15"/>
  <c r="M407" i="15"/>
  <c r="M408" i="15" s="1"/>
  <c r="W408" i="15"/>
  <c r="V408" i="15"/>
  <c r="J408" i="15"/>
  <c r="U408" i="15"/>
  <c r="H408" i="15"/>
  <c r="Z408" i="15"/>
  <c r="AA412" i="15"/>
  <c r="Z447" i="15"/>
  <c r="Y447" i="15"/>
  <c r="K447" i="15"/>
  <c r="N447" i="15" s="1"/>
  <c r="X447" i="15"/>
  <c r="J447" i="15"/>
  <c r="W447" i="15"/>
  <c r="H447" i="15"/>
  <c r="V447" i="15"/>
  <c r="T447" i="15"/>
  <c r="AA447" i="15"/>
  <c r="S447" i="15"/>
  <c r="P503" i="15"/>
  <c r="O503" i="15"/>
  <c r="O521" i="15"/>
  <c r="P521" i="15"/>
  <c r="P535" i="15"/>
  <c r="O535" i="15"/>
  <c r="O545" i="15"/>
  <c r="P545" i="15"/>
  <c r="K226" i="15"/>
  <c r="N226" i="15" s="1"/>
  <c r="Y226" i="15"/>
  <c r="H230" i="15"/>
  <c r="W230" i="15"/>
  <c r="U234" i="15"/>
  <c r="Z240" i="15"/>
  <c r="K242" i="15"/>
  <c r="Y242" i="15"/>
  <c r="H246" i="15"/>
  <c r="W246" i="15"/>
  <c r="U250" i="15"/>
  <c r="Z256" i="15"/>
  <c r="K258" i="15"/>
  <c r="Y258" i="15"/>
  <c r="H262" i="15"/>
  <c r="W262" i="15"/>
  <c r="U266" i="15"/>
  <c r="Z272" i="15"/>
  <c r="K274" i="15"/>
  <c r="Y274" i="15"/>
  <c r="H278" i="15"/>
  <c r="W278" i="15"/>
  <c r="U282" i="15"/>
  <c r="Z288" i="15"/>
  <c r="K290" i="15"/>
  <c r="Y290" i="15"/>
  <c r="H294" i="15"/>
  <c r="W294" i="15"/>
  <c r="W402" i="15"/>
  <c r="W400" i="15"/>
  <c r="W398" i="15"/>
  <c r="W396" i="15"/>
  <c r="M333" i="15"/>
  <c r="M334" i="15" s="1"/>
  <c r="X334" i="15"/>
  <c r="M335" i="15"/>
  <c r="M336" i="15" s="1"/>
  <c r="X336" i="15"/>
  <c r="M337" i="15"/>
  <c r="M338" i="15" s="1"/>
  <c r="X338" i="15"/>
  <c r="M339" i="15"/>
  <c r="M340" i="15" s="1"/>
  <c r="X340" i="15"/>
  <c r="M341" i="15"/>
  <c r="M342" i="15" s="1"/>
  <c r="X342" i="15"/>
  <c r="M343" i="15"/>
  <c r="M344" i="15" s="1"/>
  <c r="X344" i="15"/>
  <c r="M345" i="15"/>
  <c r="M346" i="15" s="1"/>
  <c r="X346" i="15"/>
  <c r="M347" i="15"/>
  <c r="M348" i="15" s="1"/>
  <c r="X348" i="15"/>
  <c r="M349" i="15"/>
  <c r="M350" i="15" s="1"/>
  <c r="X350" i="15"/>
  <c r="M351" i="15"/>
  <c r="M352" i="15" s="1"/>
  <c r="X352" i="15"/>
  <c r="M353" i="15"/>
  <c r="M354" i="15" s="1"/>
  <c r="X354" i="15"/>
  <c r="X356" i="15"/>
  <c r="X358" i="15"/>
  <c r="X360" i="15"/>
  <c r="X362" i="15"/>
  <c r="X364" i="15"/>
  <c r="X366" i="15"/>
  <c r="X368" i="15"/>
  <c r="U370" i="15"/>
  <c r="H370" i="15"/>
  <c r="AA370" i="15"/>
  <c r="V378" i="15"/>
  <c r="W380" i="15"/>
  <c r="U382" i="15"/>
  <c r="H382" i="15"/>
  <c r="AA382" i="15"/>
  <c r="Z382" i="15"/>
  <c r="X382" i="15"/>
  <c r="J386" i="15"/>
  <c r="X392" i="15"/>
  <c r="V396" i="15"/>
  <c r="U400" i="15"/>
  <c r="K401" i="15"/>
  <c r="K407" i="15"/>
  <c r="K408" i="15" s="1"/>
  <c r="X412" i="15"/>
  <c r="M411" i="15"/>
  <c r="M412" i="15" s="1"/>
  <c r="W412" i="15"/>
  <c r="V412" i="15"/>
  <c r="J412" i="15"/>
  <c r="U412" i="15"/>
  <c r="H412" i="15"/>
  <c r="Z412" i="15"/>
  <c r="O505" i="15"/>
  <c r="P505" i="15"/>
  <c r="AA513" i="15"/>
  <c r="H513" i="15"/>
  <c r="Z513" i="15"/>
  <c r="Y513" i="15"/>
  <c r="X513" i="15"/>
  <c r="W513" i="15"/>
  <c r="U513" i="15"/>
  <c r="K513" i="15"/>
  <c r="N513" i="15" s="1"/>
  <c r="J513" i="15"/>
  <c r="M627" i="15"/>
  <c r="L627" i="15"/>
  <c r="L641" i="15"/>
  <c r="M641" i="15"/>
  <c r="V647" i="15"/>
  <c r="Z226" i="15"/>
  <c r="J230" i="15"/>
  <c r="X230" i="15"/>
  <c r="U236" i="15"/>
  <c r="S240" i="15"/>
  <c r="AA240" i="15"/>
  <c r="X246" i="15"/>
  <c r="U252" i="15"/>
  <c r="S256" i="15"/>
  <c r="AA256" i="15"/>
  <c r="Z258" i="15"/>
  <c r="J262" i="15"/>
  <c r="X262" i="15"/>
  <c r="U268" i="15"/>
  <c r="S272" i="15"/>
  <c r="AA272" i="15"/>
  <c r="Z274" i="15"/>
  <c r="J278" i="15"/>
  <c r="X278" i="15"/>
  <c r="U284" i="15"/>
  <c r="S288" i="15"/>
  <c r="AA288" i="15"/>
  <c r="J294" i="15"/>
  <c r="X294" i="15"/>
  <c r="Y334" i="15"/>
  <c r="Y336" i="15"/>
  <c r="Y338" i="15"/>
  <c r="Y340" i="15"/>
  <c r="Y342" i="15"/>
  <c r="Y344" i="15"/>
  <c r="Y346" i="15"/>
  <c r="Y348" i="15"/>
  <c r="Y350" i="15"/>
  <c r="Y352" i="15"/>
  <c r="AA368" i="15"/>
  <c r="Y368" i="15"/>
  <c r="V370" i="15"/>
  <c r="M377" i="15"/>
  <c r="M378" i="15" s="1"/>
  <c r="U380" i="15"/>
  <c r="H380" i="15"/>
  <c r="AA380" i="15"/>
  <c r="Z380" i="15"/>
  <c r="X380" i="15"/>
  <c r="Y382" i="15"/>
  <c r="U392" i="15"/>
  <c r="X396" i="15"/>
  <c r="L399" i="15"/>
  <c r="L400" i="15" s="1"/>
  <c r="K409" i="15"/>
  <c r="K410" i="15" s="1"/>
  <c r="AB459" i="15"/>
  <c r="P523" i="15"/>
  <c r="O523" i="15"/>
  <c r="AA529" i="15"/>
  <c r="H529" i="15"/>
  <c r="Z529" i="15"/>
  <c r="Y529" i="15"/>
  <c r="X529" i="15"/>
  <c r="W529" i="15"/>
  <c r="U529" i="15"/>
  <c r="K529" i="15"/>
  <c r="N529" i="15" s="1"/>
  <c r="J529" i="15"/>
  <c r="M673" i="15"/>
  <c r="L673" i="15"/>
  <c r="Z358" i="15"/>
  <c r="Z360" i="15"/>
  <c r="Z362" i="15"/>
  <c r="Z364" i="15"/>
  <c r="Z366" i="15"/>
  <c r="W376" i="15"/>
  <c r="U378" i="15"/>
  <c r="H378" i="15"/>
  <c r="AA378" i="15"/>
  <c r="Z378" i="15"/>
  <c r="X378" i="15"/>
  <c r="Y380" i="15"/>
  <c r="W390" i="15"/>
  <c r="V398" i="15"/>
  <c r="U402" i="15"/>
  <c r="X404" i="15"/>
  <c r="W404" i="15"/>
  <c r="V404" i="15"/>
  <c r="J404" i="15"/>
  <c r="U404" i="15"/>
  <c r="H404" i="15"/>
  <c r="Z404" i="15"/>
  <c r="AA404" i="15"/>
  <c r="T443" i="15"/>
  <c r="AA443" i="15"/>
  <c r="S443" i="15"/>
  <c r="Z443" i="15"/>
  <c r="Y443" i="15"/>
  <c r="K443" i="15"/>
  <c r="N443" i="15" s="1"/>
  <c r="X443" i="15"/>
  <c r="J443" i="15"/>
  <c r="V443" i="15"/>
  <c r="P515" i="15"/>
  <c r="O515" i="15"/>
  <c r="AA569" i="15"/>
  <c r="H569" i="15"/>
  <c r="Z569" i="15"/>
  <c r="Y569" i="15"/>
  <c r="X569" i="15"/>
  <c r="U569" i="15"/>
  <c r="K569" i="15"/>
  <c r="N569" i="15" s="1"/>
  <c r="J569" i="15"/>
  <c r="W569" i="15"/>
  <c r="U240" i="15"/>
  <c r="U256" i="15"/>
  <c r="U272" i="15"/>
  <c r="U288" i="15"/>
  <c r="AA350" i="15"/>
  <c r="AA352" i="15"/>
  <c r="AA354" i="15"/>
  <c r="AA356" i="15"/>
  <c r="AA358" i="15"/>
  <c r="AA360" i="15"/>
  <c r="AA362" i="15"/>
  <c r="AA364" i="15"/>
  <c r="X370" i="15"/>
  <c r="U372" i="15"/>
  <c r="H372" i="15"/>
  <c r="AA372" i="15"/>
  <c r="W372" i="15"/>
  <c r="W374" i="15"/>
  <c r="U376" i="15"/>
  <c r="H376" i="15"/>
  <c r="AA376" i="15"/>
  <c r="Z376" i="15"/>
  <c r="X376" i="15"/>
  <c r="Y378" i="15"/>
  <c r="X390" i="15"/>
  <c r="V394" i="15"/>
  <c r="U396" i="15"/>
  <c r="H443" i="15"/>
  <c r="U479" i="15"/>
  <c r="Y483" i="15"/>
  <c r="L483" i="15"/>
  <c r="X483" i="15"/>
  <c r="K483" i="15"/>
  <c r="W483" i="15"/>
  <c r="J483" i="15"/>
  <c r="V483" i="15"/>
  <c r="H483" i="15"/>
  <c r="U483" i="15"/>
  <c r="AA483" i="15"/>
  <c r="Z483" i="15"/>
  <c r="P531" i="15"/>
  <c r="O531" i="15"/>
  <c r="P563" i="15"/>
  <c r="O563" i="15"/>
  <c r="P575" i="15"/>
  <c r="O575" i="15"/>
  <c r="M653" i="15"/>
  <c r="L653" i="15"/>
  <c r="S230" i="15"/>
  <c r="K234" i="15"/>
  <c r="N234" i="15" s="1"/>
  <c r="J236" i="15"/>
  <c r="S246" i="15"/>
  <c r="K250" i="15"/>
  <c r="N250" i="15" s="1"/>
  <c r="J252" i="15"/>
  <c r="S262" i="15"/>
  <c r="K266" i="15"/>
  <c r="N266" i="15" s="1"/>
  <c r="J268" i="15"/>
  <c r="S278" i="15"/>
  <c r="K282" i="15"/>
  <c r="N282" i="15" s="1"/>
  <c r="J284" i="15"/>
  <c r="S294" i="15"/>
  <c r="Y370" i="15"/>
  <c r="X372" i="15"/>
  <c r="U374" i="15"/>
  <c r="H374" i="15"/>
  <c r="AA374" i="15"/>
  <c r="Z374" i="15"/>
  <c r="X374" i="15"/>
  <c r="Y376" i="15"/>
  <c r="J378" i="15"/>
  <c r="V386" i="15"/>
  <c r="U390" i="15"/>
  <c r="W394" i="15"/>
  <c r="AA408" i="15"/>
  <c r="AB436" i="15"/>
  <c r="U443" i="15"/>
  <c r="Y475" i="15"/>
  <c r="L475" i="15"/>
  <c r="X475" i="15"/>
  <c r="K475" i="15"/>
  <c r="W475" i="15"/>
  <c r="J475" i="15"/>
  <c r="V475" i="15"/>
  <c r="H475" i="15"/>
  <c r="U475" i="15"/>
  <c r="AA475" i="15"/>
  <c r="Z475" i="15"/>
  <c r="P507" i="15"/>
  <c r="O507" i="15"/>
  <c r="P547" i="15"/>
  <c r="O547" i="15"/>
  <c r="M657" i="15"/>
  <c r="L657" i="15"/>
  <c r="Z579" i="15"/>
  <c r="Z575" i="15"/>
  <c r="Z559" i="15"/>
  <c r="Z501" i="15"/>
  <c r="V509" i="15"/>
  <c r="AB549" i="15" s="1"/>
  <c r="AB513" i="15"/>
  <c r="AA515" i="15"/>
  <c r="Z517" i="15"/>
  <c r="V525" i="15"/>
  <c r="U527" i="15"/>
  <c r="AA531" i="15"/>
  <c r="Z533" i="15"/>
  <c r="W545" i="15"/>
  <c r="Z547" i="15"/>
  <c r="P555" i="15"/>
  <c r="O555" i="15"/>
  <c r="AA559" i="15"/>
  <c r="Y563" i="15"/>
  <c r="W575" i="15"/>
  <c r="Y575" i="15"/>
  <c r="U627" i="15"/>
  <c r="K627" i="15"/>
  <c r="N627" i="15" s="1"/>
  <c r="J627" i="15"/>
  <c r="AA627" i="15"/>
  <c r="H627" i="15"/>
  <c r="Z627" i="15"/>
  <c r="Y627" i="15"/>
  <c r="W627" i="15"/>
  <c r="Z729" i="15"/>
  <c r="H729" i="15"/>
  <c r="Y729" i="15"/>
  <c r="X729" i="15"/>
  <c r="W729" i="15"/>
  <c r="J729" i="15"/>
  <c r="V729" i="15"/>
  <c r="L893" i="15"/>
  <c r="M893" i="15"/>
  <c r="U445" i="15"/>
  <c r="W459" i="15"/>
  <c r="U461" i="15"/>
  <c r="W467" i="15"/>
  <c r="U481" i="15"/>
  <c r="AA577" i="15"/>
  <c r="AA573" i="15"/>
  <c r="AA557" i="15"/>
  <c r="AA501" i="15"/>
  <c r="Z503" i="15"/>
  <c r="W509" i="15"/>
  <c r="V511" i="15"/>
  <c r="AB515" i="15"/>
  <c r="AA517" i="15"/>
  <c r="Z519" i="15"/>
  <c r="X523" i="15"/>
  <c r="W525" i="15"/>
  <c r="V527" i="15"/>
  <c r="AB531" i="15"/>
  <c r="AA533" i="15"/>
  <c r="Z535" i="15"/>
  <c r="X543" i="15"/>
  <c r="X545" i="15"/>
  <c r="AA553" i="15"/>
  <c r="H553" i="15"/>
  <c r="Z553" i="15"/>
  <c r="Y553" i="15"/>
  <c r="X553" i="15"/>
  <c r="U553" i="15"/>
  <c r="K553" i="15"/>
  <c r="N553" i="15" s="1"/>
  <c r="V553" i="15"/>
  <c r="P559" i="15"/>
  <c r="O559" i="15"/>
  <c r="AB559" i="15"/>
  <c r="Z563" i="15"/>
  <c r="P571" i="15"/>
  <c r="O571" i="15"/>
  <c r="AA575" i="15"/>
  <c r="AB685" i="15"/>
  <c r="AB669" i="15"/>
  <c r="AB683" i="15"/>
  <c r="AB667" i="15"/>
  <c r="AB681" i="15"/>
  <c r="AB665" i="15"/>
  <c r="AB679" i="15"/>
  <c r="AB689" i="15"/>
  <c r="AB673" i="15"/>
  <c r="AB657" i="15"/>
  <c r="AB693" i="15"/>
  <c r="AB645" i="15"/>
  <c r="AB643" i="15"/>
  <c r="AB641" i="15"/>
  <c r="AB675" i="15"/>
  <c r="AB655" i="15"/>
  <c r="AB639" i="15"/>
  <c r="AB671" i="15"/>
  <c r="AB661" i="15"/>
  <c r="AB637" i="15"/>
  <c r="AB687" i="15"/>
  <c r="AB659" i="15"/>
  <c r="AB649" i="15"/>
  <c r="AA615" i="15"/>
  <c r="H615" i="15"/>
  <c r="Z615" i="15"/>
  <c r="Y615" i="15"/>
  <c r="X615" i="15"/>
  <c r="W615" i="15"/>
  <c r="U615" i="15"/>
  <c r="K615" i="15"/>
  <c r="N615" i="15" s="1"/>
  <c r="AB615" i="15"/>
  <c r="M619" i="15"/>
  <c r="L619" i="15"/>
  <c r="M671" i="15"/>
  <c r="L671" i="15"/>
  <c r="M677" i="15"/>
  <c r="L677" i="15"/>
  <c r="W731" i="15"/>
  <c r="K748" i="15"/>
  <c r="L748" i="15" s="1"/>
  <c r="M749" i="15"/>
  <c r="Q749" i="15" s="1"/>
  <c r="W755" i="15"/>
  <c r="K780" i="15"/>
  <c r="L781" i="15" s="1"/>
  <c r="M781" i="15"/>
  <c r="Q781" i="15" s="1"/>
  <c r="Y390" i="15"/>
  <c r="Y392" i="15"/>
  <c r="Y394" i="15"/>
  <c r="Y396" i="15"/>
  <c r="Y398" i="15"/>
  <c r="Y400" i="15"/>
  <c r="Y402" i="15"/>
  <c r="H445" i="15"/>
  <c r="W445" i="15"/>
  <c r="U449" i="15"/>
  <c r="J461" i="15"/>
  <c r="W461" i="15"/>
  <c r="J481" i="15"/>
  <c r="W481" i="15"/>
  <c r="U501" i="15"/>
  <c r="AA505" i="15"/>
  <c r="Z507" i="15"/>
  <c r="Y509" i="15"/>
  <c r="X511" i="15"/>
  <c r="O513" i="15"/>
  <c r="Q513" i="15" s="1"/>
  <c r="V515" i="15"/>
  <c r="U517" i="15"/>
  <c r="AB519" i="15"/>
  <c r="AA521" i="15"/>
  <c r="Z523" i="15"/>
  <c r="Y525" i="15"/>
  <c r="X527" i="15"/>
  <c r="O529" i="15"/>
  <c r="Q529" i="15" s="1"/>
  <c r="V531" i="15"/>
  <c r="U533" i="15"/>
  <c r="Z539" i="15"/>
  <c r="Y539" i="15"/>
  <c r="X539" i="15"/>
  <c r="W539" i="15"/>
  <c r="P543" i="15"/>
  <c r="O543" i="15"/>
  <c r="Y543" i="15"/>
  <c r="Z545" i="15"/>
  <c r="U557" i="15"/>
  <c r="V561" i="15"/>
  <c r="X561" i="15"/>
  <c r="U565" i="15"/>
  <c r="K565" i="15"/>
  <c r="N565" i="15" s="1"/>
  <c r="J565" i="15"/>
  <c r="AA565" i="15"/>
  <c r="H565" i="15"/>
  <c r="Z565" i="15"/>
  <c r="W565" i="15"/>
  <c r="Y565" i="15"/>
  <c r="X573" i="15"/>
  <c r="M633" i="15"/>
  <c r="L633" i="15"/>
  <c r="M637" i="15"/>
  <c r="L637" i="15"/>
  <c r="U643" i="15"/>
  <c r="K643" i="15"/>
  <c r="N643" i="15" s="1"/>
  <c r="J643" i="15"/>
  <c r="AA643" i="15"/>
  <c r="H643" i="15"/>
  <c r="Z643" i="15"/>
  <c r="Y643" i="15"/>
  <c r="W643" i="15"/>
  <c r="W956" i="15"/>
  <c r="W807" i="15"/>
  <c r="W799" i="15"/>
  <c r="W791" i="15"/>
  <c r="W783" i="15"/>
  <c r="W759" i="15"/>
  <c r="W751" i="15"/>
  <c r="W743" i="15"/>
  <c r="W735" i="15"/>
  <c r="W773" i="15"/>
  <c r="W781" i="15"/>
  <c r="W769" i="15"/>
  <c r="W805" i="15"/>
  <c r="W733" i="15"/>
  <c r="W797" i="15"/>
  <c r="W757" i="15"/>
  <c r="W739" i="15"/>
  <c r="W741" i="15"/>
  <c r="W789" i="15"/>
  <c r="I731" i="15"/>
  <c r="C731" i="15"/>
  <c r="W749" i="15"/>
  <c r="M847" i="15"/>
  <c r="L847" i="15"/>
  <c r="AA851" i="15"/>
  <c r="H851" i="15"/>
  <c r="Z851" i="15"/>
  <c r="Y851" i="15"/>
  <c r="X851" i="15"/>
  <c r="U851" i="15"/>
  <c r="K851" i="15"/>
  <c r="N851" i="15" s="1"/>
  <c r="J851" i="15"/>
  <c r="M891" i="15"/>
  <c r="L891" i="15"/>
  <c r="Z390" i="15"/>
  <c r="Z392" i="15"/>
  <c r="Z394" i="15"/>
  <c r="Z396" i="15"/>
  <c r="Z398" i="15"/>
  <c r="Z400" i="15"/>
  <c r="Z402" i="15"/>
  <c r="Z441" i="15"/>
  <c r="J445" i="15"/>
  <c r="X445" i="15"/>
  <c r="V449" i="15"/>
  <c r="Z459" i="15"/>
  <c r="K461" i="15"/>
  <c r="X461" i="15"/>
  <c r="Z467" i="15"/>
  <c r="Z479" i="15"/>
  <c r="K481" i="15"/>
  <c r="X481" i="15"/>
  <c r="AB567" i="15"/>
  <c r="AB551" i="15"/>
  <c r="AB565" i="15"/>
  <c r="AB579" i="15"/>
  <c r="AB563" i="15"/>
  <c r="AB577" i="15"/>
  <c r="AB561" i="15"/>
  <c r="AB571" i="15"/>
  <c r="AB555" i="15"/>
  <c r="K503" i="15"/>
  <c r="U503" i="15"/>
  <c r="J505" i="15"/>
  <c r="H507" i="15"/>
  <c r="AA507" i="15"/>
  <c r="Z509" i="15"/>
  <c r="Y511" i="15"/>
  <c r="W515" i="15"/>
  <c r="K519" i="15"/>
  <c r="U519" i="15"/>
  <c r="J521" i="15"/>
  <c r="AB521" i="15"/>
  <c r="H523" i="15"/>
  <c r="AA523" i="15"/>
  <c r="Z525" i="15"/>
  <c r="Y527" i="15"/>
  <c r="W531" i="15"/>
  <c r="K535" i="15"/>
  <c r="U535" i="15"/>
  <c r="J537" i="15"/>
  <c r="U539" i="15"/>
  <c r="P541" i="15"/>
  <c r="O541" i="15"/>
  <c r="U541" i="15"/>
  <c r="Z543" i="15"/>
  <c r="AA545" i="15"/>
  <c r="U551" i="15"/>
  <c r="P557" i="15"/>
  <c r="O557" i="15"/>
  <c r="Z557" i="15"/>
  <c r="Z561" i="15"/>
  <c r="AB569" i="15"/>
  <c r="U573" i="15"/>
  <c r="V577" i="15"/>
  <c r="Z577" i="15"/>
  <c r="M649" i="15"/>
  <c r="L649" i="15"/>
  <c r="M691" i="15"/>
  <c r="L691" i="15"/>
  <c r="L903" i="15"/>
  <c r="M903" i="15"/>
  <c r="AA390" i="15"/>
  <c r="AA392" i="15"/>
  <c r="AA394" i="15"/>
  <c r="AA396" i="15"/>
  <c r="AA398" i="15"/>
  <c r="AA400" i="15"/>
  <c r="AA402" i="15"/>
  <c r="AA441" i="15"/>
  <c r="K445" i="15"/>
  <c r="N445" i="15" s="1"/>
  <c r="Y445" i="15"/>
  <c r="H449" i="15"/>
  <c r="W449" i="15"/>
  <c r="AB454" i="15"/>
  <c r="AA459" i="15"/>
  <c r="L461" i="15"/>
  <c r="Y461" i="15"/>
  <c r="U465" i="15"/>
  <c r="AA467" i="15"/>
  <c r="AA479" i="15"/>
  <c r="L481" i="15"/>
  <c r="Y481" i="15"/>
  <c r="W577" i="15"/>
  <c r="W561" i="15"/>
  <c r="O501" i="15"/>
  <c r="Q501" i="15" s="1"/>
  <c r="W501" i="15"/>
  <c r="V503" i="15"/>
  <c r="AB543" i="15" s="1"/>
  <c r="U505" i="15"/>
  <c r="H509" i="15"/>
  <c r="AA509" i="15"/>
  <c r="Z511" i="15"/>
  <c r="X515" i="15"/>
  <c r="O517" i="15"/>
  <c r="Q517" i="15" s="1"/>
  <c r="W517" i="15"/>
  <c r="V519" i="15"/>
  <c r="U521" i="15"/>
  <c r="AB523" i="15"/>
  <c r="H525" i="15"/>
  <c r="AA525" i="15"/>
  <c r="Z527" i="15"/>
  <c r="X531" i="15"/>
  <c r="O533" i="15"/>
  <c r="Q533" i="15" s="1"/>
  <c r="W533" i="15"/>
  <c r="V535" i="15"/>
  <c r="P539" i="15"/>
  <c r="O539" i="15"/>
  <c r="V539" i="15"/>
  <c r="Z541" i="15"/>
  <c r="AA543" i="15"/>
  <c r="W551" i="15"/>
  <c r="J553" i="15"/>
  <c r="U555" i="15"/>
  <c r="AB557" i="15"/>
  <c r="AA561" i="15"/>
  <c r="U567" i="15"/>
  <c r="P573" i="15"/>
  <c r="O573" i="15"/>
  <c r="Z573" i="15"/>
  <c r="J615" i="15"/>
  <c r="V627" i="15"/>
  <c r="M661" i="15"/>
  <c r="R661" i="15" s="1"/>
  <c r="U729" i="15"/>
  <c r="L897" i="15"/>
  <c r="M897" i="15"/>
  <c r="Z445" i="15"/>
  <c r="J449" i="15"/>
  <c r="X449" i="15"/>
  <c r="Z461" i="15"/>
  <c r="Z481" i="15"/>
  <c r="X575" i="15"/>
  <c r="X559" i="15"/>
  <c r="X563" i="15"/>
  <c r="X547" i="15"/>
  <c r="X501" i="15"/>
  <c r="W503" i="15"/>
  <c r="V505" i="15"/>
  <c r="AB545" i="15" s="1"/>
  <c r="U507" i="15"/>
  <c r="J509" i="15"/>
  <c r="H511" i="15"/>
  <c r="AA511" i="15"/>
  <c r="Y515" i="15"/>
  <c r="X517" i="15"/>
  <c r="W519" i="15"/>
  <c r="V521" i="15"/>
  <c r="J525" i="15"/>
  <c r="H527" i="15"/>
  <c r="AA527" i="15"/>
  <c r="Y531" i="15"/>
  <c r="X533" i="15"/>
  <c r="W535" i="15"/>
  <c r="AA537" i="15"/>
  <c r="Y537" i="15"/>
  <c r="X537" i="15"/>
  <c r="W537" i="15"/>
  <c r="H539" i="15"/>
  <c r="AA539" i="15"/>
  <c r="AA541" i="15"/>
  <c r="V547" i="15"/>
  <c r="W547" i="15"/>
  <c r="X551" i="15"/>
  <c r="Z555" i="15"/>
  <c r="Y555" i="15"/>
  <c r="X555" i="15"/>
  <c r="W555" i="15"/>
  <c r="J555" i="15"/>
  <c r="V555" i="15"/>
  <c r="W567" i="15"/>
  <c r="AB573" i="15"/>
  <c r="V579" i="15"/>
  <c r="M617" i="15"/>
  <c r="L617" i="15"/>
  <c r="X627" i="15"/>
  <c r="AA631" i="15"/>
  <c r="H631" i="15"/>
  <c r="Z631" i="15"/>
  <c r="Y631" i="15"/>
  <c r="X631" i="15"/>
  <c r="W631" i="15"/>
  <c r="U631" i="15"/>
  <c r="K631" i="15"/>
  <c r="N631" i="15" s="1"/>
  <c r="M635" i="15"/>
  <c r="L635" i="15"/>
  <c r="L643" i="15"/>
  <c r="Q643" i="15" s="1"/>
  <c r="M651" i="15"/>
  <c r="L651" i="15"/>
  <c r="AB651" i="15"/>
  <c r="AA729" i="15"/>
  <c r="W777" i="15"/>
  <c r="H390" i="15"/>
  <c r="H392" i="15"/>
  <c r="H394" i="15"/>
  <c r="H396" i="15"/>
  <c r="H398" i="15"/>
  <c r="H400" i="15"/>
  <c r="H402" i="15"/>
  <c r="S445" i="15"/>
  <c r="K449" i="15"/>
  <c r="N449" i="15" s="1"/>
  <c r="Y573" i="15"/>
  <c r="Y557" i="15"/>
  <c r="Y577" i="15"/>
  <c r="Y561" i="15"/>
  <c r="Y501" i="15"/>
  <c r="K509" i="15"/>
  <c r="N509" i="15" s="1"/>
  <c r="J511" i="15"/>
  <c r="AB511" i="15"/>
  <c r="Y517" i="15"/>
  <c r="K525" i="15"/>
  <c r="N525" i="15" s="1"/>
  <c r="J527" i="15"/>
  <c r="Y533" i="15"/>
  <c r="Z537" i="15"/>
  <c r="J539" i="15"/>
  <c r="Y547" i="15"/>
  <c r="AA555" i="15"/>
  <c r="W559" i="15"/>
  <c r="Y559" i="15"/>
  <c r="V563" i="15"/>
  <c r="W563" i="15"/>
  <c r="P565" i="15"/>
  <c r="Q565" i="15" s="1"/>
  <c r="X567" i="15"/>
  <c r="Z571" i="15"/>
  <c r="Y571" i="15"/>
  <c r="X571" i="15"/>
  <c r="W571" i="15"/>
  <c r="J571" i="15"/>
  <c r="V571" i="15"/>
  <c r="AB610" i="15"/>
  <c r="AB601" i="15" s="1"/>
  <c r="M621" i="15"/>
  <c r="L621" i="15"/>
  <c r="M629" i="15"/>
  <c r="AB635" i="15"/>
  <c r="AA647" i="15"/>
  <c r="H647" i="15"/>
  <c r="Z647" i="15"/>
  <c r="Y647" i="15"/>
  <c r="X647" i="15"/>
  <c r="W647" i="15"/>
  <c r="U647" i="15"/>
  <c r="K647" i="15"/>
  <c r="N647" i="15" s="1"/>
  <c r="AB647" i="15"/>
  <c r="AB677" i="15"/>
  <c r="J747" i="15"/>
  <c r="AA747" i="15"/>
  <c r="Z747" i="15"/>
  <c r="H747" i="15"/>
  <c r="Y747" i="15"/>
  <c r="V747" i="15"/>
  <c r="W747" i="15"/>
  <c r="Z753" i="15"/>
  <c r="H753" i="15"/>
  <c r="Y753" i="15"/>
  <c r="X753" i="15"/>
  <c r="W753" i="15"/>
  <c r="J753" i="15"/>
  <c r="V753" i="15"/>
  <c r="W785" i="15"/>
  <c r="V551" i="15"/>
  <c r="V567" i="15"/>
  <c r="X579" i="15"/>
  <c r="J617" i="15"/>
  <c r="AA619" i="15"/>
  <c r="Z621" i="15"/>
  <c r="Y623" i="15"/>
  <c r="X625" i="15"/>
  <c r="V629" i="15"/>
  <c r="J633" i="15"/>
  <c r="AA635" i="15"/>
  <c r="Z637" i="15"/>
  <c r="Y639" i="15"/>
  <c r="X641" i="15"/>
  <c r="V645" i="15"/>
  <c r="J649" i="15"/>
  <c r="AA651" i="15"/>
  <c r="Z653" i="15"/>
  <c r="Y655" i="15"/>
  <c r="Y661" i="15"/>
  <c r="Z663" i="15"/>
  <c r="U667" i="15"/>
  <c r="K667" i="15"/>
  <c r="N667" i="15" s="1"/>
  <c r="J667" i="15"/>
  <c r="AA667" i="15"/>
  <c r="H667" i="15"/>
  <c r="Z667" i="15"/>
  <c r="W667" i="15"/>
  <c r="Y667" i="15"/>
  <c r="AA671" i="15"/>
  <c r="H671" i="15"/>
  <c r="Z671" i="15"/>
  <c r="Y671" i="15"/>
  <c r="X671" i="15"/>
  <c r="U671" i="15"/>
  <c r="K671" i="15"/>
  <c r="N671" i="15" s="1"/>
  <c r="V671" i="15"/>
  <c r="AA677" i="15"/>
  <c r="M685" i="15"/>
  <c r="Z691" i="15"/>
  <c r="Y749" i="15"/>
  <c r="I755" i="15"/>
  <c r="C755" i="15"/>
  <c r="Z785" i="15"/>
  <c r="C793" i="15"/>
  <c r="I793" i="15"/>
  <c r="Z795" i="15"/>
  <c r="W801" i="15"/>
  <c r="M873" i="15"/>
  <c r="L873" i="15"/>
  <c r="W840" i="15"/>
  <c r="W693" i="15"/>
  <c r="W677" i="15"/>
  <c r="V617" i="15"/>
  <c r="V633" i="15"/>
  <c r="V649" i="15"/>
  <c r="U651" i="15"/>
  <c r="AA655" i="15"/>
  <c r="U657" i="15"/>
  <c r="W659" i="15"/>
  <c r="V661" i="15"/>
  <c r="Z675" i="15"/>
  <c r="V681" i="15"/>
  <c r="W681" i="15"/>
  <c r="U685" i="15"/>
  <c r="U689" i="15"/>
  <c r="Z745" i="15"/>
  <c r="H745" i="15"/>
  <c r="Y745" i="15"/>
  <c r="X745" i="15"/>
  <c r="W745" i="15"/>
  <c r="J745" i="15"/>
  <c r="U745" i="15"/>
  <c r="I799" i="15"/>
  <c r="C799" i="15"/>
  <c r="C801" i="15"/>
  <c r="I801" i="15"/>
  <c r="Y803" i="15"/>
  <c r="X803" i="15"/>
  <c r="W803" i="15"/>
  <c r="V803" i="15"/>
  <c r="AA803" i="15"/>
  <c r="J803" i="15"/>
  <c r="H803" i="15"/>
  <c r="U863" i="15"/>
  <c r="K863" i="15"/>
  <c r="N863" i="15" s="1"/>
  <c r="J863" i="15"/>
  <c r="AA863" i="15"/>
  <c r="H863" i="15"/>
  <c r="Z863" i="15"/>
  <c r="X863" i="15"/>
  <c r="V863" i="15"/>
  <c r="M961" i="15"/>
  <c r="L961" i="15"/>
  <c r="V541" i="15"/>
  <c r="K543" i="15"/>
  <c r="N543" i="15" s="1"/>
  <c r="U543" i="15"/>
  <c r="J545" i="15"/>
  <c r="H547" i="15"/>
  <c r="AA547" i="15"/>
  <c r="Y551" i="15"/>
  <c r="V557" i="15"/>
  <c r="K559" i="15"/>
  <c r="N559" i="15" s="1"/>
  <c r="U559" i="15"/>
  <c r="J561" i="15"/>
  <c r="H563" i="15"/>
  <c r="AA563" i="15"/>
  <c r="Y567" i="15"/>
  <c r="V573" i="15"/>
  <c r="K575" i="15"/>
  <c r="N575" i="15" s="1"/>
  <c r="U575" i="15"/>
  <c r="J577" i="15"/>
  <c r="H579" i="15"/>
  <c r="AA579" i="15"/>
  <c r="X677" i="15"/>
  <c r="X691" i="15"/>
  <c r="X675" i="15"/>
  <c r="W617" i="15"/>
  <c r="V619" i="15"/>
  <c r="K621" i="15"/>
  <c r="N621" i="15" s="1"/>
  <c r="U621" i="15"/>
  <c r="J623" i="15"/>
  <c r="H625" i="15"/>
  <c r="AA625" i="15"/>
  <c r="Y629" i="15"/>
  <c r="W633" i="15"/>
  <c r="V635" i="15"/>
  <c r="U637" i="15"/>
  <c r="J639" i="15"/>
  <c r="H641" i="15"/>
  <c r="AA641" i="15"/>
  <c r="Y645" i="15"/>
  <c r="W649" i="15"/>
  <c r="V651" i="15"/>
  <c r="K653" i="15"/>
  <c r="N653" i="15" s="1"/>
  <c r="U653" i="15"/>
  <c r="J655" i="15"/>
  <c r="H657" i="15"/>
  <c r="V657" i="15"/>
  <c r="L667" i="15"/>
  <c r="Q667" i="15" s="1"/>
  <c r="V669" i="15"/>
  <c r="M675" i="15"/>
  <c r="L675" i="15"/>
  <c r="W679" i="15"/>
  <c r="W685" i="15"/>
  <c r="Z689" i="15"/>
  <c r="Y689" i="15"/>
  <c r="X689" i="15"/>
  <c r="W689" i="15"/>
  <c r="J689" i="15"/>
  <c r="V689" i="15"/>
  <c r="Y801" i="15"/>
  <c r="Y793" i="15"/>
  <c r="Y785" i="15"/>
  <c r="Y777" i="15"/>
  <c r="Y775" i="15"/>
  <c r="Y769" i="15"/>
  <c r="Y783" i="15"/>
  <c r="Y807" i="15"/>
  <c r="Y741" i="15"/>
  <c r="V745" i="15"/>
  <c r="I747" i="15"/>
  <c r="C747" i="15"/>
  <c r="K794" i="15"/>
  <c r="L795" i="15" s="1"/>
  <c r="M795" i="15"/>
  <c r="Q795" i="15" s="1"/>
  <c r="V799" i="15"/>
  <c r="M845" i="15"/>
  <c r="Q845" i="15" s="1"/>
  <c r="M859" i="15"/>
  <c r="L859" i="15"/>
  <c r="M895" i="15"/>
  <c r="L895" i="15"/>
  <c r="W541" i="15"/>
  <c r="V543" i="15"/>
  <c r="K545" i="15"/>
  <c r="N545" i="15" s="1"/>
  <c r="U545" i="15"/>
  <c r="J547" i="15"/>
  <c r="Z551" i="15"/>
  <c r="W557" i="15"/>
  <c r="V559" i="15"/>
  <c r="K561" i="15"/>
  <c r="N561" i="15" s="1"/>
  <c r="U561" i="15"/>
  <c r="J563" i="15"/>
  <c r="Z567" i="15"/>
  <c r="W573" i="15"/>
  <c r="V575" i="15"/>
  <c r="K577" i="15"/>
  <c r="N577" i="15" s="1"/>
  <c r="U577" i="15"/>
  <c r="J579" i="15"/>
  <c r="Y691" i="15"/>
  <c r="Y675" i="15"/>
  <c r="Y669" i="15"/>
  <c r="X617" i="15"/>
  <c r="W619" i="15"/>
  <c r="V621" i="15"/>
  <c r="K623" i="15"/>
  <c r="N623" i="15" s="1"/>
  <c r="U623" i="15"/>
  <c r="J625" i="15"/>
  <c r="Z629" i="15"/>
  <c r="X633" i="15"/>
  <c r="W635" i="15"/>
  <c r="V637" i="15"/>
  <c r="K639" i="15"/>
  <c r="N639" i="15" s="1"/>
  <c r="U639" i="15"/>
  <c r="J641" i="15"/>
  <c r="Z645" i="15"/>
  <c r="X649" i="15"/>
  <c r="W651" i="15"/>
  <c r="V653" i="15"/>
  <c r="K655" i="15"/>
  <c r="U655" i="15"/>
  <c r="K657" i="15"/>
  <c r="W657" i="15"/>
  <c r="M659" i="15"/>
  <c r="L659" i="15"/>
  <c r="U659" i="15"/>
  <c r="W663" i="15"/>
  <c r="U663" i="15"/>
  <c r="K663" i="15"/>
  <c r="N663" i="15" s="1"/>
  <c r="J663" i="15"/>
  <c r="Y663" i="15"/>
  <c r="V665" i="15"/>
  <c r="W665" i="15"/>
  <c r="U669" i="15"/>
  <c r="J671" i="15"/>
  <c r="Z681" i="15"/>
  <c r="V683" i="15"/>
  <c r="X685" i="15"/>
  <c r="AA689" i="15"/>
  <c r="X693" i="15"/>
  <c r="Y693" i="15"/>
  <c r="Z771" i="15"/>
  <c r="Z769" i="15"/>
  <c r="Z777" i="15"/>
  <c r="Z801" i="15"/>
  <c r="J739" i="15"/>
  <c r="AA739" i="15"/>
  <c r="Z739" i="15"/>
  <c r="H739" i="15"/>
  <c r="Y739" i="15"/>
  <c r="V739" i="15"/>
  <c r="X739" i="15"/>
  <c r="Z741" i="15"/>
  <c r="AA745" i="15"/>
  <c r="U755" i="15"/>
  <c r="X763" i="15"/>
  <c r="W763" i="15"/>
  <c r="V763" i="15"/>
  <c r="Z763" i="15"/>
  <c r="J763" i="15"/>
  <c r="Y763" i="15"/>
  <c r="U763" i="15"/>
  <c r="H763" i="15"/>
  <c r="AA763" i="15"/>
  <c r="W767" i="15"/>
  <c r="V775" i="15"/>
  <c r="Y799" i="15"/>
  <c r="V805" i="15"/>
  <c r="Z1071" i="15"/>
  <c r="Z909" i="15"/>
  <c r="Z917" i="15"/>
  <c r="Z956" i="15"/>
  <c r="Z905" i="15"/>
  <c r="Z857" i="15"/>
  <c r="Z875" i="15"/>
  <c r="Z855" i="15"/>
  <c r="Z845" i="15"/>
  <c r="Z921" i="15"/>
  <c r="Z903" i="15"/>
  <c r="Z877" i="15"/>
  <c r="Z861" i="15"/>
  <c r="Z871" i="15"/>
  <c r="Z907" i="15"/>
  <c r="L877" i="15"/>
  <c r="M877" i="15"/>
  <c r="M879" i="15"/>
  <c r="L879" i="15"/>
  <c r="L923" i="15"/>
  <c r="M923" i="15"/>
  <c r="X541" i="15"/>
  <c r="W543" i="15"/>
  <c r="V545" i="15"/>
  <c r="K547" i="15"/>
  <c r="N547" i="15" s="1"/>
  <c r="U547" i="15"/>
  <c r="H551" i="15"/>
  <c r="AA551" i="15"/>
  <c r="K563" i="15"/>
  <c r="N563" i="15" s="1"/>
  <c r="U563" i="15"/>
  <c r="H567" i="15"/>
  <c r="AA567" i="15"/>
  <c r="K579" i="15"/>
  <c r="N579" i="15" s="1"/>
  <c r="U579" i="15"/>
  <c r="Y617" i="15"/>
  <c r="L623" i="15"/>
  <c r="Q623" i="15" s="1"/>
  <c r="K625" i="15"/>
  <c r="N625" i="15" s="1"/>
  <c r="U625" i="15"/>
  <c r="H629" i="15"/>
  <c r="AA629" i="15"/>
  <c r="Y633" i="15"/>
  <c r="L639" i="15"/>
  <c r="Q639" i="15" s="1"/>
  <c r="K641" i="15"/>
  <c r="N641" i="15" s="1"/>
  <c r="U641" i="15"/>
  <c r="H645" i="15"/>
  <c r="AA645" i="15"/>
  <c r="Y649" i="15"/>
  <c r="L655" i="15"/>
  <c r="Q655" i="15" s="1"/>
  <c r="X659" i="15"/>
  <c r="Y665" i="15"/>
  <c r="W669" i="15"/>
  <c r="Z673" i="15"/>
  <c r="Y673" i="15"/>
  <c r="X673" i="15"/>
  <c r="W673" i="15"/>
  <c r="J673" i="15"/>
  <c r="V673" i="15"/>
  <c r="V677" i="15"/>
  <c r="X679" i="15"/>
  <c r="V797" i="15"/>
  <c r="V791" i="15"/>
  <c r="J731" i="15"/>
  <c r="AA731" i="15"/>
  <c r="Z731" i="15"/>
  <c r="H731" i="15"/>
  <c r="Y731" i="15"/>
  <c r="V731" i="15"/>
  <c r="X731" i="15"/>
  <c r="Z737" i="15"/>
  <c r="H737" i="15"/>
  <c r="Y737" i="15"/>
  <c r="X737" i="15"/>
  <c r="W737" i="15"/>
  <c r="J737" i="15"/>
  <c r="U737" i="15"/>
  <c r="Y743" i="15"/>
  <c r="Y757" i="15"/>
  <c r="Z761" i="15"/>
  <c r="H761" i="15"/>
  <c r="Y761" i="15"/>
  <c r="X761" i="15"/>
  <c r="W761" i="15"/>
  <c r="J761" i="15"/>
  <c r="U761" i="15"/>
  <c r="Y779" i="15"/>
  <c r="X779" i="15"/>
  <c r="W779" i="15"/>
  <c r="V779" i="15"/>
  <c r="AA779" i="15"/>
  <c r="H779" i="15"/>
  <c r="Z779" i="15"/>
  <c r="U779" i="15"/>
  <c r="Y787" i="15"/>
  <c r="X787" i="15"/>
  <c r="W787" i="15"/>
  <c r="V787" i="15"/>
  <c r="AA787" i="15"/>
  <c r="J787" i="15"/>
  <c r="H787" i="15"/>
  <c r="Z787" i="15"/>
  <c r="M851" i="15"/>
  <c r="L861" i="15"/>
  <c r="M861" i="15"/>
  <c r="AA867" i="15"/>
  <c r="H867" i="15"/>
  <c r="Z867" i="15"/>
  <c r="Y867" i="15"/>
  <c r="X867" i="15"/>
  <c r="U867" i="15"/>
  <c r="K867" i="15"/>
  <c r="N867" i="15" s="1"/>
  <c r="J867" i="15"/>
  <c r="AA883" i="15"/>
  <c r="H883" i="15"/>
  <c r="Z883" i="15"/>
  <c r="Y883" i="15"/>
  <c r="X883" i="15"/>
  <c r="U883" i="15"/>
  <c r="K883" i="15"/>
  <c r="N883" i="15" s="1"/>
  <c r="J883" i="15"/>
  <c r="M899" i="15"/>
  <c r="L899" i="15"/>
  <c r="J551" i="15"/>
  <c r="J567" i="15"/>
  <c r="AA685" i="15"/>
  <c r="AA669" i="15"/>
  <c r="X621" i="15"/>
  <c r="W623" i="15"/>
  <c r="J629" i="15"/>
  <c r="Y635" i="15"/>
  <c r="X637" i="15"/>
  <c r="W639" i="15"/>
  <c r="J645" i="15"/>
  <c r="Y651" i="15"/>
  <c r="X653" i="15"/>
  <c r="W655" i="15"/>
  <c r="X657" i="15"/>
  <c r="J657" i="15"/>
  <c r="Z657" i="15"/>
  <c r="Y659" i="15"/>
  <c r="W661" i="15"/>
  <c r="Z665" i="15"/>
  <c r="V667" i="15"/>
  <c r="X669" i="15"/>
  <c r="AA673" i="15"/>
  <c r="Z679" i="15"/>
  <c r="U683" i="15"/>
  <c r="K683" i="15"/>
  <c r="N683" i="15" s="1"/>
  <c r="J683" i="15"/>
  <c r="AA683" i="15"/>
  <c r="H683" i="15"/>
  <c r="Z683" i="15"/>
  <c r="W683" i="15"/>
  <c r="Y683" i="15"/>
  <c r="AA687" i="15"/>
  <c r="H687" i="15"/>
  <c r="Z687" i="15"/>
  <c r="Y687" i="15"/>
  <c r="X687" i="15"/>
  <c r="U687" i="15"/>
  <c r="K687" i="15"/>
  <c r="N687" i="15" s="1"/>
  <c r="V687" i="15"/>
  <c r="M693" i="15"/>
  <c r="L693" i="15"/>
  <c r="I739" i="15"/>
  <c r="C739" i="15"/>
  <c r="J755" i="15"/>
  <c r="AA755" i="15"/>
  <c r="Z755" i="15"/>
  <c r="H755" i="15"/>
  <c r="Y755" i="15"/>
  <c r="V755" i="15"/>
  <c r="X755" i="15"/>
  <c r="Z757" i="15"/>
  <c r="I767" i="15"/>
  <c r="C767" i="15"/>
  <c r="Y863" i="15"/>
  <c r="Z893" i="15"/>
  <c r="L989" i="15"/>
  <c r="M989" i="15"/>
  <c r="H659" i="15"/>
  <c r="AA659" i="15"/>
  <c r="Z661" i="15"/>
  <c r="X665" i="15"/>
  <c r="H675" i="15"/>
  <c r="AA675" i="15"/>
  <c r="Z677" i="15"/>
  <c r="Y679" i="15"/>
  <c r="X681" i="15"/>
  <c r="V685" i="15"/>
  <c r="H691" i="15"/>
  <c r="AA691" i="15"/>
  <c r="Z693" i="15"/>
  <c r="AB729" i="15"/>
  <c r="X733" i="15"/>
  <c r="H735" i="15"/>
  <c r="Z735" i="15"/>
  <c r="X741" i="15"/>
  <c r="H743" i="15"/>
  <c r="Z743" i="15"/>
  <c r="X749" i="15"/>
  <c r="H751" i="15"/>
  <c r="Z751" i="15"/>
  <c r="X757" i="15"/>
  <c r="H759" i="15"/>
  <c r="Z759" i="15"/>
  <c r="AA765" i="15"/>
  <c r="M769" i="15"/>
  <c r="Q769" i="15" s="1"/>
  <c r="AA789" i="15"/>
  <c r="U791" i="15"/>
  <c r="W793" i="15"/>
  <c r="X793" i="15"/>
  <c r="Y795" i="15"/>
  <c r="X795" i="15"/>
  <c r="W795" i="15"/>
  <c r="V795" i="15"/>
  <c r="AA795" i="15"/>
  <c r="X799" i="15"/>
  <c r="Y1071" i="15"/>
  <c r="Y956" i="15"/>
  <c r="Y921" i="15"/>
  <c r="Y909" i="15"/>
  <c r="Y919" i="15"/>
  <c r="Y891" i="15"/>
  <c r="Y875" i="15"/>
  <c r="Y859" i="15"/>
  <c r="U847" i="15"/>
  <c r="K847" i="15"/>
  <c r="N847" i="15" s="1"/>
  <c r="J847" i="15"/>
  <c r="AA847" i="15"/>
  <c r="H847" i="15"/>
  <c r="Z847" i="15"/>
  <c r="Y847" i="15"/>
  <c r="K869" i="15"/>
  <c r="N869" i="15" s="1"/>
  <c r="Y873" i="15"/>
  <c r="U879" i="15"/>
  <c r="K879" i="15"/>
  <c r="N879" i="15" s="1"/>
  <c r="J879" i="15"/>
  <c r="AA879" i="15"/>
  <c r="H879" i="15"/>
  <c r="Z879" i="15"/>
  <c r="Y879" i="15"/>
  <c r="AA885" i="15"/>
  <c r="Y923" i="15"/>
  <c r="L979" i="15"/>
  <c r="M979" i="15"/>
  <c r="V659" i="15"/>
  <c r="H665" i="15"/>
  <c r="AA665" i="15"/>
  <c r="V675" i="15"/>
  <c r="U677" i="15"/>
  <c r="J679" i="15"/>
  <c r="H681" i="15"/>
  <c r="AA681" i="15"/>
  <c r="Y685" i="15"/>
  <c r="V691" i="15"/>
  <c r="K693" i="15"/>
  <c r="N693" i="15" s="1"/>
  <c r="U693" i="15"/>
  <c r="AA733" i="15"/>
  <c r="U735" i="15"/>
  <c r="I741" i="15"/>
  <c r="AA741" i="15"/>
  <c r="U743" i="15"/>
  <c r="I749" i="15"/>
  <c r="AA749" i="15"/>
  <c r="U751" i="15"/>
  <c r="I757" i="15"/>
  <c r="AA757" i="15"/>
  <c r="U759" i="15"/>
  <c r="U767" i="15"/>
  <c r="V769" i="15"/>
  <c r="Y771" i="15"/>
  <c r="C775" i="15"/>
  <c r="X775" i="15"/>
  <c r="AA785" i="15"/>
  <c r="H795" i="15"/>
  <c r="L853" i="15"/>
  <c r="Q853" i="15" s="1"/>
  <c r="Y855" i="15"/>
  <c r="M857" i="15"/>
  <c r="L857" i="15"/>
  <c r="K885" i="15"/>
  <c r="N885" i="15" s="1"/>
  <c r="Y889" i="15"/>
  <c r="V895" i="15"/>
  <c r="V921" i="15"/>
  <c r="J665" i="15"/>
  <c r="K679" i="15"/>
  <c r="U679" i="15"/>
  <c r="J681" i="15"/>
  <c r="V693" i="15"/>
  <c r="AB724" i="15"/>
  <c r="J733" i="15"/>
  <c r="V735" i="15"/>
  <c r="J741" i="15"/>
  <c r="J749" i="15"/>
  <c r="J757" i="15"/>
  <c r="Z765" i="15"/>
  <c r="H765" i="15"/>
  <c r="Y765" i="15"/>
  <c r="X765" i="15"/>
  <c r="W765" i="15"/>
  <c r="AA777" i="15"/>
  <c r="K778" i="15"/>
  <c r="L778" i="15" s="1"/>
  <c r="M779" i="15"/>
  <c r="Q779" i="15" s="1"/>
  <c r="Y861" i="15"/>
  <c r="Z869" i="15"/>
  <c r="Y869" i="15"/>
  <c r="X869" i="15"/>
  <c r="J869" i="15"/>
  <c r="V869" i="15"/>
  <c r="Y877" i="15"/>
  <c r="Y887" i="15"/>
  <c r="Y903" i="15"/>
  <c r="V1037" i="15"/>
  <c r="V1031" i="15"/>
  <c r="U965" i="15"/>
  <c r="K965" i="15"/>
  <c r="N965" i="15" s="1"/>
  <c r="J965" i="15"/>
  <c r="H965" i="15"/>
  <c r="V965" i="15"/>
  <c r="K665" i="15"/>
  <c r="U665" i="15"/>
  <c r="V679" i="15"/>
  <c r="K681" i="15"/>
  <c r="U681" i="15"/>
  <c r="U733" i="15"/>
  <c r="K741" i="15"/>
  <c r="U741" i="15"/>
  <c r="U749" i="15"/>
  <c r="U757" i="15"/>
  <c r="J767" i="15"/>
  <c r="AA767" i="15"/>
  <c r="Z767" i="15"/>
  <c r="H767" i="15"/>
  <c r="Y767" i="15"/>
  <c r="V767" i="15"/>
  <c r="X767" i="15"/>
  <c r="K770" i="15"/>
  <c r="L770" i="15" s="1"/>
  <c r="M771" i="15"/>
  <c r="Q771" i="15" s="1"/>
  <c r="M889" i="15"/>
  <c r="L889" i="15"/>
  <c r="U895" i="15"/>
  <c r="K895" i="15"/>
  <c r="N895" i="15" s="1"/>
  <c r="J895" i="15"/>
  <c r="AA895" i="15"/>
  <c r="H895" i="15"/>
  <c r="Z895" i="15"/>
  <c r="Y895" i="15"/>
  <c r="Y899" i="15"/>
  <c r="Y905" i="15"/>
  <c r="AA911" i="15"/>
  <c r="H911" i="15"/>
  <c r="Z911" i="15"/>
  <c r="Y911" i="15"/>
  <c r="X911" i="15"/>
  <c r="U911" i="15"/>
  <c r="K911" i="15"/>
  <c r="J911" i="15"/>
  <c r="M921" i="15"/>
  <c r="L921" i="15"/>
  <c r="L967" i="15"/>
  <c r="M967" i="15"/>
  <c r="H969" i="15"/>
  <c r="U969" i="15"/>
  <c r="K969" i="15"/>
  <c r="N969" i="15" s="1"/>
  <c r="J969" i="15"/>
  <c r="M1138" i="15"/>
  <c r="L1138" i="15"/>
  <c r="L741" i="15"/>
  <c r="U765" i="15"/>
  <c r="I777" i="15"/>
  <c r="M797" i="15"/>
  <c r="Q797" i="15" s="1"/>
  <c r="U807" i="15"/>
  <c r="Z853" i="15"/>
  <c r="Y853" i="15"/>
  <c r="X853" i="15"/>
  <c r="J853" i="15"/>
  <c r="M875" i="15"/>
  <c r="L875" i="15"/>
  <c r="Z885" i="15"/>
  <c r="Y885" i="15"/>
  <c r="X885" i="15"/>
  <c r="J885" i="15"/>
  <c r="U885" i="15"/>
  <c r="V893" i="15"/>
  <c r="X899" i="15"/>
  <c r="Z899" i="15"/>
  <c r="V899" i="15"/>
  <c r="H899" i="15"/>
  <c r="U899" i="15"/>
  <c r="AA899" i="15"/>
  <c r="K899" i="15"/>
  <c r="N899" i="15" s="1"/>
  <c r="X1021" i="15"/>
  <c r="X1035" i="15"/>
  <c r="X997" i="15"/>
  <c r="X1017" i="15"/>
  <c r="X1005" i="15"/>
  <c r="X971" i="15"/>
  <c r="V975" i="15"/>
  <c r="U977" i="15"/>
  <c r="K977" i="15"/>
  <c r="J977" i="15"/>
  <c r="H977" i="15"/>
  <c r="V977" i="15"/>
  <c r="M1015" i="15"/>
  <c r="L1015" i="15"/>
  <c r="U773" i="15"/>
  <c r="W775" i="15"/>
  <c r="U781" i="15"/>
  <c r="U789" i="15"/>
  <c r="K797" i="15"/>
  <c r="U797" i="15"/>
  <c r="U805" i="15"/>
  <c r="X1071" i="15"/>
  <c r="X923" i="15"/>
  <c r="X845" i="15"/>
  <c r="AA855" i="15"/>
  <c r="X861" i="15"/>
  <c r="V865" i="15"/>
  <c r="AA871" i="15"/>
  <c r="Z873" i="15"/>
  <c r="X877" i="15"/>
  <c r="V881" i="15"/>
  <c r="AA887" i="15"/>
  <c r="Z889" i="15"/>
  <c r="X893" i="15"/>
  <c r="V897" i="15"/>
  <c r="X901" i="15"/>
  <c r="M909" i="15"/>
  <c r="M981" i="15"/>
  <c r="L981" i="15"/>
  <c r="M1001" i="15"/>
  <c r="L1001" i="15"/>
  <c r="I769" i="15"/>
  <c r="AA769" i="15"/>
  <c r="V771" i="15"/>
  <c r="X773" i="15"/>
  <c r="H775" i="15"/>
  <c r="Z775" i="15"/>
  <c r="J777" i="15"/>
  <c r="X781" i="15"/>
  <c r="H783" i="15"/>
  <c r="Z783" i="15"/>
  <c r="J785" i="15"/>
  <c r="X789" i="15"/>
  <c r="H791" i="15"/>
  <c r="Z791" i="15"/>
  <c r="J793" i="15"/>
  <c r="X797" i="15"/>
  <c r="H799" i="15"/>
  <c r="Z799" i="15"/>
  <c r="J801" i="15"/>
  <c r="X805" i="15"/>
  <c r="H807" i="15"/>
  <c r="Z807" i="15"/>
  <c r="AA1071" i="15"/>
  <c r="AA923" i="15"/>
  <c r="H845" i="15"/>
  <c r="AA845" i="15"/>
  <c r="Y849" i="15"/>
  <c r="L855" i="15"/>
  <c r="V855" i="15"/>
  <c r="K857" i="15"/>
  <c r="N857" i="15" s="1"/>
  <c r="U857" i="15"/>
  <c r="J859" i="15"/>
  <c r="H861" i="15"/>
  <c r="AA861" i="15"/>
  <c r="Y865" i="15"/>
  <c r="L871" i="15"/>
  <c r="V871" i="15"/>
  <c r="K873" i="15"/>
  <c r="U873" i="15"/>
  <c r="J875" i="15"/>
  <c r="H877" i="15"/>
  <c r="AA877" i="15"/>
  <c r="Y881" i="15"/>
  <c r="L887" i="15"/>
  <c r="Q887" i="15" s="1"/>
  <c r="V887" i="15"/>
  <c r="K889" i="15"/>
  <c r="U889" i="15"/>
  <c r="AA893" i="15"/>
  <c r="Y897" i="15"/>
  <c r="AA903" i="15"/>
  <c r="U909" i="15"/>
  <c r="Y917" i="15"/>
  <c r="AA921" i="15"/>
  <c r="V963" i="15"/>
  <c r="K973" i="15"/>
  <c r="N973" i="15" s="1"/>
  <c r="V973" i="15"/>
  <c r="J973" i="15"/>
  <c r="U973" i="15"/>
  <c r="H973" i="15"/>
  <c r="M977" i="15"/>
  <c r="L977" i="15"/>
  <c r="X1029" i="15"/>
  <c r="J769" i="15"/>
  <c r="W771" i="15"/>
  <c r="Y773" i="15"/>
  <c r="AA775" i="15"/>
  <c r="U777" i="15"/>
  <c r="Y781" i="15"/>
  <c r="AA783" i="15"/>
  <c r="U785" i="15"/>
  <c r="Y789" i="15"/>
  <c r="AA791" i="15"/>
  <c r="U793" i="15"/>
  <c r="L796" i="15"/>
  <c r="Y797" i="15"/>
  <c r="AA799" i="15"/>
  <c r="U801" i="15"/>
  <c r="Y805" i="15"/>
  <c r="AA807" i="15"/>
  <c r="Z849" i="15"/>
  <c r="V857" i="15"/>
  <c r="U859" i="15"/>
  <c r="Z865" i="15"/>
  <c r="V873" i="15"/>
  <c r="U875" i="15"/>
  <c r="Z881" i="15"/>
  <c r="V889" i="15"/>
  <c r="Z897" i="15"/>
  <c r="U907" i="15"/>
  <c r="K907" i="15"/>
  <c r="J907" i="15"/>
  <c r="AA907" i="15"/>
  <c r="H907" i="15"/>
  <c r="V907" i="15"/>
  <c r="Z915" i="15"/>
  <c r="M919" i="15"/>
  <c r="L919" i="15"/>
  <c r="AA919" i="15"/>
  <c r="AA956" i="15"/>
  <c r="M985" i="15"/>
  <c r="L985" i="15"/>
  <c r="U1003" i="15"/>
  <c r="K1003" i="15"/>
  <c r="N1003" i="15" s="1"/>
  <c r="J1003" i="15"/>
  <c r="H1003" i="15"/>
  <c r="X1003" i="15"/>
  <c r="V1003" i="15"/>
  <c r="M1090" i="15"/>
  <c r="L1090" i="15"/>
  <c r="K769" i="15"/>
  <c r="U769" i="15"/>
  <c r="X771" i="15"/>
  <c r="H773" i="15"/>
  <c r="Z773" i="15"/>
  <c r="J775" i="15"/>
  <c r="V777" i="15"/>
  <c r="H781" i="15"/>
  <c r="Z781" i="15"/>
  <c r="J783" i="15"/>
  <c r="V785" i="15"/>
  <c r="H789" i="15"/>
  <c r="Z789" i="15"/>
  <c r="J791" i="15"/>
  <c r="V793" i="15"/>
  <c r="H797" i="15"/>
  <c r="Z797" i="15"/>
  <c r="J799" i="15"/>
  <c r="V801" i="15"/>
  <c r="H805" i="15"/>
  <c r="Z805" i="15"/>
  <c r="J807" i="15"/>
  <c r="U921" i="15"/>
  <c r="U919" i="15"/>
  <c r="K845" i="15"/>
  <c r="U845" i="15"/>
  <c r="H849" i="15"/>
  <c r="AA849" i="15"/>
  <c r="X855" i="15"/>
  <c r="V859" i="15"/>
  <c r="K861" i="15"/>
  <c r="U861" i="15"/>
  <c r="H865" i="15"/>
  <c r="AA865" i="15"/>
  <c r="X871" i="15"/>
  <c r="V875" i="15"/>
  <c r="K877" i="15"/>
  <c r="U877" i="15"/>
  <c r="H881" i="15"/>
  <c r="AA881" i="15"/>
  <c r="X887" i="15"/>
  <c r="V891" i="15"/>
  <c r="K893" i="15"/>
  <c r="U893" i="15"/>
  <c r="H897" i="15"/>
  <c r="AA897" i="15"/>
  <c r="V903" i="15"/>
  <c r="X907" i="15"/>
  <c r="X909" i="15"/>
  <c r="U915" i="15"/>
  <c r="U917" i="15"/>
  <c r="L965" i="15"/>
  <c r="Q965" i="15" s="1"/>
  <c r="L769" i="15"/>
  <c r="J849" i="15"/>
  <c r="J865" i="15"/>
  <c r="J881" i="15"/>
  <c r="J897" i="15"/>
  <c r="M901" i="15"/>
  <c r="L901" i="15"/>
  <c r="V905" i="15"/>
  <c r="U905" i="15"/>
  <c r="K905" i="15"/>
  <c r="N905" i="15" s="1"/>
  <c r="J905" i="15"/>
  <c r="X905" i="15"/>
  <c r="Y907" i="15"/>
  <c r="Z913" i="15"/>
  <c r="Y913" i="15"/>
  <c r="X913" i="15"/>
  <c r="J913" i="15"/>
  <c r="U913" i="15"/>
  <c r="V923" i="15"/>
  <c r="L973" i="15"/>
  <c r="Q973" i="15" s="1"/>
  <c r="Y901" i="15"/>
  <c r="X903" i="15"/>
  <c r="V909" i="15"/>
  <c r="J915" i="15"/>
  <c r="H917" i="15"/>
  <c r="AA917" i="15"/>
  <c r="Z919" i="15"/>
  <c r="V967" i="15"/>
  <c r="V971" i="15"/>
  <c r="V991" i="15"/>
  <c r="J1001" i="15"/>
  <c r="H1001" i="15"/>
  <c r="X1001" i="15"/>
  <c r="V1001" i="15"/>
  <c r="U1011" i="15"/>
  <c r="M1076" i="15"/>
  <c r="R1076" i="15" s="1"/>
  <c r="H983" i="15"/>
  <c r="X983" i="15"/>
  <c r="U983" i="15"/>
  <c r="U987" i="15"/>
  <c r="K987" i="15"/>
  <c r="N987" i="15" s="1"/>
  <c r="J987" i="15"/>
  <c r="M991" i="15"/>
  <c r="L991" i="15"/>
  <c r="V1005" i="15"/>
  <c r="V1025" i="15"/>
  <c r="L1033" i="15"/>
  <c r="M1033" i="15"/>
  <c r="V917" i="15"/>
  <c r="U975" i="15"/>
  <c r="V983" i="15"/>
  <c r="V987" i="15"/>
  <c r="N1021" i="15"/>
  <c r="L1039" i="15"/>
  <c r="Q1039" i="15" s="1"/>
  <c r="U1102" i="15"/>
  <c r="K1102" i="15"/>
  <c r="J1102" i="15"/>
  <c r="H1102" i="15"/>
  <c r="V1102" i="15"/>
  <c r="L1132" i="15"/>
  <c r="M1132" i="15"/>
  <c r="X915" i="15"/>
  <c r="V919" i="15"/>
  <c r="U1035" i="15"/>
  <c r="U1019" i="15"/>
  <c r="U1007" i="15"/>
  <c r="U1027" i="15"/>
  <c r="U1021" i="15"/>
  <c r="U1005" i="15"/>
  <c r="U991" i="15"/>
  <c r="U1037" i="15"/>
  <c r="U961" i="15"/>
  <c r="M993" i="15"/>
  <c r="L993" i="15"/>
  <c r="K1001" i="15"/>
  <c r="M1130" i="15"/>
  <c r="L1130" i="15"/>
  <c r="V901" i="15"/>
  <c r="K903" i="15"/>
  <c r="U903" i="15"/>
  <c r="H909" i="15"/>
  <c r="AA909" i="15"/>
  <c r="Y915" i="15"/>
  <c r="X917" i="15"/>
  <c r="K923" i="15"/>
  <c r="U923" i="15"/>
  <c r="K963" i="15"/>
  <c r="U963" i="15"/>
  <c r="H967" i="15"/>
  <c r="H971" i="15"/>
  <c r="J983" i="15"/>
  <c r="X995" i="15"/>
  <c r="L1003" i="15"/>
  <c r="Q1003" i="15" s="1"/>
  <c r="V1017" i="15"/>
  <c r="J1023" i="15"/>
  <c r="K1023" i="15"/>
  <c r="H1023" i="15"/>
  <c r="V1023" i="15"/>
  <c r="J1029" i="15"/>
  <c r="H1029" i="15"/>
  <c r="K1029" i="15"/>
  <c r="N1029" i="15" s="1"/>
  <c r="L1100" i="15"/>
  <c r="M1100" i="15"/>
  <c r="J909" i="15"/>
  <c r="J967" i="15"/>
  <c r="J971" i="15"/>
  <c r="U981" i="15"/>
  <c r="K983" i="15"/>
  <c r="N983" i="15" s="1"/>
  <c r="J985" i="15"/>
  <c r="H985" i="15"/>
  <c r="H987" i="15"/>
  <c r="V989" i="15"/>
  <c r="H999" i="15"/>
  <c r="X999" i="15"/>
  <c r="V999" i="15"/>
  <c r="L1017" i="15"/>
  <c r="M1017" i="15"/>
  <c r="M1019" i="15"/>
  <c r="L1019" i="15"/>
  <c r="V1160" i="15"/>
  <c r="V1162" i="15"/>
  <c r="J1086" i="15"/>
  <c r="K1086" i="15"/>
  <c r="N1086" i="15" s="1"/>
  <c r="V1086" i="15"/>
  <c r="H1086" i="15"/>
  <c r="U1086" i="15"/>
  <c r="M1124" i="15"/>
  <c r="L1124" i="15"/>
  <c r="M1126" i="15"/>
  <c r="L1126" i="15"/>
  <c r="H975" i="15"/>
  <c r="K979" i="15"/>
  <c r="U979" i="15"/>
  <c r="V981" i="15"/>
  <c r="H991" i="15"/>
  <c r="J993" i="15"/>
  <c r="K995" i="15"/>
  <c r="U995" i="15"/>
  <c r="L997" i="15"/>
  <c r="Q997" i="15" s="1"/>
  <c r="V997" i="15"/>
  <c r="J1007" i="15"/>
  <c r="J1009" i="15"/>
  <c r="J1013" i="15"/>
  <c r="H1013" i="15"/>
  <c r="V1013" i="15"/>
  <c r="M1027" i="15"/>
  <c r="U1031" i="15"/>
  <c r="K1031" i="15"/>
  <c r="J1031" i="15"/>
  <c r="H1031" i="15"/>
  <c r="U1076" i="15"/>
  <c r="J1114" i="15"/>
  <c r="K1114" i="15"/>
  <c r="N1114" i="15" s="1"/>
  <c r="V1114" i="15"/>
  <c r="H1114" i="15"/>
  <c r="U1114" i="15"/>
  <c r="J975" i="15"/>
  <c r="V979" i="15"/>
  <c r="H989" i="15"/>
  <c r="J991" i="15"/>
  <c r="K993" i="15"/>
  <c r="N993" i="15" s="1"/>
  <c r="U993" i="15"/>
  <c r="L995" i="15"/>
  <c r="Q995" i="15" s="1"/>
  <c r="V995" i="15"/>
  <c r="H1005" i="15"/>
  <c r="V1208" i="15"/>
  <c r="V1206" i="15"/>
  <c r="V1090" i="15"/>
  <c r="U1148" i="15"/>
  <c r="U1144" i="15"/>
  <c r="U1128" i="15"/>
  <c r="U1152" i="15"/>
  <c r="U1164" i="15"/>
  <c r="U1100" i="15"/>
  <c r="U1098" i="15"/>
  <c r="U1132" i="15"/>
  <c r="U1088" i="15"/>
  <c r="U1136" i="15"/>
  <c r="U1124" i="15"/>
  <c r="U1108" i="15"/>
  <c r="U1092" i="15"/>
  <c r="U1082" i="15"/>
  <c r="U1096" i="15"/>
  <c r="M1082" i="15"/>
  <c r="J1104" i="15"/>
  <c r="H1104" i="15"/>
  <c r="L1164" i="15"/>
  <c r="M1164" i="15"/>
  <c r="V993" i="15"/>
  <c r="U1009" i="15"/>
  <c r="K1009" i="15"/>
  <c r="N1009" i="15" s="1"/>
  <c r="U1015" i="15"/>
  <c r="K1015" i="15"/>
  <c r="J1015" i="15"/>
  <c r="H1015" i="15"/>
  <c r="X1015" i="15"/>
  <c r="V1035" i="15"/>
  <c r="M1037" i="15"/>
  <c r="L1037" i="15"/>
  <c r="M1080" i="15"/>
  <c r="L1080" i="15"/>
  <c r="M1104" i="15"/>
  <c r="L1104" i="15"/>
  <c r="U1110" i="15"/>
  <c r="K1110" i="15"/>
  <c r="V1110" i="15"/>
  <c r="K1118" i="15"/>
  <c r="J1118" i="15"/>
  <c r="U1118" i="15"/>
  <c r="H1118" i="15"/>
  <c r="M1238" i="15"/>
  <c r="L1238" i="15"/>
  <c r="K989" i="15"/>
  <c r="U989" i="15"/>
  <c r="K1005" i="15"/>
  <c r="N1005" i="15" s="1"/>
  <c r="K1013" i="15"/>
  <c r="N1013" i="15" s="1"/>
  <c r="V1015" i="15"/>
  <c r="X1025" i="15"/>
  <c r="U1025" i="15"/>
  <c r="K1025" i="15"/>
  <c r="J1039" i="15"/>
  <c r="V1039" i="15"/>
  <c r="K1039" i="15"/>
  <c r="N1039" i="15" s="1"/>
  <c r="U1039" i="15"/>
  <c r="H1039" i="15"/>
  <c r="U1094" i="15"/>
  <c r="K1094" i="15"/>
  <c r="V1094" i="15"/>
  <c r="M1098" i="15"/>
  <c r="L1098" i="15"/>
  <c r="V1100" i="15"/>
  <c r="U1140" i="15"/>
  <c r="L1013" i="15"/>
  <c r="Q1013" i="15" s="1"/>
  <c r="V1019" i="15"/>
  <c r="M1021" i="15"/>
  <c r="L1021" i="15"/>
  <c r="V1033" i="15"/>
  <c r="M1035" i="15"/>
  <c r="L1035" i="15"/>
  <c r="U1078" i="15"/>
  <c r="K1078" i="15"/>
  <c r="J1078" i="15"/>
  <c r="H1078" i="15"/>
  <c r="M1114" i="15"/>
  <c r="Q1114" i="15" s="1"/>
  <c r="V1011" i="15"/>
  <c r="H1021" i="15"/>
  <c r="V1027" i="15"/>
  <c r="H1037" i="15"/>
  <c r="U1080" i="15"/>
  <c r="J1132" i="15"/>
  <c r="H1132" i="15"/>
  <c r="K1132" i="15"/>
  <c r="N1132" i="15" s="1"/>
  <c r="V1132" i="15"/>
  <c r="H1134" i="15"/>
  <c r="K1134" i="15"/>
  <c r="N1134" i="15" s="1"/>
  <c r="V1134" i="15"/>
  <c r="J1200" i="15"/>
  <c r="H1200" i="15"/>
  <c r="W1200" i="15"/>
  <c r="U1200" i="15"/>
  <c r="K1200" i="15"/>
  <c r="N1200" i="15" s="1"/>
  <c r="H1116" i="15"/>
  <c r="U1116" i="15"/>
  <c r="L1120" i="15"/>
  <c r="M1206" i="15"/>
  <c r="L1206" i="15"/>
  <c r="J1017" i="15"/>
  <c r="V1021" i="15"/>
  <c r="J1033" i="15"/>
  <c r="V1236" i="15"/>
  <c r="V1240" i="15"/>
  <c r="V1238" i="15"/>
  <c r="U1084" i="15"/>
  <c r="K1084" i="15"/>
  <c r="N1084" i="15" s="1"/>
  <c r="J1088" i="15"/>
  <c r="H1088" i="15"/>
  <c r="M1192" i="15"/>
  <c r="L1192" i="15"/>
  <c r="K1017" i="15"/>
  <c r="U1017" i="15"/>
  <c r="K1033" i="15"/>
  <c r="U1033" i="15"/>
  <c r="X1037" i="15"/>
  <c r="H1090" i="15"/>
  <c r="U1090" i="15"/>
  <c r="M1096" i="15"/>
  <c r="L1096" i="15"/>
  <c r="H1106" i="15"/>
  <c r="U1106" i="15"/>
  <c r="M1118" i="15"/>
  <c r="Q1118" i="15" s="1"/>
  <c r="J1134" i="15"/>
  <c r="M1216" i="15"/>
  <c r="L1216" i="15"/>
  <c r="V1270" i="15"/>
  <c r="V1256" i="15"/>
  <c r="J1080" i="15"/>
  <c r="L1136" i="15"/>
  <c r="M1136" i="15"/>
  <c r="M1140" i="15"/>
  <c r="L1140" i="15"/>
  <c r="M1146" i="15"/>
  <c r="L1146" i="15"/>
  <c r="M1254" i="15"/>
  <c r="L1254" i="15"/>
  <c r="U1150" i="15"/>
  <c r="K1150" i="15"/>
  <c r="V1150" i="15"/>
  <c r="M1200" i="15"/>
  <c r="L1200" i="15"/>
  <c r="V1228" i="15"/>
  <c r="V1226" i="15"/>
  <c r="H1082" i="15"/>
  <c r="J1096" i="15"/>
  <c r="H1098" i="15"/>
  <c r="V1108" i="15"/>
  <c r="V1120" i="15"/>
  <c r="L1122" i="15"/>
  <c r="Q1122" i="15" s="1"/>
  <c r="U1130" i="15"/>
  <c r="K1130" i="15"/>
  <c r="J1130" i="15"/>
  <c r="H1130" i="15"/>
  <c r="M1202" i="15"/>
  <c r="L1202" i="15"/>
  <c r="V1204" i="15"/>
  <c r="M1208" i="15"/>
  <c r="L1208" i="15"/>
  <c r="V1096" i="15"/>
  <c r="U1112" i="15"/>
  <c r="K1112" i="15"/>
  <c r="H1112" i="15"/>
  <c r="U1122" i="15"/>
  <c r="K1122" i="15"/>
  <c r="J1150" i="15"/>
  <c r="L1218" i="15"/>
  <c r="M1218" i="15"/>
  <c r="V1098" i="15"/>
  <c r="U1138" i="15"/>
  <c r="K1138" i="15"/>
  <c r="V1140" i="15"/>
  <c r="V1156" i="15"/>
  <c r="U1198" i="15"/>
  <c r="K1198" i="15"/>
  <c r="J1198" i="15"/>
  <c r="H1198" i="15"/>
  <c r="W1198" i="15"/>
  <c r="V1264" i="15"/>
  <c r="H1120" i="15"/>
  <c r="U1120" i="15"/>
  <c r="M1142" i="15"/>
  <c r="L1142" i="15"/>
  <c r="M1154" i="15"/>
  <c r="L1154" i="15"/>
  <c r="L1156" i="15"/>
  <c r="M1156" i="15"/>
  <c r="M1198" i="15"/>
  <c r="L1198" i="15"/>
  <c r="H1224" i="15"/>
  <c r="V1224" i="15"/>
  <c r="U1224" i="15"/>
  <c r="K1224" i="15"/>
  <c r="N1224" i="15" s="1"/>
  <c r="J1224" i="15"/>
  <c r="U1254" i="15"/>
  <c r="K1254" i="15"/>
  <c r="N1254" i="15" s="1"/>
  <c r="J1254" i="15"/>
  <c r="H1254" i="15"/>
  <c r="V1254" i="15"/>
  <c r="W1254" i="15"/>
  <c r="H1126" i="15"/>
  <c r="V1136" i="15"/>
  <c r="H1142" i="15"/>
  <c r="H1162" i="15"/>
  <c r="U1162" i="15"/>
  <c r="K1210" i="15"/>
  <c r="N1210" i="15" s="1"/>
  <c r="W1210" i="15"/>
  <c r="J1210" i="15"/>
  <c r="U1210" i="15"/>
  <c r="V1210" i="15"/>
  <c r="K1212" i="15"/>
  <c r="N1212" i="15" s="1"/>
  <c r="M1262" i="15"/>
  <c r="L1262" i="15"/>
  <c r="V1124" i="15"/>
  <c r="K1126" i="15"/>
  <c r="U1126" i="15"/>
  <c r="J1128" i="15"/>
  <c r="K1142" i="15"/>
  <c r="U1142" i="15"/>
  <c r="J1144" i="15"/>
  <c r="J1160" i="15"/>
  <c r="H1160" i="15"/>
  <c r="U1160" i="15"/>
  <c r="V1218" i="15"/>
  <c r="M1230" i="15"/>
  <c r="L1230" i="15"/>
  <c r="V1266" i="15"/>
  <c r="V1126" i="15"/>
  <c r="V1142" i="15"/>
  <c r="M1152" i="15"/>
  <c r="L1152" i="15"/>
  <c r="U1158" i="15"/>
  <c r="K1158" i="15"/>
  <c r="N1158" i="15" s="1"/>
  <c r="J1158" i="15"/>
  <c r="H1158" i="15"/>
  <c r="H1202" i="15"/>
  <c r="W1202" i="15"/>
  <c r="U1202" i="15"/>
  <c r="W1212" i="15"/>
  <c r="V1212" i="15"/>
  <c r="H1212" i="15"/>
  <c r="U1212" i="15"/>
  <c r="L1234" i="15"/>
  <c r="M1234" i="15"/>
  <c r="M1250" i="15"/>
  <c r="L1250" i="15"/>
  <c r="V1268" i="15"/>
  <c r="V1144" i="15"/>
  <c r="H1146" i="15"/>
  <c r="U1146" i="15"/>
  <c r="V1158" i="15"/>
  <c r="K1162" i="15"/>
  <c r="N1162" i="15" s="1"/>
  <c r="M1194" i="15"/>
  <c r="L1194" i="15"/>
  <c r="V1202" i="15"/>
  <c r="H1210" i="15"/>
  <c r="J1222" i="15"/>
  <c r="H1222" i="15"/>
  <c r="W1222" i="15"/>
  <c r="V1222" i="15"/>
  <c r="U1222" i="15"/>
  <c r="V1148" i="15"/>
  <c r="J1152" i="15"/>
  <c r="H1154" i="15"/>
  <c r="J1192" i="15"/>
  <c r="H1194" i="15"/>
  <c r="H1206" i="15"/>
  <c r="J1208" i="15"/>
  <c r="U1220" i="15"/>
  <c r="K1220" i="15"/>
  <c r="J1220" i="15"/>
  <c r="H1220" i="15"/>
  <c r="K1226" i="15"/>
  <c r="N1226" i="15" s="1"/>
  <c r="L1244" i="15"/>
  <c r="Q1244" i="15" s="1"/>
  <c r="M1248" i="15"/>
  <c r="L1248" i="15"/>
  <c r="V1252" i="15"/>
  <c r="M1266" i="15"/>
  <c r="L1266" i="15"/>
  <c r="V1152" i="15"/>
  <c r="K1154" i="15"/>
  <c r="U1154" i="15"/>
  <c r="J1156" i="15"/>
  <c r="U1232" i="15"/>
  <c r="U1216" i="15"/>
  <c r="U1262" i="15"/>
  <c r="K1194" i="15"/>
  <c r="U1194" i="15"/>
  <c r="J1196" i="15"/>
  <c r="U1230" i="15"/>
  <c r="M1232" i="15"/>
  <c r="L1232" i="15"/>
  <c r="V1234" i="15"/>
  <c r="W1244" i="15"/>
  <c r="U1244" i="15"/>
  <c r="K1244" i="15"/>
  <c r="M1246" i="15"/>
  <c r="L1246" i="15"/>
  <c r="J1256" i="15"/>
  <c r="H1256" i="15"/>
  <c r="W1256" i="15"/>
  <c r="V1154" i="15"/>
  <c r="K1156" i="15"/>
  <c r="U1156" i="15"/>
  <c r="W1192" i="15"/>
  <c r="K1196" i="15"/>
  <c r="N1196" i="15" s="1"/>
  <c r="U1196" i="15"/>
  <c r="V1216" i="15"/>
  <c r="H1240" i="15"/>
  <c r="W1240" i="15"/>
  <c r="V1244" i="15"/>
  <c r="V1250" i="15"/>
  <c r="M1260" i="15"/>
  <c r="L1260" i="15"/>
  <c r="M1264" i="15"/>
  <c r="L1264" i="15"/>
  <c r="U1270" i="15"/>
  <c r="K1270" i="15"/>
  <c r="N1270" i="15" s="1"/>
  <c r="J1270" i="15"/>
  <c r="H1270" i="15"/>
  <c r="U1206" i="15"/>
  <c r="H1208" i="15"/>
  <c r="M1214" i="15"/>
  <c r="L1214" i="15"/>
  <c r="W1228" i="15"/>
  <c r="U1236" i="15"/>
  <c r="K1236" i="15"/>
  <c r="J1236" i="15"/>
  <c r="H1236" i="15"/>
  <c r="J1238" i="15"/>
  <c r="H1238" i="15"/>
  <c r="U1238" i="15"/>
  <c r="U1240" i="15"/>
  <c r="U1242" i="15"/>
  <c r="U1258" i="15"/>
  <c r="V1242" i="15"/>
  <c r="L1258" i="15"/>
  <c r="Q1258" i="15" s="1"/>
  <c r="V1258" i="15"/>
  <c r="K1260" i="15"/>
  <c r="N1260" i="15" s="1"/>
  <c r="U1260" i="15"/>
  <c r="V1260" i="15"/>
  <c r="V1214" i="15"/>
  <c r="V1230" i="15"/>
  <c r="J1234" i="15"/>
  <c r="V1246" i="15"/>
  <c r="K1248" i="15"/>
  <c r="U1248" i="15"/>
  <c r="J1250" i="15"/>
  <c r="H1252" i="15"/>
  <c r="W1260" i="15"/>
  <c r="V1262" i="15"/>
  <c r="K1264" i="15"/>
  <c r="U1264" i="15"/>
  <c r="J1266" i="15"/>
  <c r="H1268" i="15"/>
  <c r="W1214" i="15"/>
  <c r="K1218" i="15"/>
  <c r="U1218" i="15"/>
  <c r="W1230" i="15"/>
  <c r="V1232" i="15"/>
  <c r="K1234" i="15"/>
  <c r="U1234" i="15"/>
  <c r="W1246" i="15"/>
  <c r="V1248" i="15"/>
  <c r="K1250" i="15"/>
  <c r="N1250" i="15" s="1"/>
  <c r="U1250" i="15"/>
  <c r="J1252" i="15"/>
  <c r="K1266" i="15"/>
  <c r="N1266" i="15" s="1"/>
  <c r="U1266" i="15"/>
  <c r="J1268" i="15"/>
  <c r="K1252" i="15"/>
  <c r="U1252" i="15"/>
  <c r="K1268" i="15"/>
  <c r="N1268" i="15" s="1"/>
  <c r="U1268" i="15"/>
  <c r="H1258" i="15"/>
  <c r="I57" i="11"/>
  <c r="I55" i="11"/>
  <c r="X1031" i="15" l="1"/>
  <c r="X1011" i="15"/>
  <c r="X1019" i="15"/>
  <c r="X1027" i="15"/>
  <c r="X975" i="15"/>
  <c r="X1039" i="15"/>
  <c r="X1023" i="15"/>
  <c r="X1007" i="15"/>
  <c r="X977" i="15"/>
  <c r="X985" i="15"/>
  <c r="X987" i="15"/>
  <c r="X979" i="15"/>
  <c r="X989" i="15"/>
  <c r="X969" i="15"/>
  <c r="X981" i="15"/>
  <c r="X963" i="15"/>
  <c r="X961" i="15"/>
  <c r="X1043" i="15"/>
  <c r="X1013" i="15"/>
  <c r="X991" i="15"/>
  <c r="X993" i="15"/>
  <c r="X1009" i="15"/>
  <c r="AA1084" i="15"/>
  <c r="AA1178" i="15"/>
  <c r="AA1182" i="15"/>
  <c r="AA1176" i="15"/>
  <c r="AA1184" i="15"/>
  <c r="AA1180" i="15"/>
  <c r="Y1178" i="15"/>
  <c r="Y1182" i="15"/>
  <c r="Y1180" i="15"/>
  <c r="Y1184" i="15"/>
  <c r="Y1176" i="15"/>
  <c r="Z1178" i="15"/>
  <c r="Z1176" i="15"/>
  <c r="Z1184" i="15"/>
  <c r="Z1180" i="15"/>
  <c r="Z1182" i="15"/>
  <c r="X1176" i="15"/>
  <c r="X1180" i="15"/>
  <c r="X1184" i="15"/>
  <c r="X1182" i="15"/>
  <c r="X1178" i="15"/>
  <c r="Y1053" i="15"/>
  <c r="Y1059" i="15"/>
  <c r="Y1055" i="15"/>
  <c r="D37" i="10" s="1"/>
  <c r="Y1051" i="15"/>
  <c r="Y1057" i="15"/>
  <c r="W1051" i="15"/>
  <c r="W1059" i="15"/>
  <c r="W1053" i="15"/>
  <c r="W1057" i="15"/>
  <c r="W1055" i="15"/>
  <c r="AB1055" i="15"/>
  <c r="X1041" i="15"/>
  <c r="X1057" i="15"/>
  <c r="X1053" i="15"/>
  <c r="X1055" i="15"/>
  <c r="X1059" i="15"/>
  <c r="X1051" i="15"/>
  <c r="AB1057" i="15"/>
  <c r="AA1053" i="15"/>
  <c r="AA1055" i="15"/>
  <c r="AA1051" i="15"/>
  <c r="AA1057" i="15"/>
  <c r="AA1059" i="15"/>
  <c r="AB1059" i="15"/>
  <c r="AB1051" i="15"/>
  <c r="Z1055" i="15"/>
  <c r="Z1051" i="15"/>
  <c r="Z1057" i="15"/>
  <c r="Z1053" i="15"/>
  <c r="Z1059" i="15"/>
  <c r="AB1053" i="15"/>
  <c r="W937" i="15"/>
  <c r="W943" i="15"/>
  <c r="W941" i="15"/>
  <c r="W935" i="15"/>
  <c r="W939" i="15"/>
  <c r="X967" i="15"/>
  <c r="K388" i="15"/>
  <c r="N388" i="15" s="1"/>
  <c r="T424" i="15"/>
  <c r="T426" i="15"/>
  <c r="T428" i="15"/>
  <c r="T430" i="15"/>
  <c r="T432" i="15"/>
  <c r="S426" i="15"/>
  <c r="S428" i="15"/>
  <c r="S430" i="15"/>
  <c r="S432" i="15"/>
  <c r="S424" i="15"/>
  <c r="T310" i="15"/>
  <c r="G310" i="15" s="1"/>
  <c r="T316" i="15"/>
  <c r="G316" i="15" s="1"/>
  <c r="T308" i="15"/>
  <c r="G308" i="15" s="1"/>
  <c r="T314" i="15"/>
  <c r="G314" i="15" s="1"/>
  <c r="T312" i="15"/>
  <c r="G312" i="15" s="1"/>
  <c r="S191" i="15"/>
  <c r="S193" i="15"/>
  <c r="S195" i="15"/>
  <c r="S197" i="15"/>
  <c r="S199" i="15"/>
  <c r="X1045" i="15"/>
  <c r="T195" i="15"/>
  <c r="T197" i="15"/>
  <c r="T191" i="15"/>
  <c r="T193" i="15"/>
  <c r="T199" i="15"/>
  <c r="X965" i="15"/>
  <c r="X973" i="15"/>
  <c r="X1047" i="15"/>
  <c r="AB487" i="15"/>
  <c r="X1049" i="15"/>
  <c r="W859" i="15"/>
  <c r="W927" i="15"/>
  <c r="W929" i="15"/>
  <c r="W933" i="15"/>
  <c r="W931" i="15"/>
  <c r="W925" i="15"/>
  <c r="D34" i="10"/>
  <c r="D36" i="10"/>
  <c r="D28" i="10"/>
  <c r="D39" i="10"/>
  <c r="T131" i="15"/>
  <c r="T183" i="15"/>
  <c r="T187" i="15"/>
  <c r="T189" i="15"/>
  <c r="T185" i="15"/>
  <c r="T181" i="15"/>
  <c r="S107" i="15"/>
  <c r="S183" i="15"/>
  <c r="S185" i="15"/>
  <c r="S187" i="15"/>
  <c r="S181" i="15"/>
  <c r="S189" i="15"/>
  <c r="AB202" i="15"/>
  <c r="AB204" i="15"/>
  <c r="AB203" i="15"/>
  <c r="T232" i="15"/>
  <c r="G232" i="15" s="1"/>
  <c r="T302" i="15"/>
  <c r="G302" i="15" s="1"/>
  <c r="T304" i="15"/>
  <c r="G304" i="15" s="1"/>
  <c r="T298" i="15"/>
  <c r="G298" i="15" s="1"/>
  <c r="T300" i="15"/>
  <c r="G300" i="15" s="1"/>
  <c r="T306" i="15"/>
  <c r="G306" i="15" s="1"/>
  <c r="S404" i="15"/>
  <c r="S414" i="15"/>
  <c r="S422" i="15"/>
  <c r="S416" i="15"/>
  <c r="S420" i="15"/>
  <c r="S418" i="15"/>
  <c r="T348" i="15"/>
  <c r="T420" i="15"/>
  <c r="T422" i="15"/>
  <c r="T414" i="15"/>
  <c r="T416" i="15"/>
  <c r="T418" i="15"/>
  <c r="AB1043" i="15"/>
  <c r="W1013" i="15"/>
  <c r="W1047" i="15"/>
  <c r="W1045" i="15"/>
  <c r="W1043" i="15"/>
  <c r="W1041" i="15"/>
  <c r="W1049" i="15"/>
  <c r="AB1047" i="15"/>
  <c r="AB1041" i="15"/>
  <c r="Z977" i="15"/>
  <c r="Z1043" i="15"/>
  <c r="Z1047" i="15"/>
  <c r="Z1045" i="15"/>
  <c r="Z1041" i="15"/>
  <c r="Z1049" i="15"/>
  <c r="AB1049" i="15"/>
  <c r="AA965" i="15"/>
  <c r="AA1041" i="15"/>
  <c r="AA1045" i="15"/>
  <c r="AA1047" i="15"/>
  <c r="AA1043" i="15"/>
  <c r="AA1049" i="15"/>
  <c r="Y1001" i="15"/>
  <c r="Y1049" i="15"/>
  <c r="Y1041" i="15"/>
  <c r="Y1047" i="15"/>
  <c r="Y1045" i="15"/>
  <c r="Y1043" i="15"/>
  <c r="AB1045" i="15"/>
  <c r="AA1102" i="15"/>
  <c r="AA1170" i="15"/>
  <c r="AA1172" i="15"/>
  <c r="AA1174" i="15"/>
  <c r="AA1168" i="15"/>
  <c r="AA1166" i="15"/>
  <c r="Y1086" i="15"/>
  <c r="Y1168" i="15"/>
  <c r="Y1172" i="15"/>
  <c r="Y1166" i="15"/>
  <c r="Y1170" i="15"/>
  <c r="Y1174" i="15"/>
  <c r="Z1090" i="15"/>
  <c r="Z1168" i="15"/>
  <c r="Z1170" i="15"/>
  <c r="Z1166" i="15"/>
  <c r="Z1174" i="15"/>
  <c r="Z1172" i="15"/>
  <c r="X1094" i="15"/>
  <c r="X1166" i="15"/>
  <c r="X1172" i="15"/>
  <c r="X1168" i="15"/>
  <c r="X1170" i="15"/>
  <c r="X1174" i="15"/>
  <c r="W993" i="15"/>
  <c r="W1029" i="15"/>
  <c r="T408" i="15"/>
  <c r="S173" i="15"/>
  <c r="AB663" i="15"/>
  <c r="Z1019" i="15"/>
  <c r="Z1011" i="15"/>
  <c r="V845" i="15"/>
  <c r="W999" i="15"/>
  <c r="T402" i="15"/>
  <c r="T376" i="15"/>
  <c r="T394" i="15"/>
  <c r="T378" i="15"/>
  <c r="T392" i="15"/>
  <c r="X1104" i="15"/>
  <c r="K759" i="15"/>
  <c r="N759" i="15" s="1"/>
  <c r="T390" i="15"/>
  <c r="AB541" i="15"/>
  <c r="T374" i="15"/>
  <c r="T380" i="15"/>
  <c r="T400" i="15"/>
  <c r="AB488" i="15"/>
  <c r="AB525" i="15"/>
  <c r="T398" i="15"/>
  <c r="T404" i="15"/>
  <c r="L758" i="15"/>
  <c r="T396" i="15"/>
  <c r="T372" i="15"/>
  <c r="V849" i="15"/>
  <c r="V851" i="15"/>
  <c r="T254" i="15"/>
  <c r="G254" i="15" s="1"/>
  <c r="T238" i="15"/>
  <c r="G238" i="15" s="1"/>
  <c r="T252" i="15"/>
  <c r="G252" i="15" s="1"/>
  <c r="T268" i="15"/>
  <c r="G268" i="15" s="1"/>
  <c r="T228" i="15"/>
  <c r="G228" i="15" s="1"/>
  <c r="T284" i="15"/>
  <c r="G284" i="15" s="1"/>
  <c r="S159" i="15"/>
  <c r="S133" i="15"/>
  <c r="T286" i="15"/>
  <c r="G286" i="15" s="1"/>
  <c r="S103" i="15"/>
  <c r="S157" i="15"/>
  <c r="AA999" i="15"/>
  <c r="S113" i="15"/>
  <c r="T260" i="15"/>
  <c r="G260" i="15" s="1"/>
  <c r="T220" i="15"/>
  <c r="G220" i="15" s="1"/>
  <c r="S135" i="15"/>
  <c r="T292" i="15"/>
  <c r="G292" i="15" s="1"/>
  <c r="T276" i="15"/>
  <c r="G276" i="15" s="1"/>
  <c r="T270" i="15"/>
  <c r="G270" i="15" s="1"/>
  <c r="T236" i="15"/>
  <c r="G236" i="15" s="1"/>
  <c r="T224" i="15"/>
  <c r="G224" i="15" s="1"/>
  <c r="S175" i="15"/>
  <c r="S101" i="15"/>
  <c r="S129" i="15"/>
  <c r="S171" i="15"/>
  <c r="S155" i="15"/>
  <c r="Q883" i="15"/>
  <c r="S149" i="15"/>
  <c r="S105" i="15"/>
  <c r="S169" i="15"/>
  <c r="S153" i="15"/>
  <c r="S143" i="15"/>
  <c r="S111" i="15"/>
  <c r="S141" i="15"/>
  <c r="S109" i="15"/>
  <c r="S147" i="15"/>
  <c r="S131" i="15"/>
  <c r="S115" i="15"/>
  <c r="S167" i="15"/>
  <c r="S151" i="15"/>
  <c r="Z983" i="15"/>
  <c r="S145" i="15"/>
  <c r="S121" i="15"/>
  <c r="S165" i="15"/>
  <c r="S119" i="15"/>
  <c r="S117" i="15"/>
  <c r="S179" i="15"/>
  <c r="S163" i="15"/>
  <c r="Z1029" i="15"/>
  <c r="Y1023" i="15"/>
  <c r="Z967" i="15"/>
  <c r="Z987" i="15"/>
  <c r="S137" i="15"/>
  <c r="S177" i="15"/>
  <c r="S161" i="15"/>
  <c r="S127" i="15"/>
  <c r="S125" i="15"/>
  <c r="S139" i="15"/>
  <c r="S123" i="15"/>
  <c r="AA1122" i="15"/>
  <c r="Z1027" i="15"/>
  <c r="Z1013" i="15"/>
  <c r="Z971" i="15"/>
  <c r="Z1003" i="15"/>
  <c r="Z1023" i="15"/>
  <c r="R1240" i="15"/>
  <c r="G1240" i="15" s="1"/>
  <c r="AA1005" i="15"/>
  <c r="Z1007" i="15"/>
  <c r="Z999" i="15"/>
  <c r="Z1001" i="15"/>
  <c r="Z1009" i="15"/>
  <c r="Z965" i="15"/>
  <c r="Z1025" i="15"/>
  <c r="Z989" i="15"/>
  <c r="W913" i="15"/>
  <c r="Z969" i="15"/>
  <c r="T467" i="15"/>
  <c r="T459" i="15"/>
  <c r="Y1027" i="15"/>
  <c r="AA991" i="15"/>
  <c r="Y1017" i="15"/>
  <c r="Y1009" i="15"/>
  <c r="Z973" i="15"/>
  <c r="T382" i="15"/>
  <c r="R999" i="15"/>
  <c r="G999" i="15" s="1"/>
  <c r="T465" i="15"/>
  <c r="X1124" i="15"/>
  <c r="X1132" i="15"/>
  <c r="X1086" i="15"/>
  <c r="X1120" i="15"/>
  <c r="X1088" i="15"/>
  <c r="X1152" i="15"/>
  <c r="X1116" i="15"/>
  <c r="X1134" i="15"/>
  <c r="T143" i="15"/>
  <c r="T370" i="15"/>
  <c r="T159" i="15"/>
  <c r="T412" i="15"/>
  <c r="T103" i="15"/>
  <c r="S382" i="15"/>
  <c r="S370" i="15"/>
  <c r="Y987" i="15"/>
  <c r="AA1126" i="15"/>
  <c r="AA1082" i="15"/>
  <c r="Y1090" i="15"/>
  <c r="Y1094" i="15"/>
  <c r="AB1027" i="15"/>
  <c r="Y999" i="15"/>
  <c r="AB1037" i="15"/>
  <c r="AB1005" i="15"/>
  <c r="AB975" i="15"/>
  <c r="Y1003" i="15"/>
  <c r="Y973" i="15"/>
  <c r="S390" i="15"/>
  <c r="T463" i="15"/>
  <c r="T175" i="15"/>
  <c r="T155" i="15"/>
  <c r="T127" i="15"/>
  <c r="T111" i="15"/>
  <c r="S410" i="15"/>
  <c r="T109" i="15"/>
  <c r="W891" i="15"/>
  <c r="T115" i="15"/>
  <c r="S406" i="15"/>
  <c r="AA1160" i="15"/>
  <c r="AA1080" i="15"/>
  <c r="Y1080" i="15"/>
  <c r="AA1134" i="15"/>
  <c r="AA1110" i="15"/>
  <c r="AA1086" i="15"/>
  <c r="T173" i="15"/>
  <c r="T153" i="15"/>
  <c r="AA1132" i="15"/>
  <c r="T157" i="15"/>
  <c r="AA1154" i="15"/>
  <c r="AA1112" i="15"/>
  <c r="Z1106" i="15"/>
  <c r="AA1090" i="15"/>
  <c r="Y1039" i="15"/>
  <c r="Y1029" i="15"/>
  <c r="Y983" i="15"/>
  <c r="AB1019" i="15"/>
  <c r="T171" i="15"/>
  <c r="T151" i="15"/>
  <c r="Y1033" i="15"/>
  <c r="Y1078" i="15"/>
  <c r="Y1025" i="15"/>
  <c r="AB1001" i="15"/>
  <c r="AA1116" i="15"/>
  <c r="Y985" i="15"/>
  <c r="AA1158" i="15"/>
  <c r="Y1130" i="15"/>
  <c r="Y1132" i="15"/>
  <c r="AA1118" i="15"/>
  <c r="Y1102" i="15"/>
  <c r="Y997" i="15"/>
  <c r="S398" i="15"/>
  <c r="T169" i="15"/>
  <c r="T135" i="15"/>
  <c r="AA1146" i="15"/>
  <c r="AA1162" i="15"/>
  <c r="AA1106" i="15"/>
  <c r="AA1088" i="15"/>
  <c r="AA1104" i="15"/>
  <c r="Y981" i="15"/>
  <c r="Y1104" i="15"/>
  <c r="S481" i="15"/>
  <c r="S376" i="15"/>
  <c r="T139" i="15"/>
  <c r="T167" i="15"/>
  <c r="T123" i="15"/>
  <c r="AA1142" i="15"/>
  <c r="AA1130" i="15"/>
  <c r="AA1098" i="15"/>
  <c r="S374" i="15"/>
  <c r="T165" i="15"/>
  <c r="N47" i="15"/>
  <c r="N127" i="15"/>
  <c r="K806" i="15"/>
  <c r="K807" i="15" s="1"/>
  <c r="AA1031" i="15"/>
  <c r="Y1162" i="15"/>
  <c r="S475" i="15"/>
  <c r="G475" i="15" s="1"/>
  <c r="N384" i="15"/>
  <c r="AB1035" i="15"/>
  <c r="AA987" i="15"/>
  <c r="AA989" i="15"/>
  <c r="AB995" i="15"/>
  <c r="X1112" i="15"/>
  <c r="X1148" i="15"/>
  <c r="X1162" i="15"/>
  <c r="X1138" i="15"/>
  <c r="Y1122" i="15"/>
  <c r="AB1033" i="15"/>
  <c r="X1118" i="15"/>
  <c r="Y1110" i="15"/>
  <c r="AB993" i="15"/>
  <c r="X1096" i="15"/>
  <c r="Z1086" i="15"/>
  <c r="AB485" i="15"/>
  <c r="T179" i="15"/>
  <c r="T163" i="15"/>
  <c r="T117" i="15"/>
  <c r="AA1021" i="15"/>
  <c r="AB1011" i="15"/>
  <c r="X1110" i="15"/>
  <c r="AA1007" i="15"/>
  <c r="S396" i="15"/>
  <c r="Y1148" i="15"/>
  <c r="Y1146" i="15"/>
  <c r="X1136" i="15"/>
  <c r="Y1138" i="15"/>
  <c r="X1150" i="15"/>
  <c r="W1037" i="15"/>
  <c r="W1015" i="15"/>
  <c r="Y1118" i="15"/>
  <c r="AB1009" i="15"/>
  <c r="R1088" i="15"/>
  <c r="G1088" i="15" s="1"/>
  <c r="AA975" i="15"/>
  <c r="AA1029" i="15"/>
  <c r="W1023" i="15"/>
  <c r="AA983" i="15"/>
  <c r="AA1001" i="15"/>
  <c r="AB1017" i="15"/>
  <c r="S402" i="15"/>
  <c r="S394" i="15"/>
  <c r="T177" i="15"/>
  <c r="T161" i="15"/>
  <c r="T119" i="15"/>
  <c r="AB1013" i="15"/>
  <c r="X1114" i="15"/>
  <c r="AA1023" i="15"/>
  <c r="S386" i="15"/>
  <c r="Y1134" i="15"/>
  <c r="AA1013" i="15"/>
  <c r="Z1146" i="15"/>
  <c r="Y1158" i="15"/>
  <c r="X1160" i="15"/>
  <c r="Y1150" i="15"/>
  <c r="Z1084" i="15"/>
  <c r="AA1037" i="15"/>
  <c r="AB1025" i="15"/>
  <c r="X1078" i="15"/>
  <c r="AB1029" i="15"/>
  <c r="AA1015" i="15"/>
  <c r="AB1007" i="15"/>
  <c r="Z1080" i="15"/>
  <c r="AA985" i="15"/>
  <c r="AA971" i="15"/>
  <c r="AB1039" i="15"/>
  <c r="W969" i="15"/>
  <c r="S378" i="15"/>
  <c r="S400" i="15"/>
  <c r="S392" i="15"/>
  <c r="S380" i="15"/>
  <c r="S388" i="15"/>
  <c r="Y1106" i="15"/>
  <c r="Y1116" i="15"/>
  <c r="Z1110" i="15"/>
  <c r="AA1009" i="15"/>
  <c r="AB1003" i="15"/>
  <c r="AB1031" i="15"/>
  <c r="AA967" i="15"/>
  <c r="AB997" i="15"/>
  <c r="AB1015" i="15"/>
  <c r="AB985" i="15"/>
  <c r="AB539" i="15"/>
  <c r="S412" i="15"/>
  <c r="S372" i="15"/>
  <c r="L734" i="15"/>
  <c r="K735" i="15"/>
  <c r="N735" i="15" s="1"/>
  <c r="N151" i="15"/>
  <c r="N396" i="15"/>
  <c r="N153" i="15"/>
  <c r="N400" i="15"/>
  <c r="R685" i="15"/>
  <c r="G685" i="15" s="1"/>
  <c r="K736" i="15"/>
  <c r="L736" i="15" s="1"/>
  <c r="N336" i="15"/>
  <c r="M745" i="15"/>
  <c r="Q745" i="15" s="1"/>
  <c r="L751" i="15"/>
  <c r="N751" i="15" s="1"/>
  <c r="Q1011" i="15"/>
  <c r="K782" i="15"/>
  <c r="K783" i="15" s="1"/>
  <c r="Q1108" i="15"/>
  <c r="Q1252" i="15"/>
  <c r="Q869" i="15"/>
  <c r="Q1025" i="15"/>
  <c r="AB131" i="15"/>
  <c r="N49" i="15"/>
  <c r="K790" i="15"/>
  <c r="K791" i="15" s="1"/>
  <c r="AB139" i="15"/>
  <c r="R1027" i="15"/>
  <c r="G1027" i="15" s="1"/>
  <c r="L750" i="15"/>
  <c r="R629" i="15"/>
  <c r="G629" i="15" s="1"/>
  <c r="K804" i="15"/>
  <c r="L804" i="15" s="1"/>
  <c r="R669" i="15"/>
  <c r="G669" i="15" s="1"/>
  <c r="M765" i="15"/>
  <c r="Q765" i="15" s="1"/>
  <c r="N125" i="15"/>
  <c r="L763" i="15"/>
  <c r="N763" i="15" s="1"/>
  <c r="K757" i="15"/>
  <c r="AB135" i="15"/>
  <c r="Q1148" i="15"/>
  <c r="Q971" i="15"/>
  <c r="L762" i="15"/>
  <c r="K788" i="15"/>
  <c r="K789" i="15" s="1"/>
  <c r="L757" i="15"/>
  <c r="K785" i="15"/>
  <c r="M729" i="15"/>
  <c r="Q729" i="15" s="1"/>
  <c r="R549" i="15"/>
  <c r="G549" i="15" s="1"/>
  <c r="M735" i="15"/>
  <c r="Q735" i="15" s="1"/>
  <c r="L785" i="15"/>
  <c r="R851" i="15"/>
  <c r="G851" i="15" s="1"/>
  <c r="AB527" i="15"/>
  <c r="R1124" i="15"/>
  <c r="G1124" i="15" s="1"/>
  <c r="Q1228" i="15"/>
  <c r="Q913" i="15"/>
  <c r="Q849" i="15"/>
  <c r="R1192" i="15"/>
  <c r="G1192" i="15" s="1"/>
  <c r="R1238" i="15"/>
  <c r="G1238" i="15" s="1"/>
  <c r="AA1003" i="15"/>
  <c r="AB979" i="15"/>
  <c r="AB987" i="15"/>
  <c r="Z1162" i="15"/>
  <c r="Z1120" i="15"/>
  <c r="Z1104" i="15"/>
  <c r="Z1102" i="15"/>
  <c r="Z1160" i="15"/>
  <c r="Z1144" i="15"/>
  <c r="Z1100" i="15"/>
  <c r="Z1116" i="15"/>
  <c r="Z1094" i="15"/>
  <c r="Z1118" i="15"/>
  <c r="Z1114" i="15"/>
  <c r="Z1156" i="15"/>
  <c r="Z1132" i="15"/>
  <c r="Z1108" i="15"/>
  <c r="Z1136" i="15"/>
  <c r="Z1112" i="15"/>
  <c r="Z1134" i="15"/>
  <c r="Z1078" i="15"/>
  <c r="Z1148" i="15"/>
  <c r="Z1130" i="15"/>
  <c r="Z1150" i="15"/>
  <c r="T477" i="15"/>
  <c r="T481" i="15"/>
  <c r="T483" i="15"/>
  <c r="G483" i="15" s="1"/>
  <c r="T479" i="15"/>
  <c r="T338" i="15"/>
  <c r="T344" i="15"/>
  <c r="Q1154" i="15"/>
  <c r="R1104" i="15"/>
  <c r="G1104" i="15" s="1"/>
  <c r="Q915" i="15"/>
  <c r="Q569" i="15"/>
  <c r="Q663" i="15"/>
  <c r="R881" i="15"/>
  <c r="G881" i="15" s="1"/>
  <c r="Q987" i="15"/>
  <c r="Q669" i="15"/>
  <c r="Q1098" i="15"/>
  <c r="R915" i="15"/>
  <c r="R985" i="15"/>
  <c r="G985" i="15" s="1"/>
  <c r="R689" i="15"/>
  <c r="G689" i="15" s="1"/>
  <c r="R547" i="15"/>
  <c r="G547" i="15" s="1"/>
  <c r="N119" i="15"/>
  <c r="Q615" i="15"/>
  <c r="R1011" i="15"/>
  <c r="G1011" i="15" s="1"/>
  <c r="N77" i="15"/>
  <c r="Q657" i="15"/>
  <c r="N69" i="15"/>
  <c r="G1204" i="15"/>
  <c r="R981" i="15"/>
  <c r="G981" i="15" s="1"/>
  <c r="R569" i="15"/>
  <c r="R849" i="15"/>
  <c r="G849" i="15" s="1"/>
  <c r="R913" i="15"/>
  <c r="G913" i="15" s="1"/>
  <c r="N117" i="15"/>
  <c r="R1210" i="15"/>
  <c r="G1210" i="15" s="1"/>
  <c r="L794" i="15"/>
  <c r="R515" i="15"/>
  <c r="G515" i="15" s="1"/>
  <c r="N67" i="15"/>
  <c r="N467" i="15"/>
  <c r="N348" i="15"/>
  <c r="N177" i="15"/>
  <c r="Q1128" i="15"/>
  <c r="Q1204" i="15"/>
  <c r="L780" i="15"/>
  <c r="K795" i="15"/>
  <c r="N795" i="15" s="1"/>
  <c r="Q677" i="15"/>
  <c r="N143" i="15"/>
  <c r="L777" i="15"/>
  <c r="R545" i="15"/>
  <c r="G545" i="15" s="1"/>
  <c r="N51" i="15"/>
  <c r="N169" i="15"/>
  <c r="M743" i="15"/>
  <c r="Q743" i="15" s="1"/>
  <c r="K781" i="15"/>
  <c r="N781" i="15" s="1"/>
  <c r="R1084" i="15"/>
  <c r="K777" i="15"/>
  <c r="L363" i="15"/>
  <c r="L364" i="15" s="1"/>
  <c r="N364" i="15" s="1"/>
  <c r="N376" i="15"/>
  <c r="Q1078" i="15"/>
  <c r="N149" i="15"/>
  <c r="Q1138" i="15"/>
  <c r="Q1144" i="15"/>
  <c r="Q527" i="15"/>
  <c r="Q1260" i="15"/>
  <c r="Q885" i="15"/>
  <c r="Q653" i="15"/>
  <c r="N483" i="15"/>
  <c r="Q1226" i="15"/>
  <c r="Q1268" i="15"/>
  <c r="Q577" i="15"/>
  <c r="Q1126" i="15"/>
  <c r="R1216" i="15"/>
  <c r="G1216" i="15" s="1"/>
  <c r="R967" i="15"/>
  <c r="G967" i="15" s="1"/>
  <c r="Q983" i="15"/>
  <c r="Q1009" i="15"/>
  <c r="Q917" i="15"/>
  <c r="Q881" i="15"/>
  <c r="R865" i="15"/>
  <c r="G865" i="15" s="1"/>
  <c r="Q687" i="15"/>
  <c r="Q631" i="15"/>
  <c r="R673" i="15"/>
  <c r="Q665" i="15"/>
  <c r="R555" i="15"/>
  <c r="G555" i="15" s="1"/>
  <c r="Q525" i="15"/>
  <c r="R579" i="15"/>
  <c r="Q567" i="15"/>
  <c r="R553" i="15"/>
  <c r="G553" i="15" s="1"/>
  <c r="N179" i="15"/>
  <c r="N141" i="15"/>
  <c r="N133" i="15"/>
  <c r="N63" i="15"/>
  <c r="R1116" i="15"/>
  <c r="G1116" i="15" s="1"/>
  <c r="R1232" i="15"/>
  <c r="G1232" i="15" s="1"/>
  <c r="R1164" i="15"/>
  <c r="G1164" i="15" s="1"/>
  <c r="R677" i="15"/>
  <c r="R1106" i="15"/>
  <c r="G1106" i="15" s="1"/>
  <c r="N101" i="15"/>
  <c r="Q659" i="15"/>
  <c r="L803" i="15"/>
  <c r="N803" i="15" s="1"/>
  <c r="R897" i="15"/>
  <c r="N129" i="15"/>
  <c r="R1242" i="15"/>
  <c r="G1242" i="15" s="1"/>
  <c r="Q1110" i="15"/>
  <c r="R527" i="15"/>
  <c r="G527" i="15" s="1"/>
  <c r="R645" i="15"/>
  <c r="G645" i="15" s="1"/>
  <c r="N109" i="15"/>
  <c r="R1222" i="15"/>
  <c r="G1222" i="15" s="1"/>
  <c r="L771" i="15"/>
  <c r="R883" i="15"/>
  <c r="G883" i="15" s="1"/>
  <c r="R559" i="15"/>
  <c r="Q893" i="15"/>
  <c r="Q521" i="15"/>
  <c r="Q551" i="15"/>
  <c r="Q1206" i="15"/>
  <c r="Q1238" i="15"/>
  <c r="Q1027" i="15"/>
  <c r="N171" i="15"/>
  <c r="N167" i="15"/>
  <c r="N135" i="15"/>
  <c r="R507" i="15"/>
  <c r="G507" i="15" s="1"/>
  <c r="R1144" i="15"/>
  <c r="M761" i="15"/>
  <c r="Q761" i="15" s="1"/>
  <c r="G551" i="15"/>
  <c r="N79" i="15"/>
  <c r="R1007" i="15"/>
  <c r="G1007" i="15" s="1"/>
  <c r="L802" i="15"/>
  <c r="M753" i="15"/>
  <c r="Q753" i="15" s="1"/>
  <c r="R627" i="15"/>
  <c r="G627" i="15" s="1"/>
  <c r="AB133" i="15"/>
  <c r="N161" i="15"/>
  <c r="Q977" i="15"/>
  <c r="N797" i="15"/>
  <c r="Q859" i="15"/>
  <c r="Q621" i="15"/>
  <c r="G63" i="15"/>
  <c r="Q1270" i="15"/>
  <c r="R1134" i="15"/>
  <c r="G1134" i="15" s="1"/>
  <c r="R1082" i="15"/>
  <c r="G1082" i="15" s="1"/>
  <c r="Q901" i="15"/>
  <c r="M803" i="15"/>
  <c r="Q803" i="15" s="1"/>
  <c r="R867" i="15"/>
  <c r="G867" i="15" s="1"/>
  <c r="Q857" i="15"/>
  <c r="Q673" i="15"/>
  <c r="L773" i="15"/>
  <c r="L772" i="15"/>
  <c r="K773" i="15"/>
  <c r="R1258" i="15"/>
  <c r="G1258" i="15" s="1"/>
  <c r="R997" i="15"/>
  <c r="G997" i="15" s="1"/>
  <c r="M787" i="15"/>
  <c r="Q787" i="15" s="1"/>
  <c r="R543" i="15"/>
  <c r="G543" i="15" s="1"/>
  <c r="M773" i="15"/>
  <c r="Q773" i="15" s="1"/>
  <c r="R1128" i="15"/>
  <c r="G1128" i="15" s="1"/>
  <c r="Q1136" i="15"/>
  <c r="R1029" i="15"/>
  <c r="Q865" i="15"/>
  <c r="R525" i="15"/>
  <c r="G525" i="15" s="1"/>
  <c r="R505" i="15"/>
  <c r="G505" i="15" s="1"/>
  <c r="L407" i="15"/>
  <c r="L408" i="15" s="1"/>
  <c r="N408" i="15" s="1"/>
  <c r="Q545" i="15"/>
  <c r="R1228" i="15"/>
  <c r="G1228" i="15" s="1"/>
  <c r="N83" i="15"/>
  <c r="R1162" i="15"/>
  <c r="G1162" i="15" s="1"/>
  <c r="L749" i="15"/>
  <c r="R563" i="15"/>
  <c r="G563" i="15" s="1"/>
  <c r="R561" i="15"/>
  <c r="G561" i="15" s="1"/>
  <c r="L744" i="15"/>
  <c r="R1200" i="15"/>
  <c r="G1200" i="15" s="1"/>
  <c r="R1013" i="15"/>
  <c r="G1013" i="15" s="1"/>
  <c r="Q993" i="15"/>
  <c r="Q889" i="15"/>
  <c r="R899" i="15"/>
  <c r="G899" i="15" s="1"/>
  <c r="R1108" i="15"/>
  <c r="G1108" i="15" s="1"/>
  <c r="Q1142" i="15"/>
  <c r="R1098" i="15"/>
  <c r="G1098" i="15" s="1"/>
  <c r="R993" i="15"/>
  <c r="G993" i="15" s="1"/>
  <c r="R875" i="15"/>
  <c r="G875" i="15" s="1"/>
  <c r="Q879" i="15"/>
  <c r="R577" i="15"/>
  <c r="G577" i="15" s="1"/>
  <c r="R691" i="15"/>
  <c r="G691" i="15" s="1"/>
  <c r="Q1220" i="15"/>
  <c r="G1076" i="15"/>
  <c r="R1025" i="15"/>
  <c r="G1025" i="15" s="1"/>
  <c r="R961" i="15"/>
  <c r="G961" i="15" s="1"/>
  <c r="R647" i="15"/>
  <c r="G647" i="15" s="1"/>
  <c r="N459" i="15"/>
  <c r="Q509" i="15"/>
  <c r="Q1116" i="15"/>
  <c r="Q1033" i="15"/>
  <c r="K749" i="15"/>
  <c r="Q685" i="15"/>
  <c r="N481" i="15"/>
  <c r="Q555" i="15"/>
  <c r="G83" i="15"/>
  <c r="Q1222" i="15"/>
  <c r="R975" i="15"/>
  <c r="G975" i="15" s="1"/>
  <c r="R1146" i="15"/>
  <c r="G1146" i="15" s="1"/>
  <c r="K753" i="15"/>
  <c r="N753" i="15" s="1"/>
  <c r="R649" i="15"/>
  <c r="G649" i="15" s="1"/>
  <c r="R633" i="15"/>
  <c r="G633" i="15" s="1"/>
  <c r="G65" i="15"/>
  <c r="G49" i="15"/>
  <c r="L385" i="15"/>
  <c r="L386" i="15" s="1"/>
  <c r="N386" i="15" s="1"/>
  <c r="N334" i="15"/>
  <c r="Q963" i="15"/>
  <c r="K732" i="15"/>
  <c r="M733" i="15"/>
  <c r="Q733" i="15" s="1"/>
  <c r="Q1102" i="15"/>
  <c r="Q679" i="15"/>
  <c r="Q1196" i="15"/>
  <c r="L339" i="15"/>
  <c r="L340" i="15" s="1"/>
  <c r="N340" i="15" s="1"/>
  <c r="R1160" i="15"/>
  <c r="G1160" i="15" s="1"/>
  <c r="R1250" i="15"/>
  <c r="G1250" i="15" s="1"/>
  <c r="R1136" i="15"/>
  <c r="G1136" i="15" s="1"/>
  <c r="Q1017" i="15"/>
  <c r="R1132" i="15"/>
  <c r="G1132" i="15" s="1"/>
  <c r="Q991" i="15"/>
  <c r="R845" i="15"/>
  <c r="G845" i="15" s="1"/>
  <c r="R973" i="15"/>
  <c r="G973" i="15" s="1"/>
  <c r="K771" i="15"/>
  <c r="Q861" i="15"/>
  <c r="L787" i="15"/>
  <c r="Q897" i="15"/>
  <c r="N163" i="15"/>
  <c r="R917" i="15"/>
  <c r="N111" i="15"/>
  <c r="R1266" i="15"/>
  <c r="G1266" i="15" s="1"/>
  <c r="Q1134" i="15"/>
  <c r="Q1164" i="15"/>
  <c r="R987" i="15"/>
  <c r="G987" i="15" s="1"/>
  <c r="R969" i="15"/>
  <c r="G969" i="15" s="1"/>
  <c r="R885" i="15"/>
  <c r="G885" i="15" s="1"/>
  <c r="R863" i="15"/>
  <c r="G863" i="15" s="1"/>
  <c r="G441" i="15"/>
  <c r="Q903" i="15"/>
  <c r="R565" i="15"/>
  <c r="G565" i="15" s="1"/>
  <c r="R523" i="15"/>
  <c r="G523" i="15" s="1"/>
  <c r="Q641" i="15"/>
  <c r="N382" i="15"/>
  <c r="G1148" i="15"/>
  <c r="L743" i="15"/>
  <c r="N743" i="15" s="1"/>
  <c r="L742" i="15"/>
  <c r="Q1248" i="15"/>
  <c r="Q1250" i="15"/>
  <c r="R1254" i="15"/>
  <c r="G1254" i="15" s="1"/>
  <c r="Q1208" i="15"/>
  <c r="Q989" i="15"/>
  <c r="L779" i="15"/>
  <c r="R895" i="15"/>
  <c r="G895" i="15" s="1"/>
  <c r="G661" i="15"/>
  <c r="N131" i="15"/>
  <c r="N107" i="15"/>
  <c r="N338" i="15"/>
  <c r="N145" i="15"/>
  <c r="L389" i="15"/>
  <c r="L390" i="15" s="1"/>
  <c r="N173" i="15"/>
  <c r="Q969" i="15"/>
  <c r="Q1007" i="15"/>
  <c r="L371" i="15"/>
  <c r="L372" i="15" s="1"/>
  <c r="N372" i="15" s="1"/>
  <c r="Q1242" i="15"/>
  <c r="Q1001" i="15"/>
  <c r="G567" i="15"/>
  <c r="Q851" i="15"/>
  <c r="Q645" i="15"/>
  <c r="Q563" i="15"/>
  <c r="Q503" i="15"/>
  <c r="Q553" i="15"/>
  <c r="N159" i="15"/>
  <c r="N479" i="15"/>
  <c r="N103" i="15"/>
  <c r="R1152" i="15"/>
  <c r="G1152" i="15" s="1"/>
  <c r="Q1200" i="15"/>
  <c r="R1114" i="15"/>
  <c r="G1114" i="15" s="1"/>
  <c r="Q1104" i="15"/>
  <c r="R995" i="15"/>
  <c r="G995" i="15" s="1"/>
  <c r="R919" i="15"/>
  <c r="G919" i="15" s="1"/>
  <c r="Q1015" i="15"/>
  <c r="L786" i="15"/>
  <c r="R641" i="15"/>
  <c r="G641" i="15" s="1"/>
  <c r="N115" i="15"/>
  <c r="N53" i="15"/>
  <c r="Q1256" i="15"/>
  <c r="Q907" i="15"/>
  <c r="Q1264" i="15"/>
  <c r="Q1194" i="15"/>
  <c r="Q981" i="15"/>
  <c r="L764" i="15"/>
  <c r="R509" i="15"/>
  <c r="Q541" i="15"/>
  <c r="Q637" i="15"/>
  <c r="L409" i="15"/>
  <c r="L410" i="15" s="1"/>
  <c r="N410" i="15" s="1"/>
  <c r="R513" i="15"/>
  <c r="G513" i="15" s="1"/>
  <c r="Q625" i="15"/>
  <c r="R1256" i="15"/>
  <c r="G1256" i="15" s="1"/>
  <c r="N165" i="15"/>
  <c r="N175" i="15"/>
  <c r="N465" i="15"/>
  <c r="N155" i="15"/>
  <c r="Q681" i="15"/>
  <c r="R1092" i="15"/>
  <c r="G1092" i="15" s="1"/>
  <c r="Q1106" i="15"/>
  <c r="Q683" i="15"/>
  <c r="N1264" i="15"/>
  <c r="R1196" i="15"/>
  <c r="G1196" i="15" s="1"/>
  <c r="N1150" i="15"/>
  <c r="R1150" i="15"/>
  <c r="G1150" i="15" s="1"/>
  <c r="R1158" i="15"/>
  <c r="G1158" i="15" s="1"/>
  <c r="Q1216" i="15"/>
  <c r="Q1124" i="15"/>
  <c r="Q1019" i="15"/>
  <c r="R1019" i="15"/>
  <c r="G1019" i="15" s="1"/>
  <c r="N681" i="15"/>
  <c r="R681" i="15"/>
  <c r="G681" i="15" s="1"/>
  <c r="W1071" i="15"/>
  <c r="W921" i="15"/>
  <c r="W909" i="15"/>
  <c r="W887" i="15"/>
  <c r="W871" i="15"/>
  <c r="W855" i="15"/>
  <c r="W923" i="15"/>
  <c r="W903" i="15"/>
  <c r="W881" i="15"/>
  <c r="W849" i="15"/>
  <c r="W845" i="15"/>
  <c r="W877" i="15"/>
  <c r="W861" i="15"/>
  <c r="W893" i="15"/>
  <c r="W865" i="15"/>
  <c r="W897" i="15"/>
  <c r="W847" i="15"/>
  <c r="W875" i="15"/>
  <c r="W905" i="15"/>
  <c r="W851" i="15"/>
  <c r="W895" i="15"/>
  <c r="W853" i="15"/>
  <c r="W915" i="15"/>
  <c r="W869" i="15"/>
  <c r="W899" i="15"/>
  <c r="W901" i="15"/>
  <c r="W907" i="15"/>
  <c r="W917" i="15"/>
  <c r="W919" i="15"/>
  <c r="W883" i="15"/>
  <c r="W911" i="15"/>
  <c r="W885" i="15"/>
  <c r="W867" i="15"/>
  <c r="W879" i="15"/>
  <c r="W857" i="15"/>
  <c r="W873" i="15"/>
  <c r="W889" i="15"/>
  <c r="W863" i="15"/>
  <c r="N346" i="15"/>
  <c r="S465" i="15"/>
  <c r="S467" i="15"/>
  <c r="S461" i="15"/>
  <c r="G461" i="15" s="1"/>
  <c r="S459" i="15"/>
  <c r="S463" i="15"/>
  <c r="N1218" i="15"/>
  <c r="N1194" i="15"/>
  <c r="R1194" i="15"/>
  <c r="G1194" i="15" s="1"/>
  <c r="N1154" i="15"/>
  <c r="R1154" i="15"/>
  <c r="Q1152" i="15"/>
  <c r="Q1146" i="15"/>
  <c r="Q1035" i="15"/>
  <c r="N1094" i="15"/>
  <c r="R1094" i="15"/>
  <c r="G1094" i="15" s="1"/>
  <c r="Q855" i="15"/>
  <c r="R855" i="15"/>
  <c r="G855" i="15" s="1"/>
  <c r="R617" i="15"/>
  <c r="G617" i="15" s="1"/>
  <c r="Q557" i="15"/>
  <c r="R557" i="15"/>
  <c r="G557" i="15" s="1"/>
  <c r="N352" i="15"/>
  <c r="N344" i="15"/>
  <c r="N258" i="15"/>
  <c r="R1126" i="15"/>
  <c r="G1126" i="15" s="1"/>
  <c r="N1126" i="15"/>
  <c r="Q1218" i="15"/>
  <c r="N1130" i="15"/>
  <c r="R1130" i="15"/>
  <c r="G1130" i="15" s="1"/>
  <c r="Q1140" i="15"/>
  <c r="N989" i="15"/>
  <c r="R989" i="15"/>
  <c r="N1110" i="15"/>
  <c r="R1110" i="15"/>
  <c r="G1110" i="15" s="1"/>
  <c r="N979" i="15"/>
  <c r="R979" i="15"/>
  <c r="G979" i="15" s="1"/>
  <c r="Q1090" i="15"/>
  <c r="R1090" i="15"/>
  <c r="G1090" i="15" s="1"/>
  <c r="Q671" i="15"/>
  <c r="R671" i="15"/>
  <c r="G671" i="15" s="1"/>
  <c r="K402" i="15"/>
  <c r="L401" i="15"/>
  <c r="L402" i="15" s="1"/>
  <c r="N370" i="15"/>
  <c r="R1220" i="15"/>
  <c r="G1220" i="15" s="1"/>
  <c r="N1220" i="15"/>
  <c r="N1033" i="15"/>
  <c r="R1033" i="15"/>
  <c r="G1033" i="15" s="1"/>
  <c r="R1234" i="15"/>
  <c r="G1234" i="15" s="1"/>
  <c r="N1234" i="15"/>
  <c r="Q1214" i="15"/>
  <c r="Q1246" i="15"/>
  <c r="Q1266" i="15"/>
  <c r="Q1156" i="15"/>
  <c r="R1214" i="15"/>
  <c r="G1214" i="15" s="1"/>
  <c r="R1017" i="15"/>
  <c r="G1017" i="15" s="1"/>
  <c r="N1017" i="15"/>
  <c r="Q1021" i="15"/>
  <c r="R1021" i="15"/>
  <c r="G1021" i="15" s="1"/>
  <c r="R907" i="15"/>
  <c r="N907" i="15"/>
  <c r="R575" i="15"/>
  <c r="G575" i="15" s="1"/>
  <c r="Q571" i="15"/>
  <c r="R571" i="15"/>
  <c r="G571" i="15" s="1"/>
  <c r="N1248" i="15"/>
  <c r="N1236" i="15"/>
  <c r="R1236" i="15"/>
  <c r="G1236" i="15" s="1"/>
  <c r="R1218" i="15"/>
  <c r="G1218" i="15" s="1"/>
  <c r="R1142" i="15"/>
  <c r="G1142" i="15" s="1"/>
  <c r="N1142" i="15"/>
  <c r="Q1262" i="15"/>
  <c r="R1262" i="15"/>
  <c r="G1262" i="15" s="1"/>
  <c r="N1138" i="15"/>
  <c r="R1138" i="15"/>
  <c r="G1138" i="15" s="1"/>
  <c r="R1270" i="15"/>
  <c r="G1270" i="15" s="1"/>
  <c r="Q1254" i="15"/>
  <c r="Q1192" i="15"/>
  <c r="Q1037" i="15"/>
  <c r="R1037" i="15"/>
  <c r="G1037" i="15" s="1"/>
  <c r="R1248" i="15"/>
  <c r="G1248" i="15" s="1"/>
  <c r="N1252" i="15"/>
  <c r="R1252" i="15"/>
  <c r="G1252" i="15" s="1"/>
  <c r="N1156" i="15"/>
  <c r="R1156" i="15"/>
  <c r="G1156" i="15" s="1"/>
  <c r="R1260" i="15"/>
  <c r="G1260" i="15" s="1"/>
  <c r="Q1234" i="15"/>
  <c r="R1212" i="15"/>
  <c r="G1212" i="15" s="1"/>
  <c r="R1122" i="15"/>
  <c r="G1122" i="15" s="1"/>
  <c r="N1122" i="15"/>
  <c r="N1112" i="15"/>
  <c r="R1112" i="15"/>
  <c r="G1112" i="15" s="1"/>
  <c r="R1246" i="15"/>
  <c r="G1246" i="15" s="1"/>
  <c r="N1078" i="15"/>
  <c r="R1078" i="15"/>
  <c r="G1078" i="15" s="1"/>
  <c r="R1140" i="15"/>
  <c r="G1140" i="15" s="1"/>
  <c r="N1015" i="15"/>
  <c r="R1015" i="15"/>
  <c r="G1015" i="15" s="1"/>
  <c r="N1031" i="15"/>
  <c r="R1031" i="15"/>
  <c r="G1031" i="15" s="1"/>
  <c r="R1009" i="15"/>
  <c r="G1009" i="15" s="1"/>
  <c r="N911" i="15"/>
  <c r="R911" i="15"/>
  <c r="G911" i="15" s="1"/>
  <c r="N503" i="15"/>
  <c r="R503" i="15" s="1"/>
  <c r="G503" i="15" s="1"/>
  <c r="W1035" i="15"/>
  <c r="W1019" i="15"/>
  <c r="W1027" i="15"/>
  <c r="W991" i="15"/>
  <c r="W1039" i="15"/>
  <c r="W1031" i="15"/>
  <c r="W995" i="15"/>
  <c r="W1017" i="15"/>
  <c r="W989" i="15"/>
  <c r="W961" i="15"/>
  <c r="W1007" i="15"/>
  <c r="W975" i="15"/>
  <c r="W1025" i="15"/>
  <c r="W1009" i="15"/>
  <c r="W967" i="15"/>
  <c r="W1011" i="15"/>
  <c r="W979" i="15"/>
  <c r="W963" i="15"/>
  <c r="W1001" i="15"/>
  <c r="W971" i="15"/>
  <c r="W1003" i="15"/>
  <c r="W1033" i="15"/>
  <c r="W985" i="15"/>
  <c r="W965" i="15"/>
  <c r="AB971" i="15"/>
  <c r="AB999" i="15"/>
  <c r="W981" i="15"/>
  <c r="W1021" i="15"/>
  <c r="W1005" i="15"/>
  <c r="AB991" i="15"/>
  <c r="AB981" i="15"/>
  <c r="W977" i="15"/>
  <c r="AB1021" i="15"/>
  <c r="W987" i="15"/>
  <c r="W997" i="15"/>
  <c r="W973" i="15"/>
  <c r="AB983" i="15"/>
  <c r="W983" i="15"/>
  <c r="AB961" i="15"/>
  <c r="AB1023" i="15"/>
  <c r="AB989" i="15"/>
  <c r="AB977" i="15"/>
  <c r="AB956" i="15"/>
  <c r="AB973" i="15"/>
  <c r="Q619" i="15"/>
  <c r="R619" i="15"/>
  <c r="G619" i="15" s="1"/>
  <c r="G69" i="15"/>
  <c r="K356" i="15"/>
  <c r="L355" i="15"/>
  <c r="L356" i="15" s="1"/>
  <c r="Q1230" i="15"/>
  <c r="R1230" i="15"/>
  <c r="G1230" i="15" s="1"/>
  <c r="Q909" i="15"/>
  <c r="R909" i="15"/>
  <c r="G909" i="15" s="1"/>
  <c r="R1268" i="15"/>
  <c r="G1268" i="15" s="1"/>
  <c r="R1244" i="15"/>
  <c r="G1244" i="15" s="1"/>
  <c r="N1244" i="15"/>
  <c r="Q1232" i="15"/>
  <c r="R1226" i="15"/>
  <c r="G1226" i="15" s="1"/>
  <c r="R1264" i="15"/>
  <c r="G1264" i="15" s="1"/>
  <c r="Q1198" i="15"/>
  <c r="R1198" i="15"/>
  <c r="G1198" i="15" s="1"/>
  <c r="N1198" i="15"/>
  <c r="R1208" i="15"/>
  <c r="G1208" i="15" s="1"/>
  <c r="Q1202" i="15"/>
  <c r="R1202" i="15"/>
  <c r="G1202" i="15" s="1"/>
  <c r="R1224" i="15"/>
  <c r="G1224" i="15" s="1"/>
  <c r="Q1096" i="15"/>
  <c r="R1096" i="15"/>
  <c r="G1096" i="15" s="1"/>
  <c r="Q1120" i="15"/>
  <c r="R1120" i="15"/>
  <c r="G1120" i="15" s="1"/>
  <c r="R1206" i="15"/>
  <c r="G1206" i="15" s="1"/>
  <c r="N1025" i="15"/>
  <c r="Q1082" i="15"/>
  <c r="L728" i="15"/>
  <c r="K729" i="15"/>
  <c r="N378" i="15"/>
  <c r="Q511" i="15"/>
  <c r="R511" i="15"/>
  <c r="G511" i="15" s="1"/>
  <c r="R1001" i="15"/>
  <c r="G1001" i="15" s="1"/>
  <c r="N1001" i="15"/>
  <c r="R1102" i="15"/>
  <c r="G1102" i="15" s="1"/>
  <c r="N1102" i="15"/>
  <c r="Q1076" i="15"/>
  <c r="N769" i="15"/>
  <c r="R769" i="15"/>
  <c r="P768" i="15" s="1"/>
  <c r="G769" i="15" s="1"/>
  <c r="R1035" i="15"/>
  <c r="G1035" i="15" s="1"/>
  <c r="R965" i="15"/>
  <c r="G965" i="15" s="1"/>
  <c r="Q871" i="15"/>
  <c r="R871" i="15"/>
  <c r="G871" i="15" s="1"/>
  <c r="AA1187" i="15"/>
  <c r="AA1164" i="15"/>
  <c r="AA1144" i="15"/>
  <c r="AA1156" i="15"/>
  <c r="AA1148" i="15"/>
  <c r="AA1152" i="15"/>
  <c r="AA1140" i="15"/>
  <c r="AA1136" i="15"/>
  <c r="AA1120" i="15"/>
  <c r="AA1100" i="15"/>
  <c r="AA1128" i="15"/>
  <c r="AA1076" i="15"/>
  <c r="AA1150" i="15"/>
  <c r="AA1138" i="15"/>
  <c r="AA1094" i="15"/>
  <c r="AA1124" i="15"/>
  <c r="AA1092" i="15"/>
  <c r="AA1114" i="15"/>
  <c r="AA1078" i="15"/>
  <c r="AA1096" i="15"/>
  <c r="AA1108" i="15"/>
  <c r="R679" i="15"/>
  <c r="G679" i="15" s="1"/>
  <c r="N679" i="15"/>
  <c r="M775" i="15"/>
  <c r="Q775" i="15" s="1"/>
  <c r="K774" i="15"/>
  <c r="K738" i="15"/>
  <c r="M739" i="15"/>
  <c r="Q739" i="15" s="1"/>
  <c r="Z1035" i="15"/>
  <c r="Z1039" i="15"/>
  <c r="Z1031" i="15"/>
  <c r="Z997" i="15"/>
  <c r="Z981" i="15"/>
  <c r="Z1037" i="15"/>
  <c r="Z1017" i="15"/>
  <c r="Z1033" i="15"/>
  <c r="Z1015" i="15"/>
  <c r="Z1021" i="15"/>
  <c r="Z1005" i="15"/>
  <c r="Z993" i="15"/>
  <c r="Z991" i="15"/>
  <c r="Z985" i="15"/>
  <c r="Z979" i="15"/>
  <c r="Z995" i="15"/>
  <c r="Z961" i="15"/>
  <c r="Z975" i="15"/>
  <c r="Z963" i="15"/>
  <c r="R1039" i="15"/>
  <c r="M801" i="15"/>
  <c r="Q801" i="15" s="1"/>
  <c r="K800" i="15"/>
  <c r="M793" i="15"/>
  <c r="Q793" i="15" s="1"/>
  <c r="K792" i="15"/>
  <c r="L765" i="15"/>
  <c r="N765" i="15" s="1"/>
  <c r="Q651" i="15"/>
  <c r="R651" i="15"/>
  <c r="G651" i="15" s="1"/>
  <c r="R621" i="15"/>
  <c r="G621" i="15" s="1"/>
  <c r="Q573" i="15"/>
  <c r="R573" i="15"/>
  <c r="G573" i="15" s="1"/>
  <c r="N519" i="15"/>
  <c r="R519" i="15" s="1"/>
  <c r="G519" i="15" s="1"/>
  <c r="G445" i="15"/>
  <c r="R529" i="15"/>
  <c r="R501" i="15"/>
  <c r="S724" i="15"/>
  <c r="S610" i="15"/>
  <c r="S496" i="15"/>
  <c r="R623" i="15"/>
  <c r="R521" i="15"/>
  <c r="G521" i="15" s="1"/>
  <c r="T336" i="15"/>
  <c r="S368" i="15"/>
  <c r="S366" i="15"/>
  <c r="S364" i="15"/>
  <c r="S362" i="15"/>
  <c r="S360" i="15"/>
  <c r="S358" i="15"/>
  <c r="S356" i="15"/>
  <c r="S354" i="15"/>
  <c r="S352" i="15"/>
  <c r="S350" i="15"/>
  <c r="S348" i="15"/>
  <c r="S346" i="15"/>
  <c r="S344" i="15"/>
  <c r="S342" i="15"/>
  <c r="S340" i="15"/>
  <c r="S338" i="15"/>
  <c r="S336" i="15"/>
  <c r="S334" i="15"/>
  <c r="S408" i="15"/>
  <c r="T137" i="15"/>
  <c r="Q1080" i="15"/>
  <c r="R1080" i="15"/>
  <c r="G1080" i="15" s="1"/>
  <c r="N995" i="15"/>
  <c r="N963" i="15"/>
  <c r="R963" i="15"/>
  <c r="G963" i="15" s="1"/>
  <c r="AA977" i="15"/>
  <c r="R869" i="15"/>
  <c r="G869" i="15" s="1"/>
  <c r="Q979" i="15"/>
  <c r="R797" i="15"/>
  <c r="P796" i="15" s="1"/>
  <c r="G797" i="15" s="1"/>
  <c r="L761" i="15"/>
  <c r="K761" i="15"/>
  <c r="Q895" i="15"/>
  <c r="R859" i="15"/>
  <c r="G859" i="15" s="1"/>
  <c r="M799" i="15"/>
  <c r="Q799" i="15" s="1"/>
  <c r="K798" i="15"/>
  <c r="Q873" i="15"/>
  <c r="L752" i="15"/>
  <c r="Q617" i="15"/>
  <c r="Q539" i="15"/>
  <c r="Q691" i="15"/>
  <c r="R643" i="15"/>
  <c r="Q891" i="15"/>
  <c r="R891" i="15"/>
  <c r="G891" i="15" s="1"/>
  <c r="R541" i="15"/>
  <c r="G541" i="15" s="1"/>
  <c r="Q575" i="15"/>
  <c r="R667" i="15"/>
  <c r="G667" i="15" s="1"/>
  <c r="Q523" i="15"/>
  <c r="N242" i="15"/>
  <c r="K392" i="15"/>
  <c r="L391" i="15"/>
  <c r="L392" i="15" s="1"/>
  <c r="Q537" i="15"/>
  <c r="L393" i="15"/>
  <c r="L394" i="15" s="1"/>
  <c r="T368" i="15"/>
  <c r="T366" i="15"/>
  <c r="T364" i="15"/>
  <c r="T362" i="15"/>
  <c r="T360" i="15"/>
  <c r="T358" i="15"/>
  <c r="T356" i="15"/>
  <c r="T354" i="15"/>
  <c r="G77" i="15"/>
  <c r="Q519" i="15"/>
  <c r="N137" i="15"/>
  <c r="AB147" i="15"/>
  <c r="AB137" i="15"/>
  <c r="T107" i="15"/>
  <c r="L373" i="15"/>
  <c r="L374" i="15" s="1"/>
  <c r="N342" i="15"/>
  <c r="T334" i="15"/>
  <c r="S479" i="15"/>
  <c r="S477" i="15"/>
  <c r="T113" i="15"/>
  <c r="G79" i="15"/>
  <c r="Q1100" i="15"/>
  <c r="N923" i="15"/>
  <c r="R923" i="15"/>
  <c r="N903" i="15"/>
  <c r="X1187" i="15"/>
  <c r="X1164" i="15"/>
  <c r="X1140" i="15"/>
  <c r="X1154" i="15"/>
  <c r="X1128" i="15"/>
  <c r="X1126" i="15"/>
  <c r="X1144" i="15"/>
  <c r="X1142" i="15"/>
  <c r="X1130" i="15"/>
  <c r="X1156" i="15"/>
  <c r="X1108" i="15"/>
  <c r="X1092" i="15"/>
  <c r="X1100" i="15"/>
  <c r="X1146" i="15"/>
  <c r="X1082" i="15"/>
  <c r="X1090" i="15"/>
  <c r="X1106" i="15"/>
  <c r="X1122" i="15"/>
  <c r="X1098" i="15"/>
  <c r="X1084" i="15"/>
  <c r="X1076" i="15"/>
  <c r="X1080" i="15"/>
  <c r="X1158" i="15"/>
  <c r="X1102" i="15"/>
  <c r="R903" i="15"/>
  <c r="G903" i="15" s="1"/>
  <c r="AA969" i="15"/>
  <c r="Q877" i="15"/>
  <c r="Z1164" i="15"/>
  <c r="Z1152" i="15"/>
  <c r="Z1154" i="15"/>
  <c r="Z1128" i="15"/>
  <c r="Z1092" i="15"/>
  <c r="Z1187" i="15"/>
  <c r="Z1124" i="15"/>
  <c r="Z1158" i="15"/>
  <c r="Z1142" i="15"/>
  <c r="Z1096" i="15"/>
  <c r="Z1140" i="15"/>
  <c r="Z1098" i="15"/>
  <c r="Z1076" i="15"/>
  <c r="Z1122" i="15"/>
  <c r="Z1082" i="15"/>
  <c r="Z1126" i="15"/>
  <c r="Z1088" i="15"/>
  <c r="Z1138" i="15"/>
  <c r="N657" i="15"/>
  <c r="R657" i="15"/>
  <c r="G657" i="15" s="1"/>
  <c r="R879" i="15"/>
  <c r="G879" i="15" s="1"/>
  <c r="Q961" i="15"/>
  <c r="R991" i="15"/>
  <c r="G991" i="15" s="1"/>
  <c r="R847" i="15"/>
  <c r="K754" i="15"/>
  <c r="M755" i="15"/>
  <c r="Q755" i="15" s="1"/>
  <c r="R663" i="15"/>
  <c r="G663" i="15" s="1"/>
  <c r="R683" i="15"/>
  <c r="AB535" i="15"/>
  <c r="R857" i="15"/>
  <c r="G857" i="15" s="1"/>
  <c r="G443" i="15"/>
  <c r="R639" i="15"/>
  <c r="G639" i="15" s="1"/>
  <c r="N274" i="15"/>
  <c r="K380" i="15"/>
  <c r="L379" i="15"/>
  <c r="L380" i="15" s="1"/>
  <c r="R517" i="15"/>
  <c r="G517" i="15" s="1"/>
  <c r="N139" i="15"/>
  <c r="L367" i="15"/>
  <c r="L368" i="15" s="1"/>
  <c r="K368" i="15"/>
  <c r="T340" i="15"/>
  <c r="T125" i="15"/>
  <c r="G81" i="15"/>
  <c r="S384" i="15"/>
  <c r="K366" i="15"/>
  <c r="L365" i="15"/>
  <c r="L366" i="15" s="1"/>
  <c r="AB319" i="15"/>
  <c r="AB318" i="15"/>
  <c r="AB320" i="15"/>
  <c r="T129" i="15"/>
  <c r="G51" i="15"/>
  <c r="R1086" i="15"/>
  <c r="G1086" i="15" s="1"/>
  <c r="N889" i="15"/>
  <c r="R889" i="15"/>
  <c r="G889" i="15" s="1"/>
  <c r="N977" i="15"/>
  <c r="R977" i="15"/>
  <c r="G977" i="15" s="1"/>
  <c r="R853" i="15"/>
  <c r="K779" i="15"/>
  <c r="Q635" i="15"/>
  <c r="R635" i="15"/>
  <c r="G635" i="15" s="1"/>
  <c r="G449" i="15"/>
  <c r="R631" i="15"/>
  <c r="G631" i="15" s="1"/>
  <c r="N461" i="15"/>
  <c r="Q543" i="15"/>
  <c r="Q661" i="15"/>
  <c r="Q507" i="15"/>
  <c r="R905" i="15"/>
  <c r="L411" i="15"/>
  <c r="L412" i="15" s="1"/>
  <c r="Q627" i="15"/>
  <c r="N290" i="15"/>
  <c r="R537" i="15"/>
  <c r="G537" i="15" s="1"/>
  <c r="G447" i="15"/>
  <c r="K362" i="15"/>
  <c r="L361" i="15"/>
  <c r="L362" i="15" s="1"/>
  <c r="T133" i="15"/>
  <c r="N105" i="15"/>
  <c r="N65" i="15"/>
  <c r="T406" i="15"/>
  <c r="N350" i="15"/>
  <c r="T290" i="15"/>
  <c r="G290" i="15" s="1"/>
  <c r="T274" i="15"/>
  <c r="G274" i="15" s="1"/>
  <c r="T258" i="15"/>
  <c r="G258" i="15" s="1"/>
  <c r="T242" i="15"/>
  <c r="G242" i="15" s="1"/>
  <c r="T234" i="15"/>
  <c r="G234" i="15" s="1"/>
  <c r="T294" i="15"/>
  <c r="G294" i="15" s="1"/>
  <c r="T288" i="15"/>
  <c r="G288" i="15" s="1"/>
  <c r="T282" i="15"/>
  <c r="G282" i="15" s="1"/>
  <c r="T278" i="15"/>
  <c r="G278" i="15" s="1"/>
  <c r="T272" i="15"/>
  <c r="G272" i="15" s="1"/>
  <c r="T266" i="15"/>
  <c r="G266" i="15" s="1"/>
  <c r="T262" i="15"/>
  <c r="G262" i="15" s="1"/>
  <c r="T256" i="15"/>
  <c r="G256" i="15" s="1"/>
  <c r="T250" i="15"/>
  <c r="G250" i="15" s="1"/>
  <c r="T246" i="15"/>
  <c r="G246" i="15" s="1"/>
  <c r="T230" i="15"/>
  <c r="G230" i="15" s="1"/>
  <c r="T240" i="15"/>
  <c r="G240" i="15" s="1"/>
  <c r="T218" i="15"/>
  <c r="G218" i="15" s="1"/>
  <c r="T226" i="15"/>
  <c r="G226" i="15" s="1"/>
  <c r="T222" i="15"/>
  <c r="G222" i="15" s="1"/>
  <c r="T388" i="15"/>
  <c r="T352" i="15"/>
  <c r="N354" i="15"/>
  <c r="T105" i="15"/>
  <c r="R1118" i="15"/>
  <c r="G1118" i="15" s="1"/>
  <c r="N1023" i="15"/>
  <c r="R1023" i="15"/>
  <c r="G1023" i="15" s="1"/>
  <c r="Q1130" i="15"/>
  <c r="R983" i="15"/>
  <c r="G983" i="15" s="1"/>
  <c r="AA1027" i="15"/>
  <c r="AA1011" i="15"/>
  <c r="AA1017" i="15"/>
  <c r="AA1033" i="15"/>
  <c r="AA1019" i="15"/>
  <c r="AA1039" i="15"/>
  <c r="AA1025" i="15"/>
  <c r="AA997" i="15"/>
  <c r="AA993" i="15"/>
  <c r="AA979" i="15"/>
  <c r="AA963" i="15"/>
  <c r="AA1035" i="15"/>
  <c r="AA995" i="15"/>
  <c r="AA981" i="15"/>
  <c r="AA961" i="15"/>
  <c r="Q967" i="15"/>
  <c r="N665" i="15"/>
  <c r="R665" i="15"/>
  <c r="G665" i="15" s="1"/>
  <c r="K766" i="15"/>
  <c r="M767" i="15"/>
  <c r="Q767" i="15" s="1"/>
  <c r="Q693" i="15"/>
  <c r="Q899" i="15"/>
  <c r="L760" i="15"/>
  <c r="R655" i="15"/>
  <c r="G655" i="15" s="1"/>
  <c r="N655" i="15"/>
  <c r="M747" i="15"/>
  <c r="Q747" i="15" s="1"/>
  <c r="K746" i="15"/>
  <c r="R693" i="15"/>
  <c r="Q649" i="15"/>
  <c r="N535" i="15"/>
  <c r="R535" i="15" s="1"/>
  <c r="G535" i="15" s="1"/>
  <c r="Q633" i="15"/>
  <c r="R653" i="15"/>
  <c r="G653" i="15" s="1"/>
  <c r="Q535" i="15"/>
  <c r="T350" i="15"/>
  <c r="N123" i="15"/>
  <c r="G67" i="15"/>
  <c r="G47" i="15"/>
  <c r="T141" i="15"/>
  <c r="T724" i="15"/>
  <c r="T610" i="15"/>
  <c r="T496" i="15"/>
  <c r="R637" i="15"/>
  <c r="G637" i="15" s="1"/>
  <c r="T384" i="15"/>
  <c r="T244" i="15"/>
  <c r="G244" i="15" s="1"/>
  <c r="N873" i="15"/>
  <c r="R873" i="15"/>
  <c r="Q921" i="15"/>
  <c r="R921" i="15"/>
  <c r="G921" i="15" s="1"/>
  <c r="N741" i="15"/>
  <c r="R741" i="15"/>
  <c r="P740" i="15" s="1"/>
  <c r="G741" i="15" s="1"/>
  <c r="Y1037" i="15"/>
  <c r="Y1011" i="15"/>
  <c r="Y1021" i="15"/>
  <c r="Y995" i="15"/>
  <c r="Y979" i="15"/>
  <c r="Y1031" i="15"/>
  <c r="Y1013" i="15"/>
  <c r="Y975" i="15"/>
  <c r="Y1019" i="15"/>
  <c r="Y1007" i="15"/>
  <c r="Y1015" i="15"/>
  <c r="Y1005" i="15"/>
  <c r="Y971" i="15"/>
  <c r="Y967" i="15"/>
  <c r="Y993" i="15"/>
  <c r="Y989" i="15"/>
  <c r="Y961" i="15"/>
  <c r="Y963" i="15"/>
  <c r="Y991" i="15"/>
  <c r="Y1035" i="15"/>
  <c r="Y965" i="15"/>
  <c r="R687" i="15"/>
  <c r="R659" i="15"/>
  <c r="G659" i="15" s="1"/>
  <c r="R901" i="15"/>
  <c r="G901" i="15" s="1"/>
  <c r="K730" i="15"/>
  <c r="M731" i="15"/>
  <c r="Q731" i="15" s="1"/>
  <c r="R533" i="15"/>
  <c r="G533" i="15" s="1"/>
  <c r="T346" i="15"/>
  <c r="N147" i="15"/>
  <c r="L359" i="15"/>
  <c r="L360" i="15" s="1"/>
  <c r="K360" i="15"/>
  <c r="T410" i="15"/>
  <c r="T149" i="15"/>
  <c r="N113" i="15"/>
  <c r="R539" i="15"/>
  <c r="G539" i="15" s="1"/>
  <c r="K358" i="15"/>
  <c r="L357" i="15"/>
  <c r="L358" i="15" s="1"/>
  <c r="T145" i="15"/>
  <c r="T121" i="15"/>
  <c r="T147" i="15"/>
  <c r="R1100" i="15"/>
  <c r="G1100" i="15" s="1"/>
  <c r="G971" i="15"/>
  <c r="R1005" i="15"/>
  <c r="G1005" i="15" s="1"/>
  <c r="Q1132" i="15"/>
  <c r="R1003" i="15"/>
  <c r="G1003" i="15" s="1"/>
  <c r="N893" i="15"/>
  <c r="R893" i="15"/>
  <c r="G893" i="15" s="1"/>
  <c r="N877" i="15"/>
  <c r="R877" i="15"/>
  <c r="G877" i="15" s="1"/>
  <c r="N861" i="15"/>
  <c r="R861" i="15"/>
  <c r="G861" i="15" s="1"/>
  <c r="N845" i="15"/>
  <c r="Q985" i="15"/>
  <c r="Q919" i="15"/>
  <c r="AA973" i="15"/>
  <c r="Y977" i="15"/>
  <c r="Q875" i="15"/>
  <c r="Y969" i="15"/>
  <c r="Y1164" i="15"/>
  <c r="Y1152" i="15"/>
  <c r="Y1136" i="15"/>
  <c r="Y1187" i="15"/>
  <c r="Y1156" i="15"/>
  <c r="Y1144" i="15"/>
  <c r="Y1142" i="15"/>
  <c r="Y1108" i="15"/>
  <c r="Y1092" i="15"/>
  <c r="Y1124" i="15"/>
  <c r="Y1120" i="15"/>
  <c r="Y1100" i="15"/>
  <c r="Y1096" i="15"/>
  <c r="Y1140" i="15"/>
  <c r="Y1128" i="15"/>
  <c r="Y1112" i="15"/>
  <c r="Y1098" i="15"/>
  <c r="Y1088" i="15"/>
  <c r="Y1084" i="15"/>
  <c r="Y1076" i="15"/>
  <c r="Y1126" i="15"/>
  <c r="Y1154" i="15"/>
  <c r="Y1082" i="15"/>
  <c r="Y1114" i="15"/>
  <c r="Y1160" i="15"/>
  <c r="Q923" i="15"/>
  <c r="Q675" i="15"/>
  <c r="R675" i="15"/>
  <c r="G675" i="15" s="1"/>
  <c r="R887" i="15"/>
  <c r="G887" i="15" s="1"/>
  <c r="R625" i="15"/>
  <c r="G625" i="15" s="1"/>
  <c r="AB537" i="15"/>
  <c r="AB529" i="15"/>
  <c r="L745" i="15"/>
  <c r="Q847" i="15"/>
  <c r="D29" i="10" s="1"/>
  <c r="Q629" i="15"/>
  <c r="V1071" i="15"/>
  <c r="AB863" i="15"/>
  <c r="AB861" i="15"/>
  <c r="AB845" i="15"/>
  <c r="AB840" i="15"/>
  <c r="AB859" i="15"/>
  <c r="V847" i="15"/>
  <c r="D35" i="10" s="1"/>
  <c r="AB857" i="15"/>
  <c r="AB855" i="15"/>
  <c r="Q559" i="15"/>
  <c r="R615" i="15"/>
  <c r="G615" i="15" s="1"/>
  <c r="Q547" i="15"/>
  <c r="N475" i="15"/>
  <c r="Q531" i="15"/>
  <c r="Q515" i="15"/>
  <c r="R531" i="15"/>
  <c r="G531" i="15" s="1"/>
  <c r="Q505" i="15"/>
  <c r="T386" i="15"/>
  <c r="N463" i="15"/>
  <c r="L397" i="15"/>
  <c r="L398" i="15" s="1"/>
  <c r="T342" i="15"/>
  <c r="N81" i="15"/>
  <c r="L405" i="15"/>
  <c r="L406" i="15" s="1"/>
  <c r="N121" i="15"/>
  <c r="T101" i="15"/>
  <c r="G53" i="15"/>
  <c r="AB87" i="15"/>
  <c r="AB88" i="15"/>
  <c r="AB86" i="15"/>
  <c r="T280" i="15"/>
  <c r="G280" i="15" s="1"/>
  <c r="T264" i="15"/>
  <c r="G264" i="15" s="1"/>
  <c r="T248" i="15"/>
  <c r="G248" i="15" s="1"/>
  <c r="T296" i="15"/>
  <c r="G296" i="15" s="1"/>
  <c r="I47" i="11"/>
  <c r="K47" i="11" s="1"/>
  <c r="L47" i="11"/>
  <c r="L46" i="11"/>
  <c r="N46" i="11" s="1"/>
  <c r="N57" i="11"/>
  <c r="K57" i="11"/>
  <c r="N56" i="11"/>
  <c r="K56" i="11"/>
  <c r="N55" i="11"/>
  <c r="K55" i="11"/>
  <c r="N54" i="11"/>
  <c r="K54" i="11"/>
  <c r="N53" i="11"/>
  <c r="K53" i="11"/>
  <c r="N52" i="11"/>
  <c r="K52" i="11"/>
  <c r="L51" i="11"/>
  <c r="N51" i="11" s="1"/>
  <c r="K51" i="11"/>
  <c r="N50" i="11"/>
  <c r="K50" i="11"/>
  <c r="N49" i="11"/>
  <c r="K49" i="11"/>
  <c r="L48" i="11"/>
  <c r="N48" i="11" s="1"/>
  <c r="I48" i="11"/>
  <c r="K46" i="11"/>
  <c r="G57" i="11"/>
  <c r="G56" i="11"/>
  <c r="G55" i="11"/>
  <c r="G54" i="11"/>
  <c r="G53" i="11"/>
  <c r="G52" i="11"/>
  <c r="G50" i="11"/>
  <c r="G49" i="11"/>
  <c r="G82" i="11"/>
  <c r="G40" i="11"/>
  <c r="G39" i="11"/>
  <c r="G85" i="11"/>
  <c r="G45" i="11"/>
  <c r="G44" i="11"/>
  <c r="G43" i="11"/>
  <c r="G41" i="11"/>
  <c r="G38" i="11"/>
  <c r="G37" i="11"/>
  <c r="G36" i="11"/>
  <c r="G35" i="11"/>
  <c r="G34" i="11"/>
  <c r="G42" i="11"/>
  <c r="K44" i="11"/>
  <c r="K45" i="11"/>
  <c r="N42" i="11"/>
  <c r="N43" i="11"/>
  <c r="N44" i="11"/>
  <c r="N45" i="11"/>
  <c r="N34" i="11"/>
  <c r="N35" i="11"/>
  <c r="N36" i="11"/>
  <c r="N37" i="11"/>
  <c r="N38" i="11"/>
  <c r="N39" i="11"/>
  <c r="N40" i="11"/>
  <c r="N41" i="11"/>
  <c r="K43" i="11"/>
  <c r="K34" i="11"/>
  <c r="K35" i="11"/>
  <c r="K36" i="11"/>
  <c r="K37" i="11"/>
  <c r="K38" i="11"/>
  <c r="K39" i="11"/>
  <c r="K40" i="11"/>
  <c r="K41" i="11"/>
  <c r="K42" i="11"/>
  <c r="G123" i="15" l="1"/>
  <c r="Z1289" i="15"/>
  <c r="Z1287" i="15"/>
  <c r="Z1291" i="15"/>
  <c r="Z1285" i="15"/>
  <c r="Z1283" i="15"/>
  <c r="X1287" i="15"/>
  <c r="X1291" i="15"/>
  <c r="X1283" i="15"/>
  <c r="X1289" i="15"/>
  <c r="X1285" i="15"/>
  <c r="AA1289" i="15"/>
  <c r="AA1287" i="15"/>
  <c r="AA1291" i="15"/>
  <c r="AA1285" i="15"/>
  <c r="AA1283" i="15"/>
  <c r="Y1285" i="15"/>
  <c r="Y1289" i="15"/>
  <c r="Y1287" i="15"/>
  <c r="Y1291" i="15"/>
  <c r="Y1283" i="15"/>
  <c r="D38" i="10"/>
  <c r="G199" i="15"/>
  <c r="AB1180" i="15"/>
  <c r="AB1176" i="15"/>
  <c r="AB1178" i="15"/>
  <c r="AB1184" i="15"/>
  <c r="AB1182" i="15"/>
  <c r="W1184" i="15"/>
  <c r="W1180" i="15"/>
  <c r="W1182" i="15"/>
  <c r="W1176" i="15"/>
  <c r="W1178" i="15"/>
  <c r="G426" i="15"/>
  <c r="S821" i="15"/>
  <c r="S825" i="15"/>
  <c r="S823" i="15"/>
  <c r="P822" i="15" s="1"/>
  <c r="G823" i="15" s="1"/>
  <c r="S819" i="15"/>
  <c r="S827" i="15"/>
  <c r="T827" i="15"/>
  <c r="T825" i="15"/>
  <c r="T823" i="15"/>
  <c r="T819" i="15"/>
  <c r="T821" i="15"/>
  <c r="G424" i="15"/>
  <c r="S709" i="15"/>
  <c r="S705" i="15"/>
  <c r="S711" i="15"/>
  <c r="S713" i="15"/>
  <c r="S707" i="15"/>
  <c r="T707" i="15"/>
  <c r="T713" i="15"/>
  <c r="T709" i="15"/>
  <c r="T711" i="15"/>
  <c r="T705" i="15"/>
  <c r="S593" i="15"/>
  <c r="S597" i="15"/>
  <c r="S591" i="15"/>
  <c r="S599" i="15"/>
  <c r="S595" i="15"/>
  <c r="T593" i="15"/>
  <c r="T595" i="15"/>
  <c r="T597" i="15"/>
  <c r="T599" i="15"/>
  <c r="T591" i="15"/>
  <c r="G428" i="15"/>
  <c r="G430" i="15"/>
  <c r="G432" i="15"/>
  <c r="D27" i="10"/>
  <c r="G197" i="15"/>
  <c r="G195" i="15"/>
  <c r="G193" i="15"/>
  <c r="G191" i="15"/>
  <c r="G51" i="11"/>
  <c r="G847" i="15"/>
  <c r="D30" i="10"/>
  <c r="G131" i="15"/>
  <c r="G183" i="15"/>
  <c r="G187" i="15"/>
  <c r="G189" i="15"/>
  <c r="G107" i="15"/>
  <c r="G185" i="15"/>
  <c r="G181" i="15"/>
  <c r="G404" i="15"/>
  <c r="G418" i="15"/>
  <c r="G416" i="15"/>
  <c r="G422" i="15"/>
  <c r="G420" i="15"/>
  <c r="G400" i="15"/>
  <c r="G378" i="15"/>
  <c r="G348" i="15"/>
  <c r="G414" i="15"/>
  <c r="S581" i="15"/>
  <c r="S583" i="15"/>
  <c r="S585" i="15"/>
  <c r="S587" i="15"/>
  <c r="S589" i="15"/>
  <c r="G589" i="15" s="1"/>
  <c r="T583" i="15"/>
  <c r="T581" i="15"/>
  <c r="T585" i="15"/>
  <c r="T587" i="15"/>
  <c r="T589" i="15"/>
  <c r="S695" i="15"/>
  <c r="S703" i="15"/>
  <c r="S697" i="15"/>
  <c r="S701" i="15"/>
  <c r="S699" i="15"/>
  <c r="T695" i="15"/>
  <c r="T697" i="15"/>
  <c r="T699" i="15"/>
  <c r="T703" i="15"/>
  <c r="T701" i="15"/>
  <c r="G382" i="15"/>
  <c r="T811" i="15"/>
  <c r="T809" i="15"/>
  <c r="T815" i="15"/>
  <c r="T817" i="15"/>
  <c r="T813" i="15"/>
  <c r="S811" i="15"/>
  <c r="S809" i="15"/>
  <c r="S815" i="15"/>
  <c r="S817" i="15"/>
  <c r="S813" i="15"/>
  <c r="Z1281" i="15"/>
  <c r="Z1277" i="15"/>
  <c r="Z1279" i="15"/>
  <c r="Z1273" i="15"/>
  <c r="Z1275" i="15"/>
  <c r="X1275" i="15"/>
  <c r="X1277" i="15"/>
  <c r="X1273" i="15"/>
  <c r="X1279" i="15"/>
  <c r="X1281" i="15"/>
  <c r="W1168" i="15"/>
  <c r="W1166" i="15"/>
  <c r="W1172" i="15"/>
  <c r="W1174" i="15"/>
  <c r="W1170" i="15"/>
  <c r="AA1275" i="15"/>
  <c r="AA1273" i="15"/>
  <c r="AA1279" i="15"/>
  <c r="AA1277" i="15"/>
  <c r="AA1281" i="15"/>
  <c r="AB1172" i="15"/>
  <c r="AB1174" i="15"/>
  <c r="AB1168" i="15"/>
  <c r="AB1166" i="15"/>
  <c r="AB1170" i="15"/>
  <c r="Y1275" i="15"/>
  <c r="Y1281" i="15"/>
  <c r="Y1277" i="15"/>
  <c r="Y1273" i="15"/>
  <c r="Y1279" i="15"/>
  <c r="G137" i="15"/>
  <c r="G173" i="15"/>
  <c r="G105" i="15"/>
  <c r="G398" i="15"/>
  <c r="G465" i="15"/>
  <c r="G151" i="15"/>
  <c r="R759" i="15"/>
  <c r="P758" i="15" s="1"/>
  <c r="G759" i="15" s="1"/>
  <c r="G119" i="15"/>
  <c r="G459" i="15"/>
  <c r="G177" i="15"/>
  <c r="G117" i="15"/>
  <c r="G113" i="15"/>
  <c r="G467" i="15"/>
  <c r="G175" i="15"/>
  <c r="G103" i="15"/>
  <c r="G376" i="15"/>
  <c r="G374" i="15"/>
  <c r="G396" i="15"/>
  <c r="G141" i="15"/>
  <c r="G165" i="15"/>
  <c r="G145" i="15"/>
  <c r="G135" i="15"/>
  <c r="G147" i="15"/>
  <c r="G121" i="15"/>
  <c r="G139" i="15"/>
  <c r="G109" i="15"/>
  <c r="G159" i="15"/>
  <c r="G111" i="15"/>
  <c r="G133" i="15"/>
  <c r="G149" i="15"/>
  <c r="G155" i="15"/>
  <c r="G171" i="15"/>
  <c r="G143" i="15"/>
  <c r="G157" i="15"/>
  <c r="G101" i="15"/>
  <c r="G481" i="15"/>
  <c r="G129" i="15"/>
  <c r="G167" i="15"/>
  <c r="G163" i="15"/>
  <c r="G125" i="15"/>
  <c r="G127" i="15"/>
  <c r="G179" i="15"/>
  <c r="G390" i="15"/>
  <c r="G169" i="15"/>
  <c r="G153" i="15"/>
  <c r="G161" i="15"/>
  <c r="G115" i="15"/>
  <c r="L783" i="15"/>
  <c r="N783" i="15" s="1"/>
  <c r="G370" i="15"/>
  <c r="L807" i="15"/>
  <c r="N807" i="15" s="1"/>
  <c r="G463" i="15"/>
  <c r="L806" i="15"/>
  <c r="G412" i="15"/>
  <c r="R777" i="15"/>
  <c r="P776" i="15" s="1"/>
  <c r="G777" i="15" s="1"/>
  <c r="G388" i="15"/>
  <c r="G394" i="15"/>
  <c r="G47" i="11"/>
  <c r="K48" i="11"/>
  <c r="G48" i="11"/>
  <c r="R751" i="15"/>
  <c r="P750" i="15" s="1"/>
  <c r="G751" i="15" s="1"/>
  <c r="K737" i="15"/>
  <c r="L782" i="15"/>
  <c r="L737" i="15"/>
  <c r="R745" i="15"/>
  <c r="P744" i="15" s="1"/>
  <c r="G745" i="15" s="1"/>
  <c r="R785" i="15"/>
  <c r="P784" i="15" s="1"/>
  <c r="G785" i="15" s="1"/>
  <c r="L791" i="15"/>
  <c r="R791" i="15" s="1"/>
  <c r="G477" i="15"/>
  <c r="G479" i="15"/>
  <c r="R763" i="15"/>
  <c r="P762" i="15" s="1"/>
  <c r="G763" i="15" s="1"/>
  <c r="L790" i="15"/>
  <c r="R773" i="15"/>
  <c r="P772" i="15" s="1"/>
  <c r="G773" i="15" s="1"/>
  <c r="R735" i="15"/>
  <c r="P734" i="15" s="1"/>
  <c r="G735" i="15" s="1"/>
  <c r="G408" i="15"/>
  <c r="N757" i="15"/>
  <c r="G338" i="15"/>
  <c r="L805" i="15"/>
  <c r="N785" i="15"/>
  <c r="K805" i="15"/>
  <c r="N777" i="15"/>
  <c r="L789" i="15"/>
  <c r="R789" i="15" s="1"/>
  <c r="P788" i="15" s="1"/>
  <c r="G789" i="15" s="1"/>
  <c r="L788" i="15"/>
  <c r="N390" i="15"/>
  <c r="R765" i="15"/>
  <c r="P764" i="15" s="1"/>
  <c r="G765" i="15" s="1"/>
  <c r="R757" i="15"/>
  <c r="P756" i="15" s="1"/>
  <c r="G757" i="15" s="1"/>
  <c r="N773" i="15"/>
  <c r="G344" i="15"/>
  <c r="G384" i="15"/>
  <c r="R781" i="15"/>
  <c r="R795" i="15"/>
  <c r="P794" i="15" s="1"/>
  <c r="G795" i="15" s="1"/>
  <c r="R749" i="15"/>
  <c r="P748" i="15" s="1"/>
  <c r="G749" i="15" s="1"/>
  <c r="R787" i="15"/>
  <c r="P786" i="15" s="1"/>
  <c r="G787" i="15" s="1"/>
  <c r="G410" i="15"/>
  <c r="R803" i="15"/>
  <c r="P802" i="15" s="1"/>
  <c r="G803" i="15" s="1"/>
  <c r="N749" i="15"/>
  <c r="R771" i="15"/>
  <c r="P770" i="15" s="1"/>
  <c r="G771" i="15" s="1"/>
  <c r="G406" i="15"/>
  <c r="G386" i="15"/>
  <c r="R753" i="15"/>
  <c r="P752" i="15" s="1"/>
  <c r="G753" i="15" s="1"/>
  <c r="G372" i="15"/>
  <c r="N412" i="15"/>
  <c r="G354" i="15"/>
  <c r="G336" i="15"/>
  <c r="N787" i="15"/>
  <c r="G340" i="15"/>
  <c r="G342" i="15"/>
  <c r="R743" i="15"/>
  <c r="P742" i="15" s="1"/>
  <c r="G743" i="15" s="1"/>
  <c r="N398" i="15"/>
  <c r="G346" i="15"/>
  <c r="G364" i="15"/>
  <c r="L732" i="15"/>
  <c r="L733" i="15"/>
  <c r="K733" i="15"/>
  <c r="G334" i="15"/>
  <c r="G350" i="15"/>
  <c r="N394" i="15"/>
  <c r="G352" i="15"/>
  <c r="S577" i="15"/>
  <c r="S573" i="15"/>
  <c r="S557" i="15"/>
  <c r="S575" i="15"/>
  <c r="S559" i="15"/>
  <c r="S521" i="15"/>
  <c r="S505" i="15"/>
  <c r="S543" i="15"/>
  <c r="S533" i="15"/>
  <c r="S517" i="15"/>
  <c r="S501" i="15"/>
  <c r="G501" i="15" s="1"/>
  <c r="S545" i="15"/>
  <c r="S531" i="15"/>
  <c r="S515" i="15"/>
  <c r="S541" i="15"/>
  <c r="S537" i="15"/>
  <c r="S539" i="15"/>
  <c r="S535" i="15"/>
  <c r="S503" i="15"/>
  <c r="S519" i="15"/>
  <c r="S561" i="15"/>
  <c r="S565" i="15"/>
  <c r="S551" i="15"/>
  <c r="S529" i="15"/>
  <c r="S507" i="15"/>
  <c r="S513" i="15"/>
  <c r="S547" i="15"/>
  <c r="S569" i="15"/>
  <c r="G569" i="15" s="1"/>
  <c r="S509" i="15"/>
  <c r="S563" i="15"/>
  <c r="S525" i="15"/>
  <c r="S549" i="15"/>
  <c r="S555" i="15"/>
  <c r="S553" i="15"/>
  <c r="S527" i="15"/>
  <c r="S567" i="15"/>
  <c r="S511" i="15"/>
  <c r="S523" i="15"/>
  <c r="S579" i="15"/>
  <c r="S571" i="15"/>
  <c r="N392" i="15"/>
  <c r="G392" i="15"/>
  <c r="L800" i="15"/>
  <c r="L801" i="15"/>
  <c r="K801" i="15"/>
  <c r="N406" i="15"/>
  <c r="L747" i="15"/>
  <c r="K747" i="15"/>
  <c r="L746" i="15"/>
  <c r="N761" i="15"/>
  <c r="R761" i="15"/>
  <c r="P760" i="15" s="1"/>
  <c r="G761" i="15" s="1"/>
  <c r="S956" i="15"/>
  <c r="S771" i="15"/>
  <c r="S801" i="15"/>
  <c r="S785" i="15"/>
  <c r="S777" i="15"/>
  <c r="S735" i="15"/>
  <c r="S759" i="15"/>
  <c r="S763" i="15"/>
  <c r="S743" i="15"/>
  <c r="S793" i="15"/>
  <c r="S751" i="15"/>
  <c r="S745" i="15"/>
  <c r="S761" i="15"/>
  <c r="S803" i="15"/>
  <c r="S733" i="15"/>
  <c r="S807" i="15"/>
  <c r="S797" i="15"/>
  <c r="S799" i="15"/>
  <c r="S747" i="15"/>
  <c r="S731" i="15"/>
  <c r="S749" i="15"/>
  <c r="S773" i="15"/>
  <c r="S805" i="15"/>
  <c r="S737" i="15"/>
  <c r="S753" i="15"/>
  <c r="S787" i="15"/>
  <c r="S791" i="15"/>
  <c r="S729" i="15"/>
  <c r="S739" i="15"/>
  <c r="S795" i="15"/>
  <c r="S765" i="15"/>
  <c r="S767" i="15"/>
  <c r="S769" i="15"/>
  <c r="S781" i="15"/>
  <c r="S789" i="15"/>
  <c r="S779" i="15"/>
  <c r="S757" i="15"/>
  <c r="S775" i="15"/>
  <c r="S783" i="15"/>
  <c r="S755" i="15"/>
  <c r="S741" i="15"/>
  <c r="L798" i="15"/>
  <c r="L799" i="15"/>
  <c r="K799" i="15"/>
  <c r="K731" i="15"/>
  <c r="L731" i="15"/>
  <c r="L730" i="15"/>
  <c r="K739" i="15"/>
  <c r="L738" i="15"/>
  <c r="L739" i="15"/>
  <c r="N366" i="15"/>
  <c r="G366" i="15"/>
  <c r="AB1160" i="15"/>
  <c r="AB1158" i="15"/>
  <c r="AB1156" i="15"/>
  <c r="AB1152" i="15"/>
  <c r="AB1132" i="15"/>
  <c r="AB1114" i="15"/>
  <c r="AB1164" i="15"/>
  <c r="AB1162" i="15"/>
  <c r="AB1154" i="15"/>
  <c r="AB1130" i="15"/>
  <c r="AB1128" i="15"/>
  <c r="AB1140" i="15"/>
  <c r="AB1124" i="15"/>
  <c r="AB1148" i="15"/>
  <c r="AB1104" i="15"/>
  <c r="AB1088" i="15"/>
  <c r="AB1112" i="15"/>
  <c r="AB1102" i="15"/>
  <c r="AB1086" i="15"/>
  <c r="AB1116" i="15"/>
  <c r="V1198" i="15"/>
  <c r="AB1138" i="15"/>
  <c r="AB1120" i="15"/>
  <c r="AB1080" i="15"/>
  <c r="AB1150" i="15"/>
  <c r="AB1076" i="15"/>
  <c r="AB1084" i="15"/>
  <c r="AB1144" i="15"/>
  <c r="AB1134" i="15"/>
  <c r="AB1122" i="15"/>
  <c r="AB1126" i="15"/>
  <c r="AB1118" i="15"/>
  <c r="AB1110" i="15"/>
  <c r="AB1090" i="15"/>
  <c r="AB1071" i="15"/>
  <c r="AB1061" i="15" s="1"/>
  <c r="AB1106" i="15"/>
  <c r="AB1136" i="15"/>
  <c r="AB1146" i="15"/>
  <c r="AB1142" i="15"/>
  <c r="AB1108" i="15"/>
  <c r="V1084" i="15"/>
  <c r="AB1082" i="15"/>
  <c r="V1080" i="15"/>
  <c r="AB1096" i="15" s="1"/>
  <c r="AB1078" i="15"/>
  <c r="V1076" i="15"/>
  <c r="AB1092" i="15" s="1"/>
  <c r="V1192" i="15"/>
  <c r="V1196" i="15"/>
  <c r="V1078" i="15"/>
  <c r="AB1094" i="15" s="1"/>
  <c r="V1194" i="15"/>
  <c r="V1082" i="15"/>
  <c r="AB1098" i="15" s="1"/>
  <c r="V1200" i="15"/>
  <c r="N360" i="15"/>
  <c r="G360" i="15"/>
  <c r="L766" i="15"/>
  <c r="L767" i="15"/>
  <c r="K767" i="15"/>
  <c r="Z1268" i="15"/>
  <c r="Z1266" i="15"/>
  <c r="Z1250" i="15"/>
  <c r="Z1230" i="15"/>
  <c r="Z1204" i="15"/>
  <c r="Z1264" i="15"/>
  <c r="Z1252" i="15"/>
  <c r="Z1246" i="15"/>
  <c r="Z1228" i="15"/>
  <c r="Z1216" i="15"/>
  <c r="Z1248" i="15"/>
  <c r="Z1234" i="15"/>
  <c r="Z1206" i="15"/>
  <c r="Z1220" i="15"/>
  <c r="Z1214" i="15"/>
  <c r="Z1232" i="15"/>
  <c r="Z1194" i="15"/>
  <c r="Z1262" i="15"/>
  <c r="Z1218" i="15"/>
  <c r="Z1192" i="15"/>
  <c r="Z1236" i="15"/>
  <c r="Z1222" i="15"/>
  <c r="Z1260" i="15"/>
  <c r="Z1270" i="15"/>
  <c r="Z1200" i="15"/>
  <c r="Z1256" i="15"/>
  <c r="Z1224" i="15"/>
  <c r="Z1202" i="15"/>
  <c r="Z1258" i="15"/>
  <c r="Z1242" i="15"/>
  <c r="Z1254" i="15"/>
  <c r="Z1210" i="15"/>
  <c r="Z1226" i="15"/>
  <c r="Z1244" i="15"/>
  <c r="Z1240" i="15"/>
  <c r="Z1238" i="15"/>
  <c r="Z1196" i="15"/>
  <c r="Z1198" i="15"/>
  <c r="Z1212" i="15"/>
  <c r="Z1208" i="15"/>
  <c r="N356" i="15"/>
  <c r="G356" i="15"/>
  <c r="AB947" i="15"/>
  <c r="AB945" i="15"/>
  <c r="AB946" i="15"/>
  <c r="W1160" i="15"/>
  <c r="W1140" i="15"/>
  <c r="AB1208" i="15" s="1"/>
  <c r="W1124" i="15"/>
  <c r="AB1192" i="15" s="1"/>
  <c r="W1158" i="15"/>
  <c r="W1128" i="15"/>
  <c r="AB1196" i="15" s="1"/>
  <c r="W1148" i="15"/>
  <c r="AB1216" i="15" s="1"/>
  <c r="W1144" i="15"/>
  <c r="AB1212" i="15" s="1"/>
  <c r="W1130" i="15"/>
  <c r="AB1198" i="15" s="1"/>
  <c r="W1164" i="15"/>
  <c r="W1136" i="15"/>
  <c r="AB1204" i="15" s="1"/>
  <c r="W1108" i="15"/>
  <c r="W1092" i="15"/>
  <c r="W1082" i="15"/>
  <c r="W1120" i="15"/>
  <c r="W1156" i="15"/>
  <c r="W1084" i="15"/>
  <c r="W1076" i="15"/>
  <c r="W1100" i="15"/>
  <c r="W1088" i="15"/>
  <c r="W1132" i="15"/>
  <c r="AB1200" i="15" s="1"/>
  <c r="W1112" i="15"/>
  <c r="W1102" i="15"/>
  <c r="W1134" i="15"/>
  <c r="AB1202" i="15" s="1"/>
  <c r="W1118" i="15"/>
  <c r="W1104" i="15"/>
  <c r="W1138" i="15"/>
  <c r="AB1206" i="15" s="1"/>
  <c r="W1150" i="15"/>
  <c r="AB1218" i="15" s="1"/>
  <c r="W1078" i="15"/>
  <c r="W1110" i="15"/>
  <c r="W1080" i="15"/>
  <c r="W1142" i="15"/>
  <c r="AB1210" i="15" s="1"/>
  <c r="W1126" i="15"/>
  <c r="AB1194" i="15" s="1"/>
  <c r="W1094" i="15"/>
  <c r="W1086" i="15"/>
  <c r="W1114" i="15"/>
  <c r="W1154" i="15"/>
  <c r="AB1222" i="15" s="1"/>
  <c r="W1146" i="15"/>
  <c r="AB1214" i="15" s="1"/>
  <c r="W1090" i="15"/>
  <c r="W1098" i="15"/>
  <c r="W1116" i="15"/>
  <c r="W1106" i="15"/>
  <c r="W1122" i="15"/>
  <c r="W1096" i="15"/>
  <c r="W1162" i="15"/>
  <c r="W1152" i="15"/>
  <c r="AB1220" i="15" s="1"/>
  <c r="K755" i="15"/>
  <c r="L754" i="15"/>
  <c r="L755" i="15"/>
  <c r="S840" i="15"/>
  <c r="S685" i="15"/>
  <c r="S669" i="15"/>
  <c r="S677" i="15"/>
  <c r="G677" i="15" s="1"/>
  <c r="S663" i="15"/>
  <c r="S679" i="15"/>
  <c r="S661" i="15"/>
  <c r="S673" i="15"/>
  <c r="S693" i="15"/>
  <c r="G693" i="15" s="1"/>
  <c r="S655" i="15"/>
  <c r="S639" i="15"/>
  <c r="S623" i="15"/>
  <c r="S651" i="15"/>
  <c r="S635" i="15"/>
  <c r="S619" i="15"/>
  <c r="S689" i="15"/>
  <c r="S649" i="15"/>
  <c r="S653" i="15"/>
  <c r="S633" i="15"/>
  <c r="S657" i="15"/>
  <c r="S621" i="15"/>
  <c r="S637" i="15"/>
  <c r="S617" i="15"/>
  <c r="S659" i="15"/>
  <c r="S625" i="15"/>
  <c r="S687" i="15"/>
  <c r="G687" i="15" s="1"/>
  <c r="S631" i="15"/>
  <c r="S641" i="15"/>
  <c r="S683" i="15"/>
  <c r="G683" i="15" s="1"/>
  <c r="S681" i="15"/>
  <c r="S615" i="15"/>
  <c r="S643" i="15"/>
  <c r="S665" i="15"/>
  <c r="S647" i="15"/>
  <c r="S691" i="15"/>
  <c r="S627" i="15"/>
  <c r="S671" i="15"/>
  <c r="S629" i="15"/>
  <c r="S667" i="15"/>
  <c r="S675" i="15"/>
  <c r="S645" i="15"/>
  <c r="N362" i="15"/>
  <c r="G362" i="15"/>
  <c r="N779" i="15"/>
  <c r="R779" i="15"/>
  <c r="P778" i="15" s="1"/>
  <c r="G779" i="15" s="1"/>
  <c r="N745" i="15"/>
  <c r="N374" i="15"/>
  <c r="L774" i="15"/>
  <c r="L775" i="15"/>
  <c r="K775" i="15"/>
  <c r="N402" i="15"/>
  <c r="G402" i="15"/>
  <c r="AB831" i="15"/>
  <c r="AB829" i="15"/>
  <c r="AB830" i="15"/>
  <c r="T956" i="15"/>
  <c r="T805" i="15"/>
  <c r="T765" i="15"/>
  <c r="T771" i="15"/>
  <c r="T789" i="15"/>
  <c r="T759" i="15"/>
  <c r="T743" i="15"/>
  <c r="T797" i="15"/>
  <c r="T779" i="15"/>
  <c r="T787" i="15"/>
  <c r="T773" i="15"/>
  <c r="T781" i="15"/>
  <c r="T735" i="15"/>
  <c r="T751" i="15"/>
  <c r="T745" i="15"/>
  <c r="T737" i="15"/>
  <c r="T753" i="15"/>
  <c r="T739" i="15"/>
  <c r="T741" i="15"/>
  <c r="T767" i="15"/>
  <c r="T785" i="15"/>
  <c r="T791" i="15"/>
  <c r="T729" i="15"/>
  <c r="T755" i="15"/>
  <c r="T769" i="15"/>
  <c r="T763" i="15"/>
  <c r="T749" i="15"/>
  <c r="T801" i="15"/>
  <c r="T783" i="15"/>
  <c r="T803" i="15"/>
  <c r="T777" i="15"/>
  <c r="T733" i="15"/>
  <c r="T793" i="15"/>
  <c r="T747" i="15"/>
  <c r="T731" i="15"/>
  <c r="T799" i="15"/>
  <c r="T795" i="15"/>
  <c r="T775" i="15"/>
  <c r="T761" i="15"/>
  <c r="T757" i="15"/>
  <c r="T807" i="15"/>
  <c r="N368" i="15"/>
  <c r="G368" i="15"/>
  <c r="Y1262" i="15"/>
  <c r="Y1246" i="15"/>
  <c r="Y1250" i="15"/>
  <c r="Y1218" i="15"/>
  <c r="Y1230" i="15"/>
  <c r="Y1204" i="15"/>
  <c r="Y1264" i="15"/>
  <c r="Y1232" i="15"/>
  <c r="Y1194" i="15"/>
  <c r="Y1196" i="15"/>
  <c r="Y1266" i="15"/>
  <c r="Y1216" i="15"/>
  <c r="Y1238" i="15"/>
  <c r="Y1192" i="15"/>
  <c r="Y1214" i="15"/>
  <c r="Y1234" i="15"/>
  <c r="Y1222" i="15"/>
  <c r="Y1220" i="15"/>
  <c r="Y1248" i="15"/>
  <c r="Y1254" i="15"/>
  <c r="Y1212" i="15"/>
  <c r="Y1208" i="15"/>
  <c r="Y1236" i="15"/>
  <c r="Y1252" i="15"/>
  <c r="Y1258" i="15"/>
  <c r="Y1270" i="15"/>
  <c r="Y1206" i="15"/>
  <c r="Y1256" i="15"/>
  <c r="Y1226" i="15"/>
  <c r="Y1200" i="15"/>
  <c r="Y1210" i="15"/>
  <c r="Y1244" i="15"/>
  <c r="Y1228" i="15"/>
  <c r="Y1268" i="15"/>
  <c r="Y1242" i="15"/>
  <c r="Y1260" i="15"/>
  <c r="Y1198" i="15"/>
  <c r="Y1240" i="15"/>
  <c r="Y1224" i="15"/>
  <c r="Y1202" i="15"/>
  <c r="N358" i="15"/>
  <c r="G358" i="15"/>
  <c r="T575" i="15"/>
  <c r="T559" i="15"/>
  <c r="T523" i="15"/>
  <c r="T507" i="15"/>
  <c r="T573" i="15"/>
  <c r="T541" i="15"/>
  <c r="T537" i="15"/>
  <c r="T535" i="15"/>
  <c r="T519" i="15"/>
  <c r="T503" i="15"/>
  <c r="T531" i="15"/>
  <c r="T515" i="15"/>
  <c r="T553" i="15"/>
  <c r="T557" i="15"/>
  <c r="T543" i="15"/>
  <c r="T533" i="15"/>
  <c r="T501" i="15"/>
  <c r="T517" i="15"/>
  <c r="T505" i="15"/>
  <c r="T529" i="15"/>
  <c r="T539" i="15"/>
  <c r="T571" i="15"/>
  <c r="T545" i="15"/>
  <c r="T521" i="15"/>
  <c r="T561" i="15"/>
  <c r="T513" i="15"/>
  <c r="T551" i="15"/>
  <c r="T509" i="15"/>
  <c r="T555" i="15"/>
  <c r="T577" i="15"/>
  <c r="T579" i="15"/>
  <c r="T549" i="15"/>
  <c r="T525" i="15"/>
  <c r="T563" i="15"/>
  <c r="T527" i="15"/>
  <c r="T567" i="15"/>
  <c r="T511" i="15"/>
  <c r="T569" i="15"/>
  <c r="T565" i="15"/>
  <c r="T547" i="15"/>
  <c r="L792" i="15"/>
  <c r="L793" i="15"/>
  <c r="K793" i="15"/>
  <c r="X1264" i="15"/>
  <c r="X1248" i="15"/>
  <c r="X1262" i="15"/>
  <c r="X1232" i="15"/>
  <c r="X1220" i="15"/>
  <c r="X1250" i="15"/>
  <c r="X1218" i="15"/>
  <c r="X1204" i="15"/>
  <c r="X1268" i="15"/>
  <c r="X1216" i="15"/>
  <c r="X1236" i="15"/>
  <c r="X1252" i="15"/>
  <c r="X1194" i="15"/>
  <c r="X1206" i="15"/>
  <c r="X1196" i="15"/>
  <c r="X1234" i="15"/>
  <c r="X1202" i="15"/>
  <c r="AB1224" i="15"/>
  <c r="X1198" i="15"/>
  <c r="X1266" i="15"/>
  <c r="X1208" i="15"/>
  <c r="X1240" i="15"/>
  <c r="X1258" i="15"/>
  <c r="X1210" i="15"/>
  <c r="X1212" i="15"/>
  <c r="X1244" i="15"/>
  <c r="X1260" i="15"/>
  <c r="X1200" i="15"/>
  <c r="X1192" i="15"/>
  <c r="X1214" i="15"/>
  <c r="X1270" i="15"/>
  <c r="X1222" i="15"/>
  <c r="X1246" i="15"/>
  <c r="X1224" i="15"/>
  <c r="X1256" i="15"/>
  <c r="X1242" i="15"/>
  <c r="X1254" i="15"/>
  <c r="X1228" i="15"/>
  <c r="X1230" i="15"/>
  <c r="X1226" i="15"/>
  <c r="AB1187" i="15"/>
  <c r="X1238" i="15"/>
  <c r="T840" i="15"/>
  <c r="T685" i="15"/>
  <c r="T669" i="15"/>
  <c r="T691" i="15"/>
  <c r="T677" i="15"/>
  <c r="T661" i="15"/>
  <c r="T693" i="15"/>
  <c r="T659" i="15"/>
  <c r="T653" i="15"/>
  <c r="T637" i="15"/>
  <c r="T621" i="15"/>
  <c r="T675" i="15"/>
  <c r="T619" i="15"/>
  <c r="T671" i="15"/>
  <c r="T651" i="15"/>
  <c r="T635" i="15"/>
  <c r="T687" i="15"/>
  <c r="T643" i="15"/>
  <c r="T639" i="15"/>
  <c r="T673" i="15"/>
  <c r="T679" i="15"/>
  <c r="T629" i="15"/>
  <c r="T655" i="15"/>
  <c r="T657" i="15"/>
  <c r="T681" i="15"/>
  <c r="T627" i="15"/>
  <c r="T631" i="15"/>
  <c r="T649" i="15"/>
  <c r="T667" i="15"/>
  <c r="T647" i="15"/>
  <c r="T617" i="15"/>
  <c r="T665" i="15"/>
  <c r="T645" i="15"/>
  <c r="T623" i="15"/>
  <c r="T689" i="15"/>
  <c r="T683" i="15"/>
  <c r="T625" i="15"/>
  <c r="T641" i="15"/>
  <c r="T663" i="15"/>
  <c r="T615" i="15"/>
  <c r="T633" i="15"/>
  <c r="N380" i="15"/>
  <c r="G380" i="15"/>
  <c r="AA1266" i="15"/>
  <c r="AA1264" i="15"/>
  <c r="AA1248" i="15"/>
  <c r="AA1246" i="15"/>
  <c r="AA1228" i="15"/>
  <c r="AA1216" i="15"/>
  <c r="AA1260" i="15"/>
  <c r="AA1214" i="15"/>
  <c r="AA1196" i="15"/>
  <c r="AA1234" i="15"/>
  <c r="AA1250" i="15"/>
  <c r="AA1192" i="15"/>
  <c r="AA1204" i="15"/>
  <c r="AA1242" i="15"/>
  <c r="AA1232" i="15"/>
  <c r="AA1262" i="15"/>
  <c r="AA1218" i="15"/>
  <c r="AA1230" i="15"/>
  <c r="AA1220" i="15"/>
  <c r="AA1226" i="15"/>
  <c r="AA1268" i="15"/>
  <c r="AA1224" i="15"/>
  <c r="AA1202" i="15"/>
  <c r="AA1212" i="15"/>
  <c r="AA1270" i="15"/>
  <c r="AA1254" i="15"/>
  <c r="AA1240" i="15"/>
  <c r="AA1194" i="15"/>
  <c r="AA1208" i="15"/>
  <c r="AA1236" i="15"/>
  <c r="AA1198" i="15"/>
  <c r="AA1238" i="15"/>
  <c r="AA1244" i="15"/>
  <c r="AA1252" i="15"/>
  <c r="AA1222" i="15"/>
  <c r="AA1210" i="15"/>
  <c r="AA1256" i="15"/>
  <c r="AA1200" i="15"/>
  <c r="AA1258" i="15"/>
  <c r="AA1206" i="15"/>
  <c r="N729" i="15"/>
  <c r="R729" i="15"/>
  <c r="P728" i="15" s="1"/>
  <c r="G729" i="15" s="1"/>
  <c r="G46" i="11"/>
  <c r="N47" i="11"/>
  <c r="G86" i="11" l="1"/>
  <c r="G709" i="15"/>
  <c r="AB1291" i="15"/>
  <c r="AB1287" i="15"/>
  <c r="AB1289" i="15"/>
  <c r="AB1285" i="15"/>
  <c r="AB1283" i="15"/>
  <c r="T1055" i="15"/>
  <c r="T1051" i="15"/>
  <c r="T1057" i="15"/>
  <c r="T1053" i="15"/>
  <c r="T1059" i="15"/>
  <c r="S1055" i="15"/>
  <c r="G1055" i="15" s="1"/>
  <c r="S1051" i="15"/>
  <c r="S1057" i="15"/>
  <c r="S1053" i="15"/>
  <c r="S1059" i="15"/>
  <c r="S935" i="15"/>
  <c r="S941" i="15"/>
  <c r="S943" i="15"/>
  <c r="S939" i="15"/>
  <c r="S937" i="15"/>
  <c r="T937" i="15"/>
  <c r="T935" i="15"/>
  <c r="T939" i="15"/>
  <c r="T943" i="15"/>
  <c r="T941" i="15"/>
  <c r="G591" i="15"/>
  <c r="G581" i="15"/>
  <c r="S925" i="15"/>
  <c r="S931" i="15"/>
  <c r="S927" i="15"/>
  <c r="S933" i="15"/>
  <c r="S929" i="15"/>
  <c r="T927" i="15"/>
  <c r="T925" i="15"/>
  <c r="T933" i="15"/>
  <c r="T931" i="15"/>
  <c r="T929" i="15"/>
  <c r="G703" i="15"/>
  <c r="G579" i="15"/>
  <c r="G697" i="15"/>
  <c r="P810" i="15"/>
  <c r="G811" i="15" s="1"/>
  <c r="P780" i="15"/>
  <c r="G781" i="15" s="1"/>
  <c r="AB1277" i="15"/>
  <c r="T1041" i="15"/>
  <c r="T1045" i="15"/>
  <c r="T1043" i="15"/>
  <c r="T1049" i="15"/>
  <c r="T1047" i="15"/>
  <c r="S1047" i="15"/>
  <c r="S1049" i="15"/>
  <c r="G1049" i="15" s="1"/>
  <c r="S1041" i="15"/>
  <c r="S1043" i="15"/>
  <c r="S1045" i="15"/>
  <c r="AB1279" i="15"/>
  <c r="AB1273" i="15"/>
  <c r="AB1281" i="15"/>
  <c r="AB1275" i="15"/>
  <c r="R807" i="15"/>
  <c r="P806" i="15" s="1"/>
  <c r="G807" i="15" s="1"/>
  <c r="R783" i="15"/>
  <c r="P782" i="15" s="1"/>
  <c r="G783" i="15" s="1"/>
  <c r="N737" i="15"/>
  <c r="R737" i="15"/>
  <c r="P736" i="15" s="1"/>
  <c r="G737" i="15" s="1"/>
  <c r="G529" i="15"/>
  <c r="N791" i="15"/>
  <c r="P790" i="15"/>
  <c r="G791" i="15" s="1"/>
  <c r="G643" i="15"/>
  <c r="G623" i="15"/>
  <c r="G673" i="15"/>
  <c r="G559" i="15"/>
  <c r="G509" i="15"/>
  <c r="N805" i="15"/>
  <c r="AB1100" i="15"/>
  <c r="R805" i="15"/>
  <c r="P804" i="15" s="1"/>
  <c r="G805" i="15" s="1"/>
  <c r="N789" i="15"/>
  <c r="N733" i="15"/>
  <c r="R733" i="15"/>
  <c r="P732" i="15" s="1"/>
  <c r="G733" i="15" s="1"/>
  <c r="N793" i="15"/>
  <c r="R793" i="15"/>
  <c r="P792" i="15" s="1"/>
  <c r="G793" i="15" s="1"/>
  <c r="AB1062" i="15"/>
  <c r="N767" i="15"/>
  <c r="R767" i="15"/>
  <c r="P766" i="15" s="1"/>
  <c r="G767" i="15" s="1"/>
  <c r="T1025" i="15"/>
  <c r="T1011" i="15"/>
  <c r="T1035" i="15"/>
  <c r="T1027" i="15"/>
  <c r="T1021" i="15"/>
  <c r="T989" i="15"/>
  <c r="T1009" i="15"/>
  <c r="T995" i="15"/>
  <c r="T981" i="15"/>
  <c r="T963" i="15"/>
  <c r="T1019" i="15"/>
  <c r="T961" i="15"/>
  <c r="T997" i="15"/>
  <c r="T979" i="15"/>
  <c r="T969" i="15"/>
  <c r="T983" i="15"/>
  <c r="T987" i="15"/>
  <c r="T1023" i="15"/>
  <c r="T973" i="15"/>
  <c r="T965" i="15"/>
  <c r="T1015" i="15"/>
  <c r="T1003" i="15"/>
  <c r="T967" i="15"/>
  <c r="T1007" i="15"/>
  <c r="T1037" i="15"/>
  <c r="T1039" i="15"/>
  <c r="T977" i="15"/>
  <c r="T971" i="15"/>
  <c r="T985" i="15"/>
  <c r="T1001" i="15"/>
  <c r="T999" i="15"/>
  <c r="T975" i="15"/>
  <c r="T991" i="15"/>
  <c r="T1031" i="15"/>
  <c r="T1033" i="15"/>
  <c r="T993" i="15"/>
  <c r="T1013" i="15"/>
  <c r="T1017" i="15"/>
  <c r="T1029" i="15"/>
  <c r="T1005" i="15"/>
  <c r="S1071" i="15"/>
  <c r="S923" i="15"/>
  <c r="G923" i="15" s="1"/>
  <c r="S901" i="15"/>
  <c r="S915" i="15"/>
  <c r="S893" i="15"/>
  <c r="S921" i="15"/>
  <c r="S887" i="15"/>
  <c r="S871" i="15"/>
  <c r="S855" i="15"/>
  <c r="S873" i="15"/>
  <c r="G873" i="15" s="1"/>
  <c r="S859" i="15"/>
  <c r="S875" i="15"/>
  <c r="S853" i="15"/>
  <c r="S903" i="15"/>
  <c r="S891" i="15"/>
  <c r="S919" i="15"/>
  <c r="S857" i="15"/>
  <c r="S869" i="15"/>
  <c r="S889" i="15"/>
  <c r="S883" i="15"/>
  <c r="S899" i="15"/>
  <c r="S907" i="15"/>
  <c r="G907" i="15" s="1"/>
  <c r="S851" i="15"/>
  <c r="S905" i="15"/>
  <c r="S845" i="15"/>
  <c r="S879" i="15"/>
  <c r="S849" i="15"/>
  <c r="S865" i="15"/>
  <c r="S881" i="15"/>
  <c r="S897" i="15"/>
  <c r="S913" i="15"/>
  <c r="S885" i="15"/>
  <c r="S863" i="15"/>
  <c r="S861" i="15"/>
  <c r="S877" i="15"/>
  <c r="S895" i="15"/>
  <c r="S911" i="15"/>
  <c r="S909" i="15"/>
  <c r="S867" i="15"/>
  <c r="S917" i="15"/>
  <c r="G917" i="15" s="1"/>
  <c r="S847" i="15"/>
  <c r="N755" i="15"/>
  <c r="R755" i="15"/>
  <c r="P754" i="15" s="1"/>
  <c r="G755" i="15" s="1"/>
  <c r="N739" i="15"/>
  <c r="R739" i="15"/>
  <c r="S1027" i="15"/>
  <c r="S1011" i="15"/>
  <c r="S1019" i="15"/>
  <c r="S1035" i="15"/>
  <c r="S1033" i="15"/>
  <c r="S995" i="15"/>
  <c r="S1017" i="15"/>
  <c r="S981" i="15"/>
  <c r="S963" i="15"/>
  <c r="S1023" i="15"/>
  <c r="S993" i="15"/>
  <c r="S961" i="15"/>
  <c r="S979" i="15"/>
  <c r="S997" i="15"/>
  <c r="S983" i="15"/>
  <c r="S999" i="15"/>
  <c r="S1031" i="15"/>
  <c r="S973" i="15"/>
  <c r="S1001" i="15"/>
  <c r="S1029" i="15"/>
  <c r="S991" i="15"/>
  <c r="S989" i="15"/>
  <c r="G989" i="15" s="1"/>
  <c r="S1025" i="15"/>
  <c r="S977" i="15"/>
  <c r="S975" i="15"/>
  <c r="S987" i="15"/>
  <c r="S971" i="15"/>
  <c r="S1003" i="15"/>
  <c r="S965" i="15"/>
  <c r="S1007" i="15"/>
  <c r="S1013" i="15"/>
  <c r="S985" i="15"/>
  <c r="S1009" i="15"/>
  <c r="S967" i="15"/>
  <c r="S1015" i="15"/>
  <c r="S1005" i="15"/>
  <c r="S1037" i="15"/>
  <c r="S1039" i="15"/>
  <c r="G1039" i="15" s="1"/>
  <c r="S1021" i="15"/>
  <c r="S969" i="15"/>
  <c r="R801" i="15"/>
  <c r="P800" i="15" s="1"/>
  <c r="G801" i="15" s="1"/>
  <c r="N801" i="15"/>
  <c r="T1071" i="15"/>
  <c r="T923" i="15"/>
  <c r="T903" i="15"/>
  <c r="T921" i="15"/>
  <c r="T901" i="15"/>
  <c r="T917" i="15"/>
  <c r="T893" i="15"/>
  <c r="T877" i="15"/>
  <c r="T861" i="15"/>
  <c r="T845" i="15"/>
  <c r="T891" i="15"/>
  <c r="T887" i="15"/>
  <c r="T855" i="15"/>
  <c r="T919" i="15"/>
  <c r="T857" i="15"/>
  <c r="T889" i="15"/>
  <c r="T873" i="15"/>
  <c r="T871" i="15"/>
  <c r="T883" i="15"/>
  <c r="T879" i="15"/>
  <c r="T899" i="15"/>
  <c r="T909" i="15"/>
  <c r="T897" i="15"/>
  <c r="T863" i="15"/>
  <c r="T851" i="15"/>
  <c r="T847" i="15"/>
  <c r="T881" i="15"/>
  <c r="T859" i="15"/>
  <c r="T853" i="15"/>
  <c r="T915" i="15"/>
  <c r="T867" i="15"/>
  <c r="T869" i="15"/>
  <c r="T895" i="15"/>
  <c r="T875" i="15"/>
  <c r="T907" i="15"/>
  <c r="T913" i="15"/>
  <c r="T911" i="15"/>
  <c r="T885" i="15"/>
  <c r="T865" i="15"/>
  <c r="T905" i="15"/>
  <c r="T849" i="15"/>
  <c r="N775" i="15"/>
  <c r="R775" i="15"/>
  <c r="P774" i="15" s="1"/>
  <c r="G775" i="15" s="1"/>
  <c r="N731" i="15"/>
  <c r="R731" i="15"/>
  <c r="P730" i="15" s="1"/>
  <c r="G731" i="15" s="1"/>
  <c r="N799" i="15"/>
  <c r="R799" i="15"/>
  <c r="P798" i="15" s="1"/>
  <c r="G799" i="15" s="1"/>
  <c r="N747" i="15"/>
  <c r="R747" i="15"/>
  <c r="P746" i="15" s="1"/>
  <c r="G747" i="15" s="1"/>
  <c r="A13" i="10"/>
  <c r="C30" i="10" a="1"/>
  <c r="C30" i="10" s="1"/>
  <c r="S1287" i="15" l="1"/>
  <c r="S1291" i="15"/>
  <c r="S1283" i="15"/>
  <c r="S1285" i="15"/>
  <c r="S1289" i="15"/>
  <c r="G939" i="15"/>
  <c r="G1051" i="15"/>
  <c r="S1178" i="15"/>
  <c r="S1184" i="15"/>
  <c r="S1180" i="15"/>
  <c r="S1176" i="15"/>
  <c r="G1176" i="15" s="1"/>
  <c r="S1182" i="15"/>
  <c r="T1178" i="15"/>
  <c r="T1176" i="15"/>
  <c r="T1182" i="15"/>
  <c r="T1180" i="15"/>
  <c r="T1184" i="15"/>
  <c r="P738" i="15"/>
  <c r="G739" i="15" s="1"/>
  <c r="G1029" i="15"/>
  <c r="G897" i="15"/>
  <c r="S1170" i="15"/>
  <c r="S1273" i="15"/>
  <c r="S1166" i="15"/>
  <c r="S1172" i="15"/>
  <c r="S1277" i="15"/>
  <c r="S1281" i="15"/>
  <c r="S1275" i="15"/>
  <c r="S1279" i="15"/>
  <c r="S1168" i="15"/>
  <c r="S1174" i="15"/>
  <c r="G1174" i="15" s="1"/>
  <c r="T1170" i="15"/>
  <c r="T1166" i="15"/>
  <c r="T1172" i="15"/>
  <c r="T1174" i="15"/>
  <c r="T1168" i="15"/>
  <c r="G853" i="15"/>
  <c r="T1148" i="15"/>
  <c r="T1146" i="15"/>
  <c r="T1140" i="15"/>
  <c r="T1124" i="15"/>
  <c r="T1126" i="15"/>
  <c r="T1120" i="15"/>
  <c r="T1142" i="15"/>
  <c r="T1100" i="15"/>
  <c r="T1187" i="15"/>
  <c r="T1162" i="15"/>
  <c r="T1154" i="15"/>
  <c r="T1164" i="15"/>
  <c r="T1136" i="15"/>
  <c r="T1108" i="15"/>
  <c r="T1092" i="15"/>
  <c r="T1082" i="15"/>
  <c r="T1112" i="15"/>
  <c r="T1098" i="15"/>
  <c r="T1084" i="15"/>
  <c r="T1134" i="15"/>
  <c r="T1076" i="15"/>
  <c r="T1118" i="15"/>
  <c r="T1102" i="15"/>
  <c r="T1114" i="15"/>
  <c r="T1078" i="15"/>
  <c r="T1086" i="15"/>
  <c r="T1106" i="15"/>
  <c r="T1110" i="15"/>
  <c r="T1090" i="15"/>
  <c r="T1128" i="15"/>
  <c r="T1130" i="15"/>
  <c r="T1094" i="15"/>
  <c r="T1096" i="15"/>
  <c r="T1122" i="15"/>
  <c r="T1158" i="15"/>
  <c r="T1156" i="15"/>
  <c r="T1104" i="15"/>
  <c r="T1132" i="15"/>
  <c r="T1150" i="15"/>
  <c r="T1080" i="15"/>
  <c r="T1144" i="15"/>
  <c r="T1152" i="15"/>
  <c r="T1088" i="15"/>
  <c r="T1160" i="15"/>
  <c r="T1116" i="15"/>
  <c r="T1138" i="15"/>
  <c r="S1266" i="15"/>
  <c r="S1264" i="15"/>
  <c r="S1248" i="15"/>
  <c r="S1262" i="15"/>
  <c r="S1234" i="15"/>
  <c r="S1214" i="15"/>
  <c r="S1242" i="15"/>
  <c r="S1232" i="15"/>
  <c r="S1246" i="15"/>
  <c r="S1230" i="15"/>
  <c r="S1187" i="15"/>
  <c r="S1192" i="15"/>
  <c r="S1218" i="15"/>
  <c r="S1228" i="15"/>
  <c r="S1148" i="15"/>
  <c r="S1244" i="15"/>
  <c r="S1196" i="15"/>
  <c r="S1260" i="15"/>
  <c r="S1216" i="15"/>
  <c r="S1164" i="15"/>
  <c r="S1140" i="15"/>
  <c r="S1136" i="15"/>
  <c r="S1128" i="15"/>
  <c r="S1120" i="15"/>
  <c r="S1204" i="15"/>
  <c r="S1156" i="15"/>
  <c r="S1210" i="15"/>
  <c r="S1084" i="15"/>
  <c r="S1076" i="15"/>
  <c r="S1152" i="15"/>
  <c r="S1124" i="15"/>
  <c r="S1250" i="15"/>
  <c r="S1144" i="15"/>
  <c r="S1100" i="15"/>
  <c r="S1108" i="15"/>
  <c r="S1096" i="15"/>
  <c r="S1092" i="15"/>
  <c r="S1080" i="15"/>
  <c r="S1114" i="15"/>
  <c r="S1200" i="15"/>
  <c r="S1104" i="15"/>
  <c r="S1102" i="15"/>
  <c r="S1086" i="15"/>
  <c r="S1110" i="15"/>
  <c r="S1118" i="15"/>
  <c r="S1130" i="15"/>
  <c r="S1150" i="15"/>
  <c r="S1206" i="15"/>
  <c r="S1226" i="15"/>
  <c r="S1238" i="15"/>
  <c r="S1088" i="15"/>
  <c r="S1090" i="15"/>
  <c r="S1122" i="15"/>
  <c r="S1160" i="15"/>
  <c r="S1220" i="15"/>
  <c r="S1258" i="15"/>
  <c r="S1132" i="15"/>
  <c r="S1154" i="15"/>
  <c r="S1094" i="15"/>
  <c r="S1116" i="15"/>
  <c r="S1212" i="15"/>
  <c r="S1224" i="15"/>
  <c r="S1202" i="15"/>
  <c r="S1146" i="15"/>
  <c r="S1252" i="15"/>
  <c r="S1268" i="15"/>
  <c r="S1078" i="15"/>
  <c r="S1134" i="15"/>
  <c r="S1106" i="15"/>
  <c r="S1098" i="15"/>
  <c r="S1112" i="15"/>
  <c r="S1138" i="15"/>
  <c r="S1254" i="15"/>
  <c r="S1126" i="15"/>
  <c r="S1162" i="15"/>
  <c r="S1194" i="15"/>
  <c r="S1240" i="15"/>
  <c r="S1158" i="15"/>
  <c r="S1198" i="15"/>
  <c r="S1082" i="15"/>
  <c r="S1222" i="15"/>
  <c r="S1270" i="15"/>
  <c r="S1236" i="15"/>
  <c r="S1142" i="15"/>
  <c r="S1256" i="15"/>
  <c r="S1208" i="15"/>
  <c r="C29" i="10" a="1"/>
  <c r="C29" i="10" s="1"/>
  <c r="T1289" i="15" l="1"/>
  <c r="T1291" i="15"/>
  <c r="T1283" i="15"/>
  <c r="T1285" i="15"/>
  <c r="T1287" i="15"/>
  <c r="G1180" i="15"/>
  <c r="D40" i="10"/>
  <c r="D41" i="10" s="1"/>
  <c r="D42" i="10" s="1"/>
  <c r="D32" i="10"/>
  <c r="G1170" i="15"/>
  <c r="G1154" i="15"/>
  <c r="G1144" i="15"/>
  <c r="T1275" i="15"/>
  <c r="T1281" i="15"/>
  <c r="T1277" i="15"/>
  <c r="G1277" i="15" s="1"/>
  <c r="T1279" i="15"/>
  <c r="G1279" i="15" s="1"/>
  <c r="T1273" i="15"/>
  <c r="G1084" i="15"/>
  <c r="T1218" i="15"/>
  <c r="T1264" i="15"/>
  <c r="T1262" i="15"/>
  <c r="T1246" i="15"/>
  <c r="T1214" i="15"/>
  <c r="T1258" i="15"/>
  <c r="T1242" i="15"/>
  <c r="T1232" i="15"/>
  <c r="T1228" i="15"/>
  <c r="T1260" i="15"/>
  <c r="T1208" i="15"/>
  <c r="T1204" i="15"/>
  <c r="T1194" i="15"/>
  <c r="T1230" i="15"/>
  <c r="T1248" i="15"/>
  <c r="T1216" i="15"/>
  <c r="T1210" i="15"/>
  <c r="T1224" i="15"/>
  <c r="T1254" i="15"/>
  <c r="T1240" i="15"/>
  <c r="T1250" i="15"/>
  <c r="T1198" i="15"/>
  <c r="T1192" i="15"/>
  <c r="T1196" i="15"/>
  <c r="T1244" i="15"/>
  <c r="T1238" i="15"/>
  <c r="T1268" i="15"/>
  <c r="T1234" i="15"/>
  <c r="T1266" i="15"/>
  <c r="T1222" i="15"/>
  <c r="T1270" i="15"/>
  <c r="T1236" i="15"/>
  <c r="T1252" i="15"/>
  <c r="T1226" i="15"/>
  <c r="T1202" i="15"/>
  <c r="T1256" i="15"/>
  <c r="T1212" i="15"/>
  <c r="T1206" i="15"/>
  <c r="T1220" i="15"/>
  <c r="T1200" i="15"/>
  <c r="C28" i="10" a="1"/>
  <c r="C28" i="10" s="1"/>
  <c r="G1281" i="15" l="1"/>
  <c r="AA2" i="3"/>
  <c r="AD2" i="3" s="1"/>
  <c r="D6" i="3"/>
  <c r="G6" i="3"/>
  <c r="J6" i="3"/>
  <c r="M6" i="3"/>
  <c r="P6" i="3"/>
  <c r="S6" i="3"/>
  <c r="V6" i="3"/>
  <c r="Y6" i="3"/>
  <c r="AB6" i="3"/>
  <c r="AE6" i="3"/>
  <c r="AH6" i="3"/>
  <c r="AL6" i="3"/>
  <c r="AN6" i="3"/>
  <c r="AP6" i="3"/>
  <c r="AR6" i="3"/>
  <c r="AT6" i="3"/>
  <c r="AV6" i="3"/>
  <c r="AX6" i="3"/>
  <c r="AZ6" i="3"/>
  <c r="BB6" i="3"/>
  <c r="BD6" i="3"/>
  <c r="BF6" i="3"/>
  <c r="BH6" i="3"/>
  <c r="BJ6" i="3"/>
  <c r="BL6" i="3"/>
  <c r="BN6" i="3"/>
  <c r="BP6" i="3"/>
  <c r="BR6" i="3"/>
  <c r="BT6" i="3"/>
  <c r="BV6" i="3"/>
  <c r="BX6" i="3"/>
  <c r="BZ6" i="3"/>
  <c r="CB6" i="3"/>
  <c r="CD6" i="3"/>
  <c r="CF6" i="3"/>
  <c r="CH6" i="3"/>
  <c r="CJ6" i="3"/>
  <c r="CL6" i="3"/>
  <c r="CN6" i="3"/>
  <c r="CP6" i="3"/>
  <c r="CR6" i="3"/>
  <c r="CT6" i="3"/>
  <c r="CV6" i="3"/>
  <c r="CX6" i="3"/>
  <c r="CZ6" i="3"/>
  <c r="DB6" i="3"/>
  <c r="DD6" i="3"/>
  <c r="DF6" i="3"/>
  <c r="DH6" i="3"/>
  <c r="DJ6" i="3"/>
  <c r="DL6" i="3"/>
  <c r="DN6" i="3"/>
  <c r="DP6" i="3"/>
  <c r="DR6" i="3"/>
  <c r="DT6" i="3"/>
  <c r="DV6" i="3"/>
  <c r="DX6" i="3"/>
  <c r="DZ6" i="3"/>
  <c r="EB6" i="3"/>
  <c r="ED6" i="3"/>
  <c r="EF6" i="3"/>
  <c r="EH6" i="3"/>
  <c r="EJ6" i="3"/>
  <c r="EL6" i="3"/>
  <c r="EN6" i="3"/>
  <c r="EP6" i="3"/>
  <c r="D7" i="3"/>
  <c r="G7" i="3"/>
  <c r="J7" i="3"/>
  <c r="M7" i="3"/>
  <c r="P7" i="3"/>
  <c r="S7" i="3"/>
  <c r="V7" i="3"/>
  <c r="Y7" i="3"/>
  <c r="AB7" i="3"/>
  <c r="AE7" i="3"/>
  <c r="AH7" i="3"/>
  <c r="AL7" i="3"/>
  <c r="AN7" i="3"/>
  <c r="AP7" i="3"/>
  <c r="AR7" i="3"/>
  <c r="AT7" i="3"/>
  <c r="AV7" i="3"/>
  <c r="AX7" i="3"/>
  <c r="AZ7" i="3"/>
  <c r="BB7" i="3"/>
  <c r="BD7" i="3"/>
  <c r="BF7" i="3"/>
  <c r="BH7" i="3"/>
  <c r="BJ7" i="3"/>
  <c r="BL7" i="3"/>
  <c r="BN7" i="3"/>
  <c r="BP7" i="3"/>
  <c r="BR7" i="3"/>
  <c r="BT7" i="3"/>
  <c r="BV7" i="3"/>
  <c r="BX7" i="3"/>
  <c r="BZ7" i="3"/>
  <c r="CB7" i="3"/>
  <c r="CD7" i="3"/>
  <c r="CF7" i="3"/>
  <c r="CH7" i="3"/>
  <c r="CJ7" i="3"/>
  <c r="CL7" i="3"/>
  <c r="CN7" i="3"/>
  <c r="CP7" i="3"/>
  <c r="CR7" i="3"/>
  <c r="CT7" i="3"/>
  <c r="CV7" i="3"/>
  <c r="CX7" i="3"/>
  <c r="CZ7" i="3"/>
  <c r="DB7" i="3"/>
  <c r="DD7" i="3"/>
  <c r="DF7" i="3"/>
  <c r="DH7" i="3"/>
  <c r="DJ7" i="3"/>
  <c r="DL7" i="3"/>
  <c r="DN7" i="3"/>
  <c r="DP7" i="3"/>
  <c r="DR7" i="3"/>
  <c r="DT7" i="3"/>
  <c r="DV7" i="3"/>
  <c r="DX7" i="3"/>
  <c r="DZ7" i="3"/>
  <c r="EB7" i="3"/>
  <c r="ED7" i="3"/>
  <c r="EF7" i="3"/>
  <c r="EH7" i="3"/>
  <c r="EJ7" i="3"/>
  <c r="EL7" i="3"/>
  <c r="EN7" i="3"/>
  <c r="EP7" i="3"/>
  <c r="D8" i="3"/>
  <c r="G8" i="3"/>
  <c r="J8" i="3"/>
  <c r="M8" i="3"/>
  <c r="P8" i="3"/>
  <c r="S8" i="3"/>
  <c r="V8" i="3"/>
  <c r="Y8" i="3"/>
  <c r="AB8" i="3"/>
  <c r="AE8" i="3"/>
  <c r="AH8" i="3"/>
  <c r="AL8" i="3"/>
  <c r="AN8" i="3"/>
  <c r="AP8" i="3"/>
  <c r="AR8" i="3"/>
  <c r="AT8" i="3"/>
  <c r="AV8" i="3"/>
  <c r="AX8" i="3"/>
  <c r="AZ8" i="3"/>
  <c r="BB8" i="3"/>
  <c r="BD8" i="3"/>
  <c r="BF8" i="3"/>
  <c r="BH8" i="3"/>
  <c r="BJ8" i="3"/>
  <c r="BL8" i="3"/>
  <c r="BN8" i="3"/>
  <c r="BP8" i="3"/>
  <c r="BR8" i="3"/>
  <c r="BT8" i="3"/>
  <c r="BV8" i="3"/>
  <c r="BX8" i="3"/>
  <c r="BZ8" i="3"/>
  <c r="CB8" i="3"/>
  <c r="CD8" i="3"/>
  <c r="CF8" i="3"/>
  <c r="CH8" i="3"/>
  <c r="CJ8" i="3"/>
  <c r="CL8" i="3"/>
  <c r="CN8" i="3"/>
  <c r="CP8" i="3"/>
  <c r="CR8" i="3"/>
  <c r="CT8" i="3"/>
  <c r="CV8" i="3"/>
  <c r="CX8" i="3"/>
  <c r="CZ8" i="3"/>
  <c r="DB8" i="3"/>
  <c r="DD8" i="3"/>
  <c r="DF8" i="3"/>
  <c r="DH8" i="3"/>
  <c r="DJ8" i="3"/>
  <c r="DL8" i="3"/>
  <c r="DN8" i="3"/>
  <c r="DP8" i="3"/>
  <c r="DR8" i="3"/>
  <c r="DT8" i="3"/>
  <c r="DV8" i="3"/>
  <c r="DX8" i="3"/>
  <c r="DZ8" i="3"/>
  <c r="EB8" i="3"/>
  <c r="ED8" i="3"/>
  <c r="EF8" i="3"/>
  <c r="EH8" i="3"/>
  <c r="EJ8" i="3"/>
  <c r="EL8" i="3"/>
  <c r="EN8" i="3"/>
  <c r="EP8" i="3"/>
  <c r="D9" i="3"/>
  <c r="G9" i="3"/>
  <c r="J9" i="3"/>
  <c r="M9" i="3"/>
  <c r="P9" i="3"/>
  <c r="S9" i="3"/>
  <c r="V9" i="3"/>
  <c r="Y9" i="3"/>
  <c r="AB9" i="3"/>
  <c r="AE9" i="3"/>
  <c r="AH9" i="3"/>
  <c r="AL9" i="3"/>
  <c r="AN9" i="3"/>
  <c r="AP9" i="3"/>
  <c r="AR9" i="3"/>
  <c r="AT9" i="3"/>
  <c r="AV9" i="3"/>
  <c r="AX9" i="3"/>
  <c r="AZ9" i="3"/>
  <c r="BB9" i="3"/>
  <c r="BD9" i="3"/>
  <c r="BF9" i="3"/>
  <c r="BH9" i="3"/>
  <c r="BJ9" i="3"/>
  <c r="BL9" i="3"/>
  <c r="BN9" i="3"/>
  <c r="BP9" i="3"/>
  <c r="BR9" i="3"/>
  <c r="BT9" i="3"/>
  <c r="BV9" i="3"/>
  <c r="BX9" i="3"/>
  <c r="BZ9" i="3"/>
  <c r="CB9" i="3"/>
  <c r="CD9" i="3"/>
  <c r="CF9" i="3"/>
  <c r="CH9" i="3"/>
  <c r="CJ9" i="3"/>
  <c r="CL9" i="3"/>
  <c r="CN9" i="3"/>
  <c r="CP9" i="3"/>
  <c r="CR9" i="3"/>
  <c r="CT9" i="3"/>
  <c r="CV9" i="3"/>
  <c r="CX9" i="3"/>
  <c r="CZ9" i="3"/>
  <c r="DB9" i="3"/>
  <c r="DD9" i="3"/>
  <c r="DF9" i="3"/>
  <c r="DH9" i="3"/>
  <c r="DJ9" i="3"/>
  <c r="DL9" i="3"/>
  <c r="DN9" i="3"/>
  <c r="DP9" i="3"/>
  <c r="DR9" i="3"/>
  <c r="DT9" i="3"/>
  <c r="DV9" i="3"/>
  <c r="DX9" i="3"/>
  <c r="DZ9" i="3"/>
  <c r="EB9" i="3"/>
  <c r="ED9" i="3"/>
  <c r="EF9" i="3"/>
  <c r="EH9" i="3"/>
  <c r="EJ9" i="3"/>
  <c r="EL9" i="3"/>
  <c r="EN9" i="3"/>
  <c r="EP9" i="3"/>
  <c r="DV10" i="3"/>
  <c r="DX10" i="3"/>
  <c r="DZ10" i="3"/>
  <c r="AT11" i="3"/>
  <c r="AV11" i="3"/>
  <c r="AX11" i="3"/>
  <c r="AZ11" i="3"/>
  <c r="BB11" i="3"/>
  <c r="BD11" i="3"/>
  <c r="BF11" i="3"/>
  <c r="BH11" i="3"/>
  <c r="BJ11" i="3"/>
  <c r="BL11" i="3"/>
  <c r="BN11" i="3"/>
  <c r="BP11" i="3"/>
  <c r="BR11" i="3"/>
  <c r="BT11" i="3"/>
  <c r="BV11" i="3"/>
  <c r="BX11" i="3"/>
  <c r="BZ11" i="3"/>
  <c r="CB11" i="3"/>
  <c r="CD11" i="3"/>
  <c r="CF11" i="3"/>
  <c r="CH11" i="3"/>
  <c r="CJ11" i="3"/>
  <c r="CL11" i="3"/>
  <c r="CN11" i="3"/>
  <c r="CP11" i="3"/>
  <c r="CR11" i="3"/>
  <c r="CT11" i="3"/>
  <c r="CV11" i="3"/>
  <c r="CX11" i="3"/>
  <c r="CZ11" i="3"/>
  <c r="DB11" i="3"/>
  <c r="DD11" i="3"/>
  <c r="DF11" i="3"/>
  <c r="DH11" i="3"/>
  <c r="DJ11" i="3"/>
  <c r="DL11" i="3"/>
  <c r="DN11" i="3"/>
  <c r="DP11" i="3"/>
  <c r="DR11" i="3"/>
  <c r="DT11" i="3"/>
  <c r="DV11" i="3"/>
  <c r="DX11" i="3"/>
  <c r="DZ11" i="3"/>
  <c r="EB11" i="3"/>
  <c r="ED11" i="3"/>
  <c r="EF11" i="3"/>
  <c r="EH11" i="3"/>
  <c r="EJ11" i="3"/>
  <c r="EL11" i="3"/>
  <c r="EN11" i="3"/>
  <c r="EP11" i="3"/>
  <c r="D14" i="3"/>
  <c r="G14" i="3"/>
  <c r="J14" i="3"/>
  <c r="M14" i="3"/>
  <c r="P14" i="3"/>
  <c r="S14" i="3"/>
  <c r="V14" i="3"/>
  <c r="Y14" i="3"/>
  <c r="AB14" i="3"/>
  <c r="AE14" i="3"/>
  <c r="AH14" i="3"/>
  <c r="AL14" i="3"/>
  <c r="AN14" i="3"/>
  <c r="AP14" i="3"/>
  <c r="AR14" i="3"/>
  <c r="AT14" i="3"/>
  <c r="AV14" i="3"/>
  <c r="AX14" i="3"/>
  <c r="AZ14" i="3"/>
  <c r="BB14" i="3"/>
  <c r="BD14" i="3"/>
  <c r="BF14" i="3"/>
  <c r="BH14" i="3"/>
  <c r="BJ14" i="3"/>
  <c r="BL14" i="3"/>
  <c r="BN14" i="3"/>
  <c r="BP14" i="3"/>
  <c r="BR14" i="3"/>
  <c r="BT14" i="3"/>
  <c r="BV14" i="3"/>
  <c r="BX14" i="3"/>
  <c r="BZ14" i="3"/>
  <c r="CB14" i="3"/>
  <c r="CD14" i="3"/>
  <c r="CF14" i="3"/>
  <c r="CH14" i="3"/>
  <c r="CJ14" i="3"/>
  <c r="CL14" i="3"/>
  <c r="CN14" i="3"/>
  <c r="CP14" i="3"/>
  <c r="CR14" i="3"/>
  <c r="CT14" i="3"/>
  <c r="CV14" i="3"/>
  <c r="CX14" i="3"/>
  <c r="CZ14" i="3"/>
  <c r="DB14" i="3"/>
  <c r="DD14" i="3"/>
  <c r="DF14" i="3"/>
  <c r="DH14" i="3"/>
  <c r="DJ14" i="3"/>
  <c r="DL14" i="3"/>
  <c r="DN14" i="3"/>
  <c r="DP14" i="3"/>
  <c r="DR14" i="3"/>
  <c r="DT14" i="3"/>
  <c r="DV14" i="3"/>
  <c r="DX14" i="3"/>
  <c r="DZ14" i="3"/>
  <c r="EB14" i="3"/>
  <c r="ED14" i="3"/>
  <c r="EF14" i="3"/>
  <c r="EH14" i="3"/>
  <c r="EJ14" i="3"/>
  <c r="EL14" i="3"/>
  <c r="EN14" i="3"/>
  <c r="EP14" i="3"/>
  <c r="D15" i="3"/>
  <c r="G15" i="3"/>
  <c r="J15" i="3"/>
  <c r="M15" i="3"/>
  <c r="P15" i="3"/>
  <c r="S15" i="3"/>
  <c r="V15" i="3"/>
  <c r="Y15" i="3"/>
  <c r="AB15" i="3"/>
  <c r="AE15" i="3"/>
  <c r="AH15" i="3"/>
  <c r="AL15" i="3"/>
  <c r="AN15" i="3"/>
  <c r="AP15" i="3"/>
  <c r="AR15" i="3"/>
  <c r="AT15" i="3"/>
  <c r="AV15" i="3"/>
  <c r="AX15" i="3"/>
  <c r="AZ15" i="3"/>
  <c r="BB15" i="3"/>
  <c r="BD15" i="3"/>
  <c r="BF15" i="3"/>
  <c r="BH15" i="3"/>
  <c r="BJ15" i="3"/>
  <c r="BL15" i="3"/>
  <c r="BN15" i="3"/>
  <c r="BP15" i="3"/>
  <c r="BR15" i="3"/>
  <c r="BT15" i="3"/>
  <c r="BV15" i="3"/>
  <c r="BX15" i="3"/>
  <c r="BZ15" i="3"/>
  <c r="CB15" i="3"/>
  <c r="CD15" i="3"/>
  <c r="CE15" i="3" s="1"/>
  <c r="CF15" i="3"/>
  <c r="CH15" i="3"/>
  <c r="CJ15" i="3"/>
  <c r="CL15" i="3"/>
  <c r="CN15" i="3"/>
  <c r="CP15" i="3"/>
  <c r="CR15" i="3"/>
  <c r="CT15" i="3"/>
  <c r="CV15" i="3"/>
  <c r="CX15" i="3"/>
  <c r="CZ15" i="3"/>
  <c r="DB15" i="3"/>
  <c r="DD15" i="3"/>
  <c r="DF15" i="3"/>
  <c r="DH15" i="3"/>
  <c r="DJ15" i="3"/>
  <c r="DL15" i="3"/>
  <c r="DN15" i="3"/>
  <c r="DP15" i="3"/>
  <c r="DR15" i="3"/>
  <c r="DT15" i="3"/>
  <c r="DV15" i="3"/>
  <c r="DX15" i="3"/>
  <c r="DZ15" i="3"/>
  <c r="EB15" i="3"/>
  <c r="ED15" i="3"/>
  <c r="EF15" i="3"/>
  <c r="EH15" i="3"/>
  <c r="EJ15" i="3"/>
  <c r="EL15" i="3"/>
  <c r="EN15" i="3"/>
  <c r="EP15" i="3"/>
  <c r="D16" i="3"/>
  <c r="G16" i="3"/>
  <c r="J16" i="3"/>
  <c r="M16" i="3"/>
  <c r="P16" i="3"/>
  <c r="S16" i="3"/>
  <c r="V16" i="3"/>
  <c r="Y16" i="3"/>
  <c r="AB16" i="3"/>
  <c r="AE16" i="3"/>
  <c r="AH16" i="3"/>
  <c r="AL16" i="3"/>
  <c r="AN16" i="3"/>
  <c r="AP16" i="3"/>
  <c r="AR16" i="3"/>
  <c r="AT16" i="3"/>
  <c r="AV16" i="3"/>
  <c r="AX16" i="3"/>
  <c r="AZ16" i="3"/>
  <c r="BB16" i="3"/>
  <c r="BD16" i="3"/>
  <c r="BF16" i="3"/>
  <c r="BH16" i="3"/>
  <c r="BJ16" i="3"/>
  <c r="BL16" i="3"/>
  <c r="BN16" i="3"/>
  <c r="BP16" i="3"/>
  <c r="BR16" i="3"/>
  <c r="BS16" i="3" s="1"/>
  <c r="BT16" i="3"/>
  <c r="BV16" i="3"/>
  <c r="BW16" i="3" s="1"/>
  <c r="BX16" i="3"/>
  <c r="BZ16" i="3"/>
  <c r="CB16" i="3"/>
  <c r="CD16" i="3"/>
  <c r="CF16" i="3"/>
  <c r="CH16" i="3"/>
  <c r="CJ16" i="3"/>
  <c r="CL16" i="3"/>
  <c r="CN16" i="3"/>
  <c r="CP16" i="3"/>
  <c r="CR16" i="3"/>
  <c r="CT16" i="3"/>
  <c r="CV16" i="3"/>
  <c r="CX16" i="3"/>
  <c r="CZ16" i="3"/>
  <c r="DB16" i="3"/>
  <c r="DD16" i="3"/>
  <c r="DF16" i="3"/>
  <c r="DH16" i="3"/>
  <c r="DJ16" i="3"/>
  <c r="DL16" i="3"/>
  <c r="DN16" i="3"/>
  <c r="DP16" i="3"/>
  <c r="DR16" i="3"/>
  <c r="DT16" i="3"/>
  <c r="DV16" i="3"/>
  <c r="DX16" i="3"/>
  <c r="DZ16" i="3"/>
  <c r="EB16" i="3"/>
  <c r="ED16" i="3"/>
  <c r="EF16" i="3"/>
  <c r="EH16" i="3"/>
  <c r="EJ16" i="3"/>
  <c r="EL16" i="3"/>
  <c r="EN16" i="3"/>
  <c r="EP16" i="3"/>
  <c r="BJ18" i="3"/>
  <c r="BL18" i="3"/>
  <c r="BN18" i="3"/>
  <c r="BP18" i="3"/>
  <c r="BR18" i="3"/>
  <c r="BT18" i="3"/>
  <c r="BV18" i="3"/>
  <c r="BX18" i="3"/>
  <c r="BZ18" i="3"/>
  <c r="CB18" i="3"/>
  <c r="CD18" i="3"/>
  <c r="CF18" i="3"/>
  <c r="CH18" i="3"/>
  <c r="CJ18" i="3"/>
  <c r="CL18" i="3"/>
  <c r="CN18" i="3"/>
  <c r="CP18" i="3"/>
  <c r="CR18" i="3"/>
  <c r="CT18" i="3"/>
  <c r="CV18" i="3"/>
  <c r="CX18" i="3"/>
  <c r="CZ18" i="3"/>
  <c r="DB18" i="3"/>
  <c r="DD18" i="3"/>
  <c r="DF18" i="3"/>
  <c r="DH18" i="3"/>
  <c r="DJ18" i="3"/>
  <c r="DL18" i="3"/>
  <c r="DN18" i="3"/>
  <c r="DP18" i="3"/>
  <c r="DR18" i="3"/>
  <c r="DT18" i="3"/>
  <c r="DV18" i="3"/>
  <c r="DX18" i="3"/>
  <c r="DZ18" i="3"/>
  <c r="EB18" i="3"/>
  <c r="ED18" i="3"/>
  <c r="EF18" i="3"/>
  <c r="EH18" i="3"/>
  <c r="EJ18" i="3"/>
  <c r="EL18" i="3"/>
  <c r="EN18" i="3"/>
  <c r="EP18" i="3"/>
  <c r="D20" i="3"/>
  <c r="G20" i="3"/>
  <c r="J20" i="3"/>
  <c r="M20" i="3"/>
  <c r="P20" i="3"/>
  <c r="S20" i="3"/>
  <c r="V20" i="3"/>
  <c r="Y20" i="3"/>
  <c r="AB20" i="3"/>
  <c r="AE20" i="3"/>
  <c r="AH20" i="3"/>
  <c r="AL20" i="3"/>
  <c r="AN20" i="3"/>
  <c r="AP20" i="3"/>
  <c r="AR20" i="3"/>
  <c r="AT20" i="3"/>
  <c r="AV20" i="3"/>
  <c r="AX20" i="3"/>
  <c r="AZ20" i="3"/>
  <c r="BB20" i="3"/>
  <c r="BD20" i="3"/>
  <c r="BF20" i="3"/>
  <c r="BH20" i="3"/>
  <c r="BJ20" i="3"/>
  <c r="D21" i="3"/>
  <c r="G21" i="3"/>
  <c r="J21" i="3"/>
  <c r="M21" i="3"/>
  <c r="P21" i="3"/>
  <c r="S21" i="3"/>
  <c r="V21" i="3"/>
  <c r="Y21" i="3"/>
  <c r="AB21" i="3"/>
  <c r="AE21" i="3"/>
  <c r="AH21" i="3"/>
  <c r="AL21" i="3"/>
  <c r="AN21" i="3"/>
  <c r="AP21" i="3"/>
  <c r="AR21" i="3"/>
  <c r="AT21" i="3"/>
  <c r="AV21" i="3"/>
  <c r="AX21" i="3"/>
  <c r="AZ21" i="3"/>
  <c r="BB21" i="3"/>
  <c r="BD21" i="3"/>
  <c r="BF21" i="3"/>
  <c r="BH21" i="3"/>
  <c r="BJ21" i="3"/>
  <c r="BL21" i="3"/>
  <c r="BN21" i="3"/>
  <c r="BP21" i="3"/>
  <c r="BR21" i="3"/>
  <c r="BT21" i="3"/>
  <c r="BV21" i="3"/>
  <c r="BX21" i="3"/>
  <c r="BZ21" i="3"/>
  <c r="CB21" i="3"/>
  <c r="CD21" i="3"/>
  <c r="CF21" i="3"/>
  <c r="CH21" i="3"/>
  <c r="CJ21" i="3"/>
  <c r="CL21" i="3"/>
  <c r="CN21" i="3"/>
  <c r="CP21" i="3"/>
  <c r="CR21" i="3"/>
  <c r="CT21" i="3"/>
  <c r="CV21" i="3"/>
  <c r="CX21" i="3"/>
  <c r="CZ21" i="3"/>
  <c r="DB21" i="3"/>
  <c r="DD21" i="3"/>
  <c r="DF21" i="3"/>
  <c r="DH21" i="3"/>
  <c r="DJ21" i="3"/>
  <c r="DL21" i="3"/>
  <c r="DN21" i="3"/>
  <c r="DP21" i="3"/>
  <c r="DR21" i="3"/>
  <c r="DT21" i="3"/>
  <c r="DV21" i="3"/>
  <c r="DX21" i="3"/>
  <c r="DZ21" i="3"/>
  <c r="EB21" i="3"/>
  <c r="ED21" i="3"/>
  <c r="EF21" i="3"/>
  <c r="EH21" i="3"/>
  <c r="EJ21" i="3"/>
  <c r="EL21" i="3"/>
  <c r="EN21" i="3"/>
  <c r="EP21" i="3"/>
  <c r="D22" i="3"/>
  <c r="G22" i="3"/>
  <c r="J22" i="3"/>
  <c r="M22" i="3"/>
  <c r="P22" i="3"/>
  <c r="S22" i="3"/>
  <c r="V22" i="3"/>
  <c r="Y22" i="3"/>
  <c r="AB22" i="3"/>
  <c r="AE22" i="3"/>
  <c r="AH22" i="3"/>
  <c r="AL22" i="3"/>
  <c r="AN22" i="3"/>
  <c r="AP22" i="3"/>
  <c r="AR22" i="3"/>
  <c r="AT22" i="3"/>
  <c r="AV22" i="3"/>
  <c r="AX22" i="3"/>
  <c r="AZ22" i="3"/>
  <c r="BB22" i="3"/>
  <c r="BD22" i="3"/>
  <c r="BF22" i="3"/>
  <c r="BH22" i="3"/>
  <c r="BJ22" i="3"/>
  <c r="BL22" i="3"/>
  <c r="BN22" i="3"/>
  <c r="BP22" i="3"/>
  <c r="BR22" i="3"/>
  <c r="BT22" i="3"/>
  <c r="BV22" i="3"/>
  <c r="BX22" i="3"/>
  <c r="BZ22" i="3"/>
  <c r="CB22" i="3"/>
  <c r="CD22" i="3"/>
  <c r="CF22" i="3"/>
  <c r="CH22" i="3"/>
  <c r="CJ22" i="3"/>
  <c r="CL22" i="3"/>
  <c r="CN22" i="3"/>
  <c r="CP22" i="3"/>
  <c r="CR22" i="3"/>
  <c r="CT22" i="3"/>
  <c r="CV22" i="3"/>
  <c r="CX22" i="3"/>
  <c r="CZ22" i="3"/>
  <c r="DB22" i="3"/>
  <c r="DD22" i="3"/>
  <c r="DF22" i="3"/>
  <c r="DH22" i="3"/>
  <c r="DJ22" i="3"/>
  <c r="DL22" i="3"/>
  <c r="DN22" i="3"/>
  <c r="DP22" i="3"/>
  <c r="DR22" i="3"/>
  <c r="DT22" i="3"/>
  <c r="DV22" i="3"/>
  <c r="DX22" i="3"/>
  <c r="DZ22" i="3"/>
  <c r="EB22" i="3"/>
  <c r="ED22" i="3"/>
  <c r="EF22" i="3"/>
  <c r="EH22" i="3"/>
  <c r="EJ22" i="3"/>
  <c r="EL22" i="3"/>
  <c r="EN22" i="3"/>
  <c r="EP22" i="3"/>
  <c r="AT23" i="3"/>
  <c r="AV23" i="3"/>
  <c r="AX23" i="3"/>
  <c r="AZ23" i="3"/>
  <c r="BB23" i="3"/>
  <c r="BD23" i="3"/>
  <c r="BF23" i="3"/>
  <c r="BH23" i="3"/>
  <c r="BJ23" i="3"/>
  <c r="BL23" i="3"/>
  <c r="BN23" i="3"/>
  <c r="BP23" i="3"/>
  <c r="BR23" i="3"/>
  <c r="BT23" i="3"/>
  <c r="BV23" i="3"/>
  <c r="BX23" i="3"/>
  <c r="BZ23" i="3"/>
  <c r="CB23" i="3"/>
  <c r="CD23" i="3"/>
  <c r="CF23" i="3"/>
  <c r="CH23" i="3"/>
  <c r="CJ23" i="3"/>
  <c r="CL23" i="3"/>
  <c r="CN23" i="3"/>
  <c r="CP23" i="3"/>
  <c r="CR23" i="3"/>
  <c r="CT23" i="3"/>
  <c r="CV23" i="3"/>
  <c r="CX23" i="3"/>
  <c r="CZ23" i="3"/>
  <c r="DB23" i="3"/>
  <c r="DD23" i="3"/>
  <c r="DF23" i="3"/>
  <c r="DH23" i="3"/>
  <c r="DJ23" i="3"/>
  <c r="DL23" i="3"/>
  <c r="DN23" i="3"/>
  <c r="DP23" i="3"/>
  <c r="DR23" i="3"/>
  <c r="DT23" i="3"/>
  <c r="DV23" i="3"/>
  <c r="DX23" i="3"/>
  <c r="DZ23" i="3"/>
  <c r="EB23" i="3"/>
  <c r="ED23" i="3"/>
  <c r="EF23" i="3"/>
  <c r="EH23" i="3"/>
  <c r="EJ23" i="3"/>
  <c r="EL23" i="3"/>
  <c r="EN23" i="3"/>
  <c r="EP23" i="3"/>
  <c r="AT24" i="3"/>
  <c r="AU24" i="3" s="1"/>
  <c r="AV24" i="3"/>
  <c r="AX24" i="3"/>
  <c r="AY24" i="3" s="1"/>
  <c r="AZ24" i="3"/>
  <c r="BB24" i="3"/>
  <c r="BD24" i="3"/>
  <c r="BF24" i="3"/>
  <c r="BH24" i="3"/>
  <c r="BJ24" i="3"/>
  <c r="BL24" i="3"/>
  <c r="BN24" i="3"/>
  <c r="BO24" i="3" s="1"/>
  <c r="BP24" i="3"/>
  <c r="BR24" i="3"/>
  <c r="BT24" i="3"/>
  <c r="BV24" i="3"/>
  <c r="BX24" i="3"/>
  <c r="BZ24" i="3"/>
  <c r="CB24" i="3"/>
  <c r="CD24" i="3"/>
  <c r="CE24" i="3" s="1"/>
  <c r="CF24" i="3"/>
  <c r="CH24" i="3"/>
  <c r="CJ24" i="3"/>
  <c r="CL24" i="3"/>
  <c r="CN24" i="3"/>
  <c r="CP24" i="3"/>
  <c r="CR24" i="3"/>
  <c r="CT24" i="3"/>
  <c r="CU24" i="3" s="1"/>
  <c r="CV24" i="3"/>
  <c r="CX24" i="3"/>
  <c r="CZ24" i="3"/>
  <c r="DB24" i="3"/>
  <c r="DD24" i="3"/>
  <c r="DF24" i="3"/>
  <c r="DG24" i="3" s="1"/>
  <c r="DH24" i="3"/>
  <c r="DJ24" i="3"/>
  <c r="DK24" i="3" s="1"/>
  <c r="DL24" i="3"/>
  <c r="DN24" i="3"/>
  <c r="DP24" i="3"/>
  <c r="DR24" i="3"/>
  <c r="DT24" i="3"/>
  <c r="DV24" i="3"/>
  <c r="DX24" i="3"/>
  <c r="DZ24" i="3"/>
  <c r="EA24" i="3" s="1"/>
  <c r="EB24" i="3"/>
  <c r="ED24" i="3"/>
  <c r="EF24" i="3"/>
  <c r="EH24" i="3"/>
  <c r="EJ24" i="3"/>
  <c r="EL24" i="3"/>
  <c r="EN24" i="3"/>
  <c r="EP24" i="3"/>
  <c r="ED25" i="3"/>
  <c r="AT26" i="3"/>
  <c r="AV26" i="3"/>
  <c r="AX26" i="3"/>
  <c r="AZ26" i="3"/>
  <c r="BB26" i="3"/>
  <c r="BD26" i="3"/>
  <c r="BF26" i="3"/>
  <c r="BH26" i="3"/>
  <c r="BJ26" i="3"/>
  <c r="BL26" i="3"/>
  <c r="BN26" i="3"/>
  <c r="BP26" i="3"/>
  <c r="BR26" i="3"/>
  <c r="BT26" i="3"/>
  <c r="BV26" i="3"/>
  <c r="BX26" i="3"/>
  <c r="BZ26" i="3"/>
  <c r="CB26" i="3"/>
  <c r="CD26" i="3"/>
  <c r="CF26" i="3"/>
  <c r="CH26" i="3"/>
  <c r="CJ26" i="3"/>
  <c r="CL26" i="3"/>
  <c r="CN26" i="3"/>
  <c r="CP26" i="3"/>
  <c r="CR26" i="3"/>
  <c r="CT26" i="3"/>
  <c r="CV26" i="3"/>
  <c r="CX26" i="3"/>
  <c r="CZ26" i="3"/>
  <c r="DB26" i="3"/>
  <c r="DD26" i="3"/>
  <c r="DF26" i="3"/>
  <c r="DH26" i="3"/>
  <c r="DJ26" i="3"/>
  <c r="DL26" i="3"/>
  <c r="DN26" i="3"/>
  <c r="DP26" i="3"/>
  <c r="DR26" i="3"/>
  <c r="DT26" i="3"/>
  <c r="DV26" i="3"/>
  <c r="DX26" i="3"/>
  <c r="DZ26" i="3"/>
  <c r="EB26" i="3"/>
  <c r="ED26" i="3"/>
  <c r="EF26" i="3"/>
  <c r="EH26" i="3"/>
  <c r="EJ26" i="3"/>
  <c r="EL26" i="3"/>
  <c r="EN26" i="3"/>
  <c r="EP26" i="3"/>
  <c r="AT27" i="3"/>
  <c r="AV27" i="3"/>
  <c r="AX27" i="3"/>
  <c r="AZ27" i="3"/>
  <c r="BB27" i="3"/>
  <c r="BD27" i="3"/>
  <c r="BF27" i="3"/>
  <c r="BH27" i="3"/>
  <c r="BJ27" i="3"/>
  <c r="BL27" i="3"/>
  <c r="BN27" i="3"/>
  <c r="BP27" i="3"/>
  <c r="BR27" i="3"/>
  <c r="BT27" i="3"/>
  <c r="BV27" i="3"/>
  <c r="BX27" i="3"/>
  <c r="BZ27" i="3"/>
  <c r="CB27" i="3"/>
  <c r="CD27" i="3"/>
  <c r="CF27" i="3"/>
  <c r="CH27" i="3"/>
  <c r="CJ27" i="3"/>
  <c r="CL27" i="3"/>
  <c r="CN27" i="3"/>
  <c r="CP27" i="3"/>
  <c r="CR27" i="3"/>
  <c r="CT27" i="3"/>
  <c r="CV27" i="3"/>
  <c r="CX27" i="3"/>
  <c r="CZ27" i="3"/>
  <c r="DB27" i="3"/>
  <c r="DD27" i="3"/>
  <c r="DF27" i="3"/>
  <c r="DH27" i="3"/>
  <c r="DJ27" i="3"/>
  <c r="DL27" i="3"/>
  <c r="DN27" i="3"/>
  <c r="DP27" i="3"/>
  <c r="DR27" i="3"/>
  <c r="DT27" i="3"/>
  <c r="DV27" i="3"/>
  <c r="DX27" i="3"/>
  <c r="DZ27" i="3"/>
  <c r="EB27" i="3"/>
  <c r="ED27" i="3"/>
  <c r="EF27" i="3"/>
  <c r="EH27" i="3"/>
  <c r="EJ27" i="3"/>
  <c r="EL27" i="3"/>
  <c r="EN27" i="3"/>
  <c r="EP27" i="3"/>
  <c r="D29" i="3"/>
  <c r="G29" i="3"/>
  <c r="J29" i="3"/>
  <c r="M29" i="3"/>
  <c r="P29" i="3"/>
  <c r="S29" i="3"/>
  <c r="V29" i="3"/>
  <c r="Y29" i="3"/>
  <c r="AB29" i="3"/>
  <c r="AE29" i="3"/>
  <c r="AH29" i="3"/>
  <c r="AL29" i="3"/>
  <c r="AN29" i="3"/>
  <c r="AP29" i="3"/>
  <c r="AR29" i="3"/>
  <c r="AT29" i="3"/>
  <c r="AU29" i="3" s="1"/>
  <c r="AV29" i="3"/>
  <c r="AX29" i="3"/>
  <c r="AZ29" i="3"/>
  <c r="BB29" i="3"/>
  <c r="BD29" i="3"/>
  <c r="BF29" i="3"/>
  <c r="BH29" i="3"/>
  <c r="BJ29" i="3"/>
  <c r="BK29" i="3" s="1"/>
  <c r="BL29" i="3"/>
  <c r="BN29" i="3"/>
  <c r="BP29" i="3"/>
  <c r="BR29" i="3"/>
  <c r="BT29" i="3"/>
  <c r="BV29" i="3"/>
  <c r="BX29" i="3"/>
  <c r="BZ29" i="3"/>
  <c r="CA29" i="3" s="1"/>
  <c r="CB29" i="3"/>
  <c r="CD29" i="3"/>
  <c r="CE29" i="3" s="1"/>
  <c r="CF29" i="3"/>
  <c r="CH29" i="3"/>
  <c r="CJ29" i="3"/>
  <c r="CL29" i="3"/>
  <c r="CN29" i="3"/>
  <c r="CP29" i="3"/>
  <c r="CR29" i="3"/>
  <c r="CT29" i="3"/>
  <c r="CV29" i="3"/>
  <c r="CX29" i="3"/>
  <c r="CZ29" i="3"/>
  <c r="DB29" i="3"/>
  <c r="DD29" i="3"/>
  <c r="DF29" i="3"/>
  <c r="DG29" i="3" s="1"/>
  <c r="DH29" i="3"/>
  <c r="DJ29" i="3"/>
  <c r="DK29" i="3" s="1"/>
  <c r="DL29" i="3"/>
  <c r="DN29" i="3"/>
  <c r="DP29" i="3"/>
  <c r="DR29" i="3"/>
  <c r="DT29" i="3"/>
  <c r="DV29" i="3"/>
  <c r="DX29" i="3"/>
  <c r="DZ29" i="3"/>
  <c r="EB29" i="3"/>
  <c r="ED29" i="3"/>
  <c r="EF29" i="3"/>
  <c r="EH29" i="3"/>
  <c r="EI29" i="3" s="1"/>
  <c r="EJ29" i="3"/>
  <c r="EL29" i="3"/>
  <c r="EN29" i="3"/>
  <c r="EP29" i="3"/>
  <c r="EQ29" i="3" s="1"/>
  <c r="X46" i="3"/>
  <c r="Y49" i="3"/>
  <c r="AE49" i="3"/>
  <c r="Y50" i="3"/>
  <c r="AE50" i="3"/>
  <c r="W16" i="3" l="1"/>
  <c r="CQ29" i="3"/>
  <c r="DG15" i="3"/>
  <c r="DS24" i="3"/>
  <c r="BC16" i="3"/>
  <c r="EI16" i="3"/>
  <c r="EM16" i="3"/>
  <c r="EQ24" i="3"/>
  <c r="DO24" i="3"/>
  <c r="BC24" i="3"/>
  <c r="CU16" i="3"/>
  <c r="AM15" i="3"/>
  <c r="DS29" i="3"/>
  <c r="DC29" i="3"/>
  <c r="BW29" i="3"/>
  <c r="BG29" i="3"/>
  <c r="AU16" i="3"/>
  <c r="DW16" i="3"/>
  <c r="DG16" i="3"/>
  <c r="CQ16" i="3"/>
  <c r="CA16" i="3"/>
  <c r="BK16" i="3"/>
  <c r="Z16" i="3"/>
  <c r="EQ15" i="3"/>
  <c r="EA15" i="3"/>
  <c r="DK15" i="3"/>
  <c r="CU15" i="3"/>
  <c r="DO29" i="3"/>
  <c r="CI29" i="3"/>
  <c r="BC29" i="3"/>
  <c r="BO15" i="3"/>
  <c r="AY15" i="3"/>
  <c r="CI14" i="3"/>
  <c r="BS14" i="3"/>
  <c r="BC14" i="3"/>
  <c r="AM14" i="3"/>
  <c r="N14" i="3"/>
  <c r="N16" i="3"/>
  <c r="EE29" i="3"/>
  <c r="CY29" i="3"/>
  <c r="BS29" i="3"/>
  <c r="AC15" i="3"/>
  <c r="DC24" i="3"/>
  <c r="BW24" i="3"/>
  <c r="BG24" i="3"/>
  <c r="CA14" i="3"/>
  <c r="BK14" i="3"/>
  <c r="AU14" i="3"/>
  <c r="Z14" i="3"/>
  <c r="CM24" i="3"/>
  <c r="EM29" i="3"/>
  <c r="DW29" i="3"/>
  <c r="EE16" i="3"/>
  <c r="DO16" i="3"/>
  <c r="CY16" i="3"/>
  <c r="CI16" i="3"/>
  <c r="AF15" i="3"/>
  <c r="H15" i="3"/>
  <c r="EE14" i="3"/>
  <c r="DO14" i="3"/>
  <c r="CY14" i="3"/>
  <c r="AI16" i="3"/>
  <c r="EI15" i="3"/>
  <c r="DS15" i="3"/>
  <c r="DC15" i="3"/>
  <c r="CM15" i="3"/>
  <c r="AM16" i="3"/>
  <c r="EI24" i="3"/>
  <c r="BW15" i="3"/>
  <c r="BG15" i="3"/>
  <c r="AQ15" i="3"/>
  <c r="T15" i="3"/>
  <c r="EM14" i="3"/>
  <c r="DW14" i="3"/>
  <c r="DG14" i="3"/>
  <c r="CQ14" i="3"/>
  <c r="AC16" i="3"/>
  <c r="AI15" i="3"/>
  <c r="K15" i="3"/>
  <c r="CA24" i="3"/>
  <c r="AY29" i="3"/>
  <c r="Z15" i="3"/>
  <c r="Q14" i="3"/>
  <c r="CU14" i="3"/>
  <c r="E16" i="3"/>
  <c r="AF14" i="3"/>
  <c r="CI24" i="3"/>
  <c r="CI15" i="3"/>
  <c r="T14" i="3"/>
  <c r="K16" i="3"/>
  <c r="DC16" i="3"/>
  <c r="AQ16" i="3"/>
  <c r="EA14" i="3"/>
  <c r="BO14" i="3"/>
  <c r="H14" i="3"/>
  <c r="BK24" i="3"/>
  <c r="BK15" i="3"/>
  <c r="Q15" i="3"/>
  <c r="BC15" i="3"/>
  <c r="EA29" i="3"/>
  <c r="CM29" i="3"/>
  <c r="BO29" i="3"/>
  <c r="DW24" i="3"/>
  <c r="EM15" i="3"/>
  <c r="CY15" i="3"/>
  <c r="CA15" i="3"/>
  <c r="EM24" i="3"/>
  <c r="W14" i="3"/>
  <c r="DO15" i="3"/>
  <c r="DK16" i="3"/>
  <c r="CM16" i="3"/>
  <c r="AY16" i="3"/>
  <c r="DW15" i="3"/>
  <c r="AU15" i="3"/>
  <c r="EI14" i="3"/>
  <c r="DK14" i="3"/>
  <c r="BW14" i="3"/>
  <c r="AY14" i="3"/>
  <c r="AI14" i="3"/>
  <c r="Q16" i="3"/>
  <c r="AC14" i="3"/>
  <c r="E14" i="3"/>
  <c r="CU29" i="3"/>
  <c r="CQ24" i="3"/>
  <c r="T16" i="3"/>
  <c r="CQ15" i="3"/>
  <c r="E15" i="3"/>
  <c r="DS16" i="3"/>
  <c r="BG16" i="3"/>
  <c r="EQ14" i="3"/>
  <c r="CE14" i="3"/>
  <c r="K14" i="3"/>
  <c r="H16" i="3"/>
  <c r="EE24" i="3"/>
  <c r="BS24" i="3"/>
  <c r="N15" i="3"/>
  <c r="CM14" i="3"/>
  <c r="AD46" i="3"/>
  <c r="AG2" i="3"/>
  <c r="EQ16" i="3"/>
  <c r="CE16" i="3"/>
  <c r="AF16" i="3"/>
  <c r="EE15" i="3"/>
  <c r="BS15" i="3"/>
  <c r="CY24" i="3"/>
  <c r="W15" i="3"/>
  <c r="DS14" i="3"/>
  <c r="BG14" i="3"/>
  <c r="EA16" i="3"/>
  <c r="BO16" i="3"/>
  <c r="DC14" i="3"/>
  <c r="AQ14" i="3"/>
  <c r="B2" i="15" l="1"/>
  <c r="B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932F2F64-15CF-49A1-85BB-D46D2B90B4B1}">
      <text>
        <r>
          <rPr>
            <b/>
            <sz val="9"/>
            <color indexed="81"/>
            <rFont val="Tahoma"/>
            <family val="2"/>
          </rPr>
          <t>Author:</t>
        </r>
        <r>
          <rPr>
            <sz val="9"/>
            <color indexed="81"/>
            <rFont val="Tahoma"/>
            <family val="2"/>
          </rPr>
          <t xml:space="preserve">
INPUT 1: Billing Period Start Date
Customer billing periods typically straddle months. It is common for billing period dates to include dates from months prior to the billing month.
Please use the INPUT 1 link to the left for assistance locating this information on your bill.</t>
        </r>
      </text>
    </comment>
    <comment ref="B12" authorId="0" shapeId="0" xr:uid="{6C9B262A-F8F8-4757-9EBA-245281C50F95}">
      <text>
        <r>
          <rPr>
            <b/>
            <sz val="9"/>
            <color indexed="81"/>
            <rFont val="Tahoma"/>
            <family val="2"/>
          </rPr>
          <t>Author:</t>
        </r>
        <r>
          <rPr>
            <sz val="9"/>
            <color indexed="81"/>
            <rFont val="Tahoma"/>
            <family val="2"/>
          </rPr>
          <t xml:space="preserve">
INPUT 2: Billing Period Start Date
Customer billing periods typically straddle months. It is common for billing period dates to include dates from months prior to the billing month.
Please use the INPUT 2 link to the left for assistance locating this information on your bill.</t>
        </r>
      </text>
    </comment>
    <comment ref="B17" authorId="0" shapeId="0" xr:uid="{79E6C4D4-A27B-4BEF-9C4F-EA0620A810E4}">
      <text>
        <r>
          <rPr>
            <b/>
            <sz val="9"/>
            <color indexed="81"/>
            <rFont val="Tahoma"/>
            <family val="2"/>
          </rPr>
          <t>Author:</t>
        </r>
        <r>
          <rPr>
            <sz val="9"/>
            <color indexed="81"/>
            <rFont val="Tahoma"/>
            <family val="2"/>
          </rPr>
          <t xml:space="preserve">
INPUT 3: Rate code
This is applicable to all customers. 
Please use the INPUT 3 link to the left for assistance locating this information on your bill.</t>
        </r>
      </text>
    </comment>
    <comment ref="B18" authorId="0" shapeId="0" xr:uid="{26B48E83-87C7-46B4-A9A7-702F7B89BCA4}">
      <text>
        <r>
          <rPr>
            <b/>
            <sz val="9"/>
            <color indexed="81"/>
            <rFont val="Tahoma"/>
            <family val="2"/>
          </rPr>
          <t>Author:</t>
        </r>
        <r>
          <rPr>
            <sz val="9"/>
            <color indexed="81"/>
            <rFont val="Tahoma"/>
            <family val="2"/>
          </rPr>
          <t xml:space="preserve">
INPUT 4: Green Power Initiative enrollment status
This is applicable to all customers. 
Please use the INPUT 4 link to the left for assistance locating this information on your bill.
Note: if you do not see reference to a Green Power adjustment on your bill, you are not enrolled in the Green Power Initiative.</t>
        </r>
      </text>
    </comment>
    <comment ref="B19" authorId="0" shapeId="0" xr:uid="{E601D181-834D-47B2-8598-259CC62A363E}">
      <text>
        <r>
          <rPr>
            <b/>
            <sz val="9"/>
            <color indexed="81"/>
            <rFont val="Tahoma"/>
            <family val="2"/>
          </rPr>
          <t>Author:</t>
        </r>
        <r>
          <rPr>
            <sz val="9"/>
            <color indexed="81"/>
            <rFont val="Tahoma"/>
            <family val="2"/>
          </rPr>
          <t xml:space="preserve">
INPUT 5: Energy usage
This is applicable to all customers. 
Please use the INPUT 5 link to the left for assistance locating this information on your bill.</t>
        </r>
      </text>
    </comment>
    <comment ref="B20" authorId="0" shapeId="0" xr:uid="{06B01515-2786-4E18-A74E-2E795089926C}">
      <text>
        <r>
          <rPr>
            <b/>
            <sz val="9"/>
            <color indexed="81"/>
            <rFont val="Tahoma"/>
            <family val="2"/>
          </rPr>
          <t>Author:</t>
        </r>
        <r>
          <rPr>
            <sz val="9"/>
            <color indexed="81"/>
            <rFont val="Tahoma"/>
            <family val="2"/>
          </rPr>
          <t xml:space="preserve">
INPUT 6: DSM opt-out status
This is only applicable to commercial and industrial customers. This is not applicable to residential customers.
Please use the INPUT 6 link to the left for assistance locating this information on your bill.</t>
        </r>
      </text>
    </comment>
    <comment ref="B21" authorId="0" shapeId="0" xr:uid="{4CE8F901-3203-41FC-879C-FD48237445B7}">
      <text>
        <r>
          <rPr>
            <b/>
            <sz val="9"/>
            <color indexed="81"/>
            <rFont val="Tahoma"/>
            <family val="2"/>
          </rPr>
          <t>Author:</t>
        </r>
        <r>
          <rPr>
            <sz val="9"/>
            <color indexed="81"/>
            <rFont val="Tahoma"/>
            <family val="2"/>
          </rPr>
          <t xml:space="preserve">
INPUT 7: Demand amount
This is only applicable to large commercial and industrial customers. This is not applicable to residential or small commercial and industrial customers.
Please use the INPUT 7 link to the left for assistance locating this information on your bill.</t>
        </r>
      </text>
    </comment>
    <comment ref="B22" authorId="0" shapeId="0" xr:uid="{C5C8B1AB-5B99-4B22-9758-641FC291CA04}">
      <text>
        <r>
          <rPr>
            <b/>
            <sz val="9"/>
            <color indexed="81"/>
            <rFont val="Tahoma"/>
            <family val="2"/>
          </rPr>
          <t>Author:</t>
        </r>
        <r>
          <rPr>
            <sz val="9"/>
            <color indexed="81"/>
            <rFont val="Tahoma"/>
            <family val="2"/>
          </rPr>
          <t xml:space="preserve">
INPUT 8: Power factor
This is only applicable to large commercial and industrial customers. This is not applicable to small commercial and industrial customers or residential customers.
Please use the INPUT 8 link to the left for assistance locating this information on your bill.</t>
        </r>
      </text>
    </comment>
    <comment ref="B23" authorId="0" shapeId="0" xr:uid="{B66614AA-0F88-407C-900F-E6A502396C0F}">
      <text>
        <r>
          <rPr>
            <b/>
            <sz val="9"/>
            <color indexed="81"/>
            <rFont val="Tahoma"/>
            <family val="2"/>
          </rPr>
          <t>Author:</t>
        </r>
        <r>
          <rPr>
            <sz val="9"/>
            <color indexed="81"/>
            <rFont val="Tahoma"/>
            <family val="2"/>
          </rPr>
          <t xml:space="preserve">
INPUT 9: Connected lighting load
This is only applicable to services rendered under Rate SE. This is not applicable to other commercial and industrial or residential rates.
Please use the INPUT 7 link to the left for assistance locating this information on your bill.</t>
        </r>
      </text>
    </comment>
    <comment ref="A27" authorId="0" shapeId="0" xr:uid="{A07C993F-3583-4DDD-81E7-5BBA0EAAE4EB}">
      <text>
        <r>
          <rPr>
            <b/>
            <sz val="9"/>
            <color indexed="81"/>
            <rFont val="Tahoma"/>
            <family val="2"/>
          </rPr>
          <t>Author:</t>
        </r>
        <r>
          <rPr>
            <sz val="9"/>
            <color indexed="81"/>
            <rFont val="Tahoma"/>
            <family val="2"/>
          </rPr>
          <t xml:space="preserve">
The energy charge is a basic, volumetric fee customers pay for their electric service and covers a portion of operating and maintaining AES Indiana's electric system, including power plants and power lines. It is billed on a service rendered basis.</t>
        </r>
      </text>
    </comment>
    <comment ref="A28" authorId="0" shapeId="0" xr:uid="{37ED6AF6-3383-443C-8C2D-076E44C364AE}">
      <text>
        <r>
          <rPr>
            <b/>
            <sz val="9"/>
            <color indexed="81"/>
            <rFont val="Tahoma"/>
            <family val="2"/>
          </rPr>
          <t>Author:</t>
        </r>
        <r>
          <rPr>
            <sz val="9"/>
            <color indexed="81"/>
            <rFont val="Tahoma"/>
            <family val="2"/>
          </rPr>
          <t xml:space="preserve">
The customer charge is the fixed monthly fee customers pay for their electric service and covers a portion of the fixed costs of maintaining and keeping customer records active, including data processing, meter reading, and billing. It is billed on a service rendered basis.</t>
        </r>
      </text>
    </comment>
    <comment ref="A29" authorId="0" shapeId="0" xr:uid="{E82BD6B8-7B53-461F-BBCE-17F1AEF0DC2D}">
      <text>
        <r>
          <rPr>
            <b/>
            <sz val="9"/>
            <color indexed="81"/>
            <rFont val="Tahoma"/>
            <family val="2"/>
          </rPr>
          <t>Author:</t>
        </r>
        <r>
          <rPr>
            <sz val="9"/>
            <color indexed="81"/>
            <rFont val="Tahoma"/>
            <family val="2"/>
          </rPr>
          <t xml:space="preserve">
The demand charge is the volumetric, basic monthly fee large commercial and industrial customers pay for their electric service related to the maximum amount of power the customer uses. Demand charges are intended to recover capacity-related costs associated with investments required to meet maximum electric usage requirements, such as generating plants, transmission lines, transformers, and substations.
It is calculated by taking the average of the three highest 15-minute interval demands during the relevant billing month but cannot be less than 60% of the highest billing demand the customer experienced in the immediately preceding 11 months. It is billed on a service rendered basis.</t>
        </r>
      </text>
    </comment>
    <comment ref="A30" authorId="0" shapeId="0" xr:uid="{128BEF80-AB7A-465B-8E66-1AAB180FA25A}">
      <text>
        <r>
          <rPr>
            <b/>
            <sz val="9"/>
            <color indexed="81"/>
            <rFont val="Tahoma"/>
            <family val="2"/>
          </rPr>
          <t>Author:</t>
        </r>
        <r>
          <rPr>
            <sz val="9"/>
            <color indexed="81"/>
            <rFont val="Tahoma"/>
            <family val="2"/>
          </rPr>
          <t xml:space="preserve">
Power factor is a measure of how effectively a facility is using electricity. Power factor impacts large commercial and industrial customers through the use of a multiplier that can decrease or increase a customer's bill depending on the customer's power factor. 
Power factor is billed on a service rendered basis.</t>
        </r>
      </text>
    </comment>
    <comment ref="A32" authorId="0" shapeId="0" xr:uid="{2B0E95A8-4AB3-440A-B54B-0B75021E52B7}">
      <text>
        <r>
          <rPr>
            <b/>
            <sz val="9"/>
            <color indexed="81"/>
            <rFont val="Tahoma"/>
            <family val="2"/>
          </rPr>
          <t>Author:</t>
        </r>
        <r>
          <rPr>
            <sz val="9"/>
            <color indexed="81"/>
            <rFont val="Tahoma"/>
            <family val="2"/>
          </rPr>
          <t xml:space="preserve">
Rider No. 21: Green Power Initiative
AES Indiana's Green Power Initiative is a voluntary program in which customers must elect to enroll to participate. Participating customers can elect to receive 25%, 50%, or 100% of their monthly energy from renewable sources. Commercial and industrial customers have the additional option of electing to receive 10% of their monthly energy from renewable sources.
The Green Power Initiative contract rider rate is updated annually in IURC Cause Number 44121. The Green Power Initiative contract rider is billed on a bills rendered basis.
See https://www.aesindiana.com/green-power for more details.</t>
        </r>
      </text>
    </comment>
    <comment ref="A33" authorId="0" shapeId="0" xr:uid="{8DE8418C-A572-49CE-8107-FC222D5E3CC3}">
      <text>
        <r>
          <rPr>
            <b/>
            <sz val="9"/>
            <color indexed="81"/>
            <rFont val="Tahoma"/>
            <family val="2"/>
          </rPr>
          <t>Author:</t>
        </r>
        <r>
          <rPr>
            <sz val="9"/>
            <color indexed="81"/>
            <rFont val="Tahoma"/>
            <family val="2"/>
          </rPr>
          <t xml:space="preserve">
Rider No. 6: Fuel Adjustment Clause ("FAC")
AES Indiana's FAC tracks the cost of fuel and purchased power AES Indiana procures to serve its load above or below the cost of fuel and purchased power included in AES Indiana's basic rates and charges.
The FAC contract rider rate is updated quarterly in IURC Cause Number 38703. The FAC contract rider is billed on a bills rendered basis.</t>
        </r>
      </text>
    </comment>
    <comment ref="A34" authorId="0" shapeId="0" xr:uid="{B81A198D-042B-4FA5-97B5-F4FE5C5EC461}">
      <text>
        <r>
          <rPr>
            <b/>
            <sz val="9"/>
            <color indexed="81"/>
            <rFont val="Tahoma"/>
            <family val="2"/>
          </rPr>
          <t>Author:</t>
        </r>
        <r>
          <rPr>
            <sz val="9"/>
            <color indexed="81"/>
            <rFont val="Tahoma"/>
            <family val="2"/>
          </rPr>
          <t xml:space="preserve">
Rider No. 3: Transmission, Distribution, and Storage System Improvement Charge ("TDSIC")
AES Indiana's TDSIC rider tracks the cost of AES Indiana's seven-year TDSIC Plan, which is an investment program to replace, rebuild, upgrade, redesign, and modernize a wide range of AES Indiana's transmission and distribution system assets.
The TDSIC contract rider rate is updated annually in IURC Cause Number 45264. The TDSIC contract rider is billed on a bills rendered basis.</t>
        </r>
      </text>
    </comment>
    <comment ref="A35" authorId="0" shapeId="0" xr:uid="{5AB1BD06-627E-4565-A5DB-355F0FA15164}">
      <text>
        <r>
          <rPr>
            <b/>
            <sz val="9"/>
            <color indexed="81"/>
            <rFont val="Tahoma"/>
            <family val="2"/>
          </rPr>
          <t>Author:</t>
        </r>
        <r>
          <rPr>
            <sz val="9"/>
            <color indexed="81"/>
            <rFont val="Tahoma"/>
            <family val="2"/>
          </rPr>
          <t xml:space="preserve">
Rider No. 22: Demand-Side Management ("DSM") Adjustment
AES Indiana's DSM contract rider tracks the cost of AES Indiana's DSM Plan. AES Indiana's DSM Plan involves the planning, implementation, and monitoring of utility activities designed to achieve energy efficiency or demand response and is designed to achieve energy and demand savings to achieve an optimal balance of energy resources in AES Indiana's service area.
The DSM contract rider rate is updated annually in IURC Cause Number 43623. The DSM contract rider is billed on a bills rendered basis.</t>
        </r>
      </text>
    </comment>
    <comment ref="A36" authorId="0" shapeId="0" xr:uid="{6281E237-1964-4D69-B356-0EDD586279B0}">
      <text>
        <r>
          <rPr>
            <b/>
            <sz val="9"/>
            <color indexed="81"/>
            <rFont val="Tahoma"/>
            <family val="2"/>
          </rPr>
          <t>Author:</t>
        </r>
        <r>
          <rPr>
            <sz val="9"/>
            <color indexed="81"/>
            <rFont val="Tahoma"/>
            <family val="2"/>
          </rPr>
          <t xml:space="preserve">
Rider No. 20: Environmental Compliance Cost Recovery Adjustment ("ECR")
AES Indiana's ECR contract rider tracks the cost of AES Indiana's environmental compliance projects that are not included in AES Indiana's basic rates and charges.
The ECR contract rider rate is updated annually in IURC Cause Number 42170. The ECR contract rider is billed on a bills rendered basis.</t>
        </r>
      </text>
    </comment>
    <comment ref="A37" authorId="0" shapeId="0" xr:uid="{7229FB2C-4A09-4202-B55F-366144707254}">
      <text>
        <r>
          <rPr>
            <b/>
            <sz val="9"/>
            <color indexed="81"/>
            <rFont val="Tahoma"/>
            <family val="2"/>
          </rPr>
          <t>Author:</t>
        </r>
        <r>
          <rPr>
            <sz val="9"/>
            <color indexed="81"/>
            <rFont val="Tahoma"/>
            <family val="2"/>
          </rPr>
          <t xml:space="preserve">
Rider No. 24: Capacity Adjustment ("CAP")
AES Indiana's CAP contract rider allows AES Indiana to fully allocate the net capacity revenues above and below the net capacity revenues included in AES Indiana's basic rates and charges.
The CAP contract rider rate is updated annually in IURC Cause Number 44795. The CAP contract rider is billed on a bills rendered basis.</t>
        </r>
      </text>
    </comment>
    <comment ref="A38" authorId="0" shapeId="0" xr:uid="{71700C4A-DB55-4F51-B64F-8D81F5EDF953}">
      <text>
        <r>
          <rPr>
            <b/>
            <sz val="9"/>
            <color indexed="81"/>
            <rFont val="Tahoma"/>
            <family val="2"/>
          </rPr>
          <t>Author:</t>
        </r>
        <r>
          <rPr>
            <sz val="9"/>
            <color indexed="81"/>
            <rFont val="Tahoma"/>
            <family val="2"/>
          </rPr>
          <t xml:space="preserve">
Rider No. 25: Off-System Sales Margin Adjustment ("OSS")
AES Indiana's OSS contract rider allows AES Indiana to fully allocate the off system sales margin revenues above and below the off system sales margin revenues included in AES Indiana's basic rates and charges.
The OSS contract rider rate is updated annually in IURC Cause Number 44795. The OSS contract rider is billed on a bills rendered basis.</t>
        </r>
      </text>
    </comment>
    <comment ref="A39" authorId="0" shapeId="0" xr:uid="{644445B7-A903-4849-8CB2-46CD5C5B927B}">
      <text>
        <r>
          <rPr>
            <b/>
            <sz val="9"/>
            <color indexed="81"/>
            <rFont val="Tahoma"/>
            <family val="2"/>
          </rPr>
          <t>Author:</t>
        </r>
        <r>
          <rPr>
            <sz val="9"/>
            <color indexed="81"/>
            <rFont val="Tahoma"/>
            <family val="2"/>
          </rPr>
          <t xml:space="preserve">
Rider No. 26: Regional Transmission Organization Adjustment ("RTO")
AES Indiana's RTO contract rider tracks the non-fuel costs and credits AES Indiana incurs or receives through its participation in the Midcontinent Independent System Operator's system above or below the amount included in AES Indiana's basic rates and charges.
The RTO contract rider rate is updated annually in IURC Cause Number 44808. The RTO contract rider is billed on a bills rendered basis.</t>
        </r>
      </text>
    </comment>
    <comment ref="A40" authorId="0" shapeId="0" xr:uid="{1F966277-92BE-409C-8096-323C11C79C7B}">
      <text>
        <r>
          <rPr>
            <b/>
            <sz val="9"/>
            <color indexed="81"/>
            <rFont val="Tahoma"/>
            <family val="2"/>
          </rPr>
          <t>Author:</t>
        </r>
        <r>
          <rPr>
            <sz val="9"/>
            <color indexed="81"/>
            <rFont val="Tahoma"/>
            <family val="2"/>
          </rPr>
          <t xml:space="preserve">
Total metered electric charge includes both the basic fees and contract rider fees associated with the generation and delivery of electricity to the customer.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<sst xmlns="http://schemas.openxmlformats.org/spreadsheetml/2006/main" count="2131" uniqueCount="399">
  <si>
    <t>Instructions</t>
  </si>
  <si>
    <t>Input your relevant billing information below. Start by entering your billing period in cells D11 and D12. Please use the "INPUT" links or tabs labeled "Help" for reference. For more information, please contact AES Indiana by email using the contact link below.</t>
  </si>
  <si>
    <t>Contact: aesindiana.com, Residential 888-261-8222, Business 317-261-8444</t>
  </si>
  <si>
    <t>Link to Help</t>
  </si>
  <si>
    <t>Please enter your billing period information</t>
  </si>
  <si>
    <t>INPUT 1</t>
  </si>
  <si>
    <t>Please enter your billing period start date. (MM/DD/YYYY)</t>
  </si>
  <si>
    <t>INPUT 2</t>
  </si>
  <si>
    <t>Please enter your billing period end date. (MM/DD/YYYY)</t>
  </si>
  <si>
    <t>Please enter your billing information (click on request for explanation)</t>
  </si>
  <si>
    <t>INPUT 3</t>
  </si>
  <si>
    <t>Please select your rate code.</t>
  </si>
  <si>
    <t>RS</t>
  </si>
  <si>
    <t>INPUT 4</t>
  </si>
  <si>
    <t>Are you enrolled in AES Indiana's Green Power Initiative?</t>
  </si>
  <si>
    <t>INPUT 5</t>
  </si>
  <si>
    <t>Please enter your billed energy usage (kWh).</t>
  </si>
  <si>
    <t>INPUT 6</t>
  </si>
  <si>
    <t>Did you opt out of AES Indiana's DSM program (if applicable)?</t>
  </si>
  <si>
    <t>INPUT 7</t>
  </si>
  <si>
    <t>Please enter your billed demand amount (kW, if applicable).</t>
  </si>
  <si>
    <t>INPUT 8</t>
  </si>
  <si>
    <t>Please enter your billed power factor (percentage, if appliable).</t>
  </si>
  <si>
    <t>INPUT 9</t>
  </si>
  <si>
    <t>Please enter your billed connected lighting load (kW, if applicable).</t>
  </si>
  <si>
    <t>Description (click on charges for explanation)</t>
  </si>
  <si>
    <t>Link to Tariff</t>
  </si>
  <si>
    <t>Basic Fees and Charges</t>
  </si>
  <si>
    <t>Energy Charge</t>
  </si>
  <si>
    <t>Customer Charge</t>
  </si>
  <si>
    <t>Demand Charge</t>
  </si>
  <si>
    <t>Power Factor</t>
  </si>
  <si>
    <t>Contract Riders</t>
  </si>
  <si>
    <t>Green Power Initiative (Rider No. 21)</t>
  </si>
  <si>
    <t>GPI</t>
  </si>
  <si>
    <t>Fuel Adjustment Clause (Rider No. 6)</t>
  </si>
  <si>
    <t>FAC</t>
  </si>
  <si>
    <t>Transmission, Distribution, and Storage System Improvement Charge (Rider No. 3)</t>
  </si>
  <si>
    <t>TDSIC</t>
  </si>
  <si>
    <t>Demand-Side Management Adjustment (Rider No. 22)</t>
  </si>
  <si>
    <t>DSM</t>
  </si>
  <si>
    <t>Environmental Compliance Cost Recovery Adjustment (Rider No. 20)</t>
  </si>
  <si>
    <t>ECCRA</t>
  </si>
  <si>
    <t>Capacity Adjustment (Rider No. 24)</t>
  </si>
  <si>
    <t>CAP</t>
  </si>
  <si>
    <t>Off-System Sales Margin Adjustment (Rider No. 25)</t>
  </si>
  <si>
    <t>OSS</t>
  </si>
  <si>
    <t>Regional Transmission Organization Adjustment (Rider No. 26)</t>
  </si>
  <si>
    <t>RTO</t>
  </si>
  <si>
    <t>Select Rate Code</t>
  </si>
  <si>
    <t>Residential Links</t>
  </si>
  <si>
    <t>RS, RC, RH</t>
  </si>
  <si>
    <t>RC</t>
  </si>
  <si>
    <t>RH</t>
  </si>
  <si>
    <t>SS</t>
  </si>
  <si>
    <t>SH</t>
  </si>
  <si>
    <t>C&amp;I Links</t>
  </si>
  <si>
    <t>SE</t>
  </si>
  <si>
    <t>CR</t>
  </si>
  <si>
    <t>CB</t>
  </si>
  <si>
    <t>UW</t>
  </si>
  <si>
    <t>SL</t>
  </si>
  <si>
    <t>PL</t>
  </si>
  <si>
    <t>PH</t>
  </si>
  <si>
    <t>SL (C, D, E)</t>
  </si>
  <si>
    <t>HL1</t>
  </si>
  <si>
    <t>SL (PF)</t>
  </si>
  <si>
    <t>HL2</t>
  </si>
  <si>
    <t>PL (C, D, E)</t>
  </si>
  <si>
    <t>HL3</t>
  </si>
  <si>
    <t>PL (PF)</t>
  </si>
  <si>
    <t>HL4</t>
  </si>
  <si>
    <t>PH (C, D, E)</t>
  </si>
  <si>
    <t>PH (PF)</t>
  </si>
  <si>
    <t>HL (C,D)</t>
  </si>
  <si>
    <t>HL (E, PF)</t>
  </si>
  <si>
    <t>Billing Period Message</t>
  </si>
  <si>
    <t>You are using the correct bill calculator. Please enter your billing information below.</t>
  </si>
  <si>
    <t>Billing Period Verification</t>
  </si>
  <si>
    <t>1 Billing Periods</t>
  </si>
  <si>
    <t>20 Billing Periods</t>
  </si>
  <si>
    <t>Verification</t>
  </si>
  <si>
    <t>Month</t>
  </si>
  <si>
    <t>Start</t>
  </si>
  <si>
    <t>End</t>
  </si>
  <si>
    <t>Count</t>
  </si>
  <si>
    <t>Message</t>
  </si>
  <si>
    <t>AES Indiana does not offer a monthly bill calculator for the dates you entered. Please enter your billing period dates for the September 2022 billing cycle. Please use the "INPUT 1" and "INPUT 2" links for assistance locating the relevant billing period on your bill.</t>
  </si>
  <si>
    <t>Please check the dates you entered. The dates you entered are valid for the March 2023 billing cycle. If valid, please use AES Indiana's March 2023 monthly bill calculator to calculate your bill for the entered dates.</t>
  </si>
  <si>
    <t>Please check the dates you entered. The dates you entered are valid for the April 2023 billing cycle. If valid, please use AES Indiana's April 2023 monthly bill calculator to calculate your bill for the entered dates.</t>
  </si>
  <si>
    <t>Please check the dates you entered. The dates you entered are valid for the May 2023 billing cycle. If valid, please use AES Indiana's May 2023 monthly bill calculator to calculate your bill for the entered dates.</t>
  </si>
  <si>
    <t>Please check the dates you entered. The dates you entered are valid for the June 2023 billing cycle. If valid, please use AES Indiana's June 2023 monthly bill calculator to calculate your bill for the entered dates.</t>
  </si>
  <si>
    <t>Please check the dates you entered. The dates you entered are valid for the August 2023 billing cycle. If valid, please use AES Indiana's August 2023 monthly bill calculator to calculate your bill for the entered dates.</t>
  </si>
  <si>
    <t>Please check the dates you entered. The dates you entered are valid for the September 2023 billing cycle. If valid, please use AES Indiana's September 2023 monthly bill calculator to calculate your bill for the entered dates.</t>
  </si>
  <si>
    <t>Please check the dates you entered. The dates you entered are valid for the October 2023 billing cycle. If valid, please use AES Indiana's October 2023 monthly bill calculator to calculate your bill for the entered dates.</t>
  </si>
  <si>
    <t>Please check the dates you entered. The dates you entered are valid for the November 2023 billing cycle. If valid, please use AES Indiana's November 2023 monthly bill calculator to calculate your bill for the entered dates.</t>
  </si>
  <si>
    <t>Please check the dates you entered. The dates you entered are valid for the December 2023 billing cycle. If valid, please use AES Indiana's December 2023 monthly bill calculator to calculate your bill for the entered dates.</t>
  </si>
  <si>
    <t>End before start</t>
  </si>
  <si>
    <t>The dates you entered are incorrect; the end date is before the start date. Please use the "INPUT 1" and "INPUT 2" links for assistance locating  the relevant billing period on your bill.</t>
  </si>
  <si>
    <t>Too few days</t>
  </si>
  <si>
    <t>The dates you entered are incorrect; there are not enough days in the billing period you entered. Please use the "INPUT 1" and "INPUT 2" links for assistance locating the relevant billing period on your bill.</t>
  </si>
  <si>
    <t>Too many days</t>
  </si>
  <si>
    <t>The dates you entered are incorrect; there are too many days in the billing period you entered. Please use the "INPUT 1" and "INPUT 2" links for assistance locating the relevant billing period on your bill.</t>
  </si>
  <si>
    <t>Date not entered yet</t>
  </si>
  <si>
    <t>Not valid bill period</t>
  </si>
  <si>
    <t>The dates you entered are not a valid billing period or not for a period. Please use the "INPUT 1" and "INPUT 2" links for assistance locating the relevant billing period on your bill.</t>
  </si>
  <si>
    <t>GP</t>
  </si>
  <si>
    <t>CCP-DSM</t>
  </si>
  <si>
    <t>ACLM</t>
  </si>
  <si>
    <t>ECCR</t>
  </si>
  <si>
    <t>All but FAC &amp; GP</t>
  </si>
  <si>
    <t>Residential</t>
  </si>
  <si>
    <t>Small C&amp;I</t>
  </si>
  <si>
    <t>non-opt out</t>
  </si>
  <si>
    <t>Large C&amp;I</t>
  </si>
  <si>
    <t>pre 7/1/2014</t>
  </si>
  <si>
    <t>opt-out 0</t>
  </si>
  <si>
    <t>eff  1/1/2015</t>
  </si>
  <si>
    <t>opt-out 5</t>
  </si>
  <si>
    <t>eff  1/1/2016</t>
  </si>
  <si>
    <t>opt-out 6</t>
  </si>
  <si>
    <t>eff  1/1/2017</t>
  </si>
  <si>
    <t>opt-out 7</t>
  </si>
  <si>
    <t>eff  1/1/2018</t>
  </si>
  <si>
    <t>opt-out 8</t>
  </si>
  <si>
    <t>eff  1/1/2019</t>
  </si>
  <si>
    <t>eff  1/1/2020</t>
  </si>
  <si>
    <t>Lighting</t>
  </si>
  <si>
    <t>opt-out 9</t>
  </si>
  <si>
    <t>Opt-Out 20</t>
  </si>
  <si>
    <t>Opt-Out 21</t>
  </si>
  <si>
    <t>Opt-Out 22</t>
  </si>
  <si>
    <t>Opt-Out 23</t>
  </si>
  <si>
    <t>Rate HL</t>
  </si>
  <si>
    <t>Rate PL</t>
  </si>
  <si>
    <t>Note:  One month prior</t>
  </si>
  <si>
    <t>opt-out 1</t>
  </si>
  <si>
    <t>Customer</t>
  </si>
  <si>
    <t>Total Energy</t>
  </si>
  <si>
    <t>SRV#</t>
  </si>
  <si>
    <t>kWh</t>
  </si>
  <si>
    <t>Rate</t>
  </si>
  <si>
    <t>Total</t>
  </si>
  <si>
    <t>Per KWH</t>
  </si>
  <si>
    <t>Charge</t>
  </si>
  <si>
    <t>1st 500</t>
  </si>
  <si>
    <t>Over 500</t>
  </si>
  <si>
    <t>0% GP</t>
  </si>
  <si>
    <t>100% GP</t>
  </si>
  <si>
    <t>50% GP</t>
  </si>
  <si>
    <t>25% GP</t>
  </si>
  <si>
    <t>Next 500</t>
  </si>
  <si>
    <t>Over 1000</t>
  </si>
  <si>
    <t xml:space="preserve"> 50% GP</t>
  </si>
  <si>
    <t>opt out 6</t>
  </si>
  <si>
    <t>opt out 7</t>
  </si>
  <si>
    <t>opt out 8</t>
  </si>
  <si>
    <t>opt out 9</t>
  </si>
  <si>
    <t>opt out 0</t>
  </si>
  <si>
    <t>opt out 1</t>
  </si>
  <si>
    <t>opt out 2</t>
  </si>
  <si>
    <t>opt out 3</t>
  </si>
  <si>
    <t>1st 5000</t>
  </si>
  <si>
    <t>Over 5000</t>
  </si>
  <si>
    <t>10% GP</t>
  </si>
  <si>
    <t>SS7</t>
  </si>
  <si>
    <t>SS8</t>
  </si>
  <si>
    <t>SS9</t>
  </si>
  <si>
    <t>SS0</t>
  </si>
  <si>
    <t>SS1</t>
  </si>
  <si>
    <t>SS2</t>
  </si>
  <si>
    <t>SS3</t>
  </si>
  <si>
    <t>opt out 5</t>
  </si>
  <si>
    <t>Total Demand</t>
  </si>
  <si>
    <t>ALL</t>
  </si>
  <si>
    <t>SH7</t>
  </si>
  <si>
    <t>SH8</t>
  </si>
  <si>
    <t>SH9</t>
  </si>
  <si>
    <t>SH0</t>
  </si>
  <si>
    <t>SH1</t>
  </si>
  <si>
    <t>SH2</t>
  </si>
  <si>
    <t>SH3</t>
  </si>
  <si>
    <t>Connected</t>
  </si>
  <si>
    <t>Load</t>
  </si>
  <si>
    <t>Over Conn.</t>
  </si>
  <si>
    <t>SE7</t>
  </si>
  <si>
    <t>SE8</t>
  </si>
  <si>
    <t>SE9</t>
  </si>
  <si>
    <t>SE0</t>
  </si>
  <si>
    <t>SE1</t>
  </si>
  <si>
    <t>SE2</t>
  </si>
  <si>
    <t>SE3</t>
  </si>
  <si>
    <t>kW</t>
  </si>
  <si>
    <t>per KW</t>
  </si>
  <si>
    <t>Min Demand</t>
  </si>
  <si>
    <t>Multiplier</t>
  </si>
  <si>
    <t>Power</t>
  </si>
  <si>
    <t>Energy</t>
  </si>
  <si>
    <t>Factor</t>
  </si>
  <si>
    <t>Input Demand</t>
  </si>
  <si>
    <t>First 500</t>
  </si>
  <si>
    <t xml:space="preserve">Factor </t>
  </si>
  <si>
    <t>SL7</t>
  </si>
  <si>
    <t>SL8</t>
  </si>
  <si>
    <t>SL9</t>
  </si>
  <si>
    <t>SL0</t>
  </si>
  <si>
    <t>SL1</t>
  </si>
  <si>
    <t>SL2</t>
  </si>
  <si>
    <t>SL3</t>
  </si>
  <si>
    <t>KW</t>
  </si>
  <si>
    <t>PF</t>
  </si>
  <si>
    <t>First 2000</t>
  </si>
  <si>
    <t>Over 2000</t>
  </si>
  <si>
    <t>PL7</t>
  </si>
  <si>
    <t>PL8</t>
  </si>
  <si>
    <t>PL9</t>
  </si>
  <si>
    <t>PL0</t>
  </si>
  <si>
    <t>PL1</t>
  </si>
  <si>
    <t>PL2</t>
  </si>
  <si>
    <t>PL3</t>
  </si>
  <si>
    <t>Demand</t>
  </si>
  <si>
    <t>Input Total</t>
  </si>
  <si>
    <t>Minimum?</t>
  </si>
  <si>
    <t>1st</t>
  </si>
  <si>
    <t>Over</t>
  </si>
  <si>
    <t>PH7</t>
  </si>
  <si>
    <t>PH8</t>
  </si>
  <si>
    <t>PH9</t>
  </si>
  <si>
    <t>PH0</t>
  </si>
  <si>
    <t>PH1</t>
  </si>
  <si>
    <t>PH2</t>
  </si>
  <si>
    <t>PH3</t>
  </si>
  <si>
    <t>First 4000</t>
  </si>
  <si>
    <t>Over 4000</t>
  </si>
  <si>
    <t>HL17</t>
  </si>
  <si>
    <t>HL18</t>
  </si>
  <si>
    <t>HL19</t>
  </si>
  <si>
    <t>HL10</t>
  </si>
  <si>
    <t>HL11</t>
  </si>
  <si>
    <t>HL12</t>
  </si>
  <si>
    <t>HL13</t>
  </si>
  <si>
    <t>HL27</t>
  </si>
  <si>
    <t>HL28</t>
  </si>
  <si>
    <t>HL29</t>
  </si>
  <si>
    <t>HL20</t>
  </si>
  <si>
    <t>HL21</t>
  </si>
  <si>
    <t>HL22</t>
  </si>
  <si>
    <t>HL37</t>
  </si>
  <si>
    <t>HL38</t>
  </si>
  <si>
    <t>HL39</t>
  </si>
  <si>
    <t>HL30</t>
  </si>
  <si>
    <t>HL31</t>
  </si>
  <si>
    <t>HL32</t>
  </si>
  <si>
    <t>HL33</t>
  </si>
  <si>
    <t>Opt Out 8</t>
  </si>
  <si>
    <t>HL47</t>
  </si>
  <si>
    <t>HL48</t>
  </si>
  <si>
    <t>HL49</t>
  </si>
  <si>
    <t>HL40</t>
  </si>
  <si>
    <t>HL41</t>
  </si>
  <si>
    <t>HL42</t>
  </si>
  <si>
    <t>HL43</t>
  </si>
  <si>
    <t>March</t>
  </si>
  <si>
    <t>June</t>
  </si>
  <si>
    <t>Sept</t>
  </si>
  <si>
    <t>Dec</t>
  </si>
  <si>
    <t>Jun</t>
  </si>
  <si>
    <t>Jul</t>
  </si>
  <si>
    <t>Aug</t>
  </si>
  <si>
    <t>Sep</t>
  </si>
  <si>
    <t>Oct</t>
  </si>
  <si>
    <t>Nov</t>
  </si>
  <si>
    <t>Jan</t>
  </si>
  <si>
    <t>Feb</t>
  </si>
  <si>
    <t>Mar</t>
  </si>
  <si>
    <t>Apr</t>
  </si>
  <si>
    <t>May</t>
  </si>
  <si>
    <t>Cycle</t>
  </si>
  <si>
    <t>Read</t>
  </si>
  <si>
    <t>Check</t>
  </si>
  <si>
    <t>Regular (+1 workday)</t>
  </si>
  <si>
    <t>(a)</t>
  </si>
  <si>
    <t>(b)</t>
  </si>
  <si>
    <t>(c)</t>
  </si>
  <si>
    <t>(d)</t>
  </si>
  <si>
    <t>Demand (+2 workdays)</t>
  </si>
  <si>
    <t xml:space="preserve"> (no accounts)</t>
  </si>
  <si>
    <t>Holidays</t>
  </si>
  <si>
    <t>Check for 0.0000</t>
  </si>
  <si>
    <t>ACLM rate in Oct</t>
  </si>
  <si>
    <t>February</t>
  </si>
  <si>
    <t>August</t>
  </si>
  <si>
    <t>Please check the dates you entered. The dates you entered are valid for the July 2023 billing cycle. If valid, please use AES Indiana's July 2023 monthly bill calculator to calculate your bill for the entered dates.</t>
  </si>
  <si>
    <t>Opt-Out 24</t>
  </si>
  <si>
    <t>HL44</t>
  </si>
  <si>
    <t>HL34</t>
  </si>
  <si>
    <t>opt out 4</t>
  </si>
  <si>
    <t>HL23</t>
  </si>
  <si>
    <t>HL24</t>
  </si>
  <si>
    <t>PH4</t>
  </si>
  <si>
    <t>PL4</t>
  </si>
  <si>
    <t>SL4</t>
  </si>
  <si>
    <t>SE4</t>
  </si>
  <si>
    <t>SH4</t>
  </si>
  <si>
    <t>SS4</t>
  </si>
  <si>
    <t>HL14</t>
  </si>
  <si>
    <t>Total Metered Electric and Other Services</t>
  </si>
  <si>
    <t>State Tax</t>
  </si>
  <si>
    <t>Total Monthly Bill</t>
  </si>
  <si>
    <t>Disclaimer</t>
  </si>
  <si>
    <t>Amount</t>
  </si>
  <si>
    <t>https://www.aesindiana.com/sites/aesvault.com/files/2024-05/Rate-SS-Secondary-Service--Small-45911-Effective-05-09-24.pdf</t>
  </si>
  <si>
    <t>https://www.aesindiana.com/sites/aesvault.com/files/2024-05/Rate-SH-Secondary-Service--Electric-Space-Conditioning-Separately-Metered-Effective-05-09-24.pdf</t>
  </si>
  <si>
    <t>https://www.aesindiana.com/sites/aesvault.com/files/2024-05/Rate-SH-Secondary-Service--Electric-Space-Conditioning-Separately-Metered-Effective-05-09-24.pdf#page=2</t>
  </si>
  <si>
    <t>https://www.aesindiana.com/sites/aesvault.com/files/2024-05/Rate-CW-Water-Heating--Controlled-Service-Effective-05-09-24.pdf#page=2</t>
  </si>
  <si>
    <t>https://www.aesindiana.com/sites/aesvault.com/files/2024-05/Rate-UW-Water-Heating--Uncontrolled-Service-Effective-05-09-24.pdf</t>
  </si>
  <si>
    <t>https://www.aesindiana.com/sites/aesvault.com/files/2024-05/Rate-SL-Secondary-Service-Large-45911-Effective-05-09-24.pdf</t>
  </si>
  <si>
    <t>https://www.aesindiana.com/sites/aesvault.com/files/2024-05/Rate-SL-Secondary-Service-Large-45911-Effective-05-09-24.pdf#page=2</t>
  </si>
  <si>
    <t>https://www.aesindiana.com/sites/aesvault.com/files/2024-05/Rate-PL-Primary-Service-Large-Effective-05-09-24.pdf</t>
  </si>
  <si>
    <t>https://www.aesindiana.com/sites/aesvault.com/files/2024-05/Rate-PL-Primary-Service-Large-Effective-05-09-24.pdf#page=2</t>
  </si>
  <si>
    <t>https://www.aesindiana.com/sites/aesvault.com/files/2024-05/Rate-PH-Process-Heating-Effective-05-09-24.pdf</t>
  </si>
  <si>
    <t>https://www.aesindiana.com/sites/aesvault.com/files/2024-05/Rate-PH-Process-Heating-Effective-05-09-24.pdf#page=2</t>
  </si>
  <si>
    <t>https://www.aesindiana.com/sites/aesvault.com/files/2024-05/Rate-HL-High-Load-Factor--Primary-Distrib-Sub-Trans-and-Trans-Voltages-45911-Effective-05-09-24.pdf</t>
  </si>
  <si>
    <t>https://www.aesindiana.com/sites/aesvault.com/files/2024-05/Rate-HL-High-Load-Factor--Primary-Distrib-Sub-Trans-and-Trans-Voltages-45911-Effective-05-09-24.pdf#page=2</t>
  </si>
  <si>
    <t>https://www.aesindiana.com/sites/aesvault.com/files/2024-05/Residential%20Rates_Effective%2005-09-24.pdf#page=1</t>
  </si>
  <si>
    <t>Opt-Out 25</t>
  </si>
  <si>
    <t>SS5</t>
  </si>
  <si>
    <t>SH5</t>
  </si>
  <si>
    <t>SE5</t>
  </si>
  <si>
    <t>SL5</t>
  </si>
  <si>
    <t>PL5</t>
  </si>
  <si>
    <t>PH5</t>
  </si>
  <si>
    <t>HL15</t>
  </si>
  <si>
    <t>HL25</t>
  </si>
  <si>
    <t>HL35</t>
  </si>
  <si>
    <t>HL45</t>
  </si>
  <si>
    <t>January 2022</t>
  </si>
  <si>
    <t>February 2022</t>
  </si>
  <si>
    <t>March 2022</t>
  </si>
  <si>
    <t>January</t>
  </si>
  <si>
    <t>April</t>
  </si>
  <si>
    <t>July</t>
  </si>
  <si>
    <t>September</t>
  </si>
  <si>
    <t>October</t>
  </si>
  <si>
    <t>November</t>
  </si>
  <si>
    <t>December</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</si>
  <si>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</si>
  <si>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</si>
  <si>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</si>
  <si>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</si>
  <si>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</si>
  <si>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</si>
  <si>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</si>
  <si>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</si>
  <si>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</si>
  <si>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</si>
  <si>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</si>
  <si>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</si>
  <si>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</si>
  <si>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</si>
  <si>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</si>
  <si>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</si>
  <si>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</si>
  <si>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</si>
  <si>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</si>
  <si>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</si>
  <si>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</si>
  <si>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</si>
  <si>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</si>
  <si>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</si>
  <si>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</si>
  <si>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</si>
  <si>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</si>
  <si>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</si>
  <si>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</si>
  <si>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</si>
  <si>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</si>
  <si>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</si>
  <si>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</si>
  <si>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</si>
  <si>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</si>
  <si>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</si>
  <si>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April 2025</t>
  </si>
  <si>
    <t>May 2025</t>
  </si>
  <si>
    <t>June 2025</t>
  </si>
  <si>
    <t>July 2025</t>
  </si>
  <si>
    <t>August 2025</t>
  </si>
  <si>
    <t>September 2025</t>
  </si>
  <si>
    <t>October 2025</t>
  </si>
  <si>
    <t>November 2025</t>
  </si>
  <si>
    <t>December 2025</t>
  </si>
  <si>
    <t xml:space="preserve">Please check the dates you entered. The dates you entered are valid for the </t>
  </si>
  <si>
    <t xml:space="preserve">billing cycle. If valid, please use AES Indiana's </t>
  </si>
  <si>
    <t>Monthly Bill Calculator</t>
  </si>
  <si>
    <t>Year</t>
  </si>
  <si>
    <t>Yes 2022</t>
  </si>
  <si>
    <t>monthly bill calculator to calculate your bill for the dates entered.</t>
  </si>
  <si>
    <t>AES Indiana's rates change periodically. AES Indiana's monthly bill calculator can only be used for the relevant month. Please check back each month for the most current version of AES Indiana's monthly bill calculator. This calculator is intended to recreate a bill and provide detail for a customers' current rate. If this calculator is used to compare charges using a different rate than the rate under which the customer curently takes service, be aware that each rate has specific requirements listed in AES Indiana's tariff. In other words, customers may not be eligible for certain rates. AES Indiana's monthly bill calculator is for informational purposes only. While AES Indiana updates its monthly bill calculator in good faith, AES Indiana does not guarantee the accuracy or timeliness of its monthly bill calculator. AES Indiana expressly disclaims any and all liability for inaccuracies, errors, omissions, or lack of timeliness with respect to its monthly bill calculator, including incidental and consequential damages, arising in any way in connection with the access or use of AES Indiana's monthly bill calculator. Users of AES Indiana's monthly bill calculator assume all responsibility for any reliance placed upon AES Indiana's monthly bill calculator. Budget billing, late fees, payment agreements, tax exempt status, AMI opt-out status, previous unpaid monthly balances, customer specific contracts, CoolCents program enrollment, electric vehicle offerings, customer generation offerings (e.g., net metering, solar generation, etc.), submonthly billing periods, and other customer offerings are not reflected in AES Indiana's monthly bill calculator.</t>
  </si>
  <si>
    <t>Select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</si>
</sst>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mm/dd/yy;@"/>
    <numFmt numFmtId="166" formatCode="_(* #,##0.0000_);_(* \(#,##0.0000\);_(* &quot;-&quot;??_);_(@_)"/>
    <numFmt numFmtId="167" formatCode="_(* #,##0.000000_);_(* \(#,##0.000000\);_(* &quot;-&quot;??_);_(@_)"/>
    <numFmt numFmtId="168" formatCode="[$-409]d\-mmm;@"/>
    <numFmt numFmtId="169" formatCode="#,##0.0_);\(#,##0.0\)"/>
  </numFmts>
  <fonts count="28"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sz val="10"/>
      <color indexed="12"/>
      <name val="Arial"/>
      <family val="2"/>
    </font>
    <font>
      <sz val="10"/>
      <color indexed="8"/>
      <name val="Arial"/>
      <family val="2"/>
    </font>
    <font>
      <sz val="10"/>
      <name val="Arial"/>
      <family val="2"/>
    </font>
    <font>
      <sz val="10"/>
      <color indexed="10"/>
      <name val="Arial"/>
      <family val="2"/>
    </font>
    <font>
      <sz val="10"/>
      <color indexed="18"/>
      <name val="Arial"/>
      <family val="2"/>
    </font>
    <font>
      <sz val="10"/>
      <name val="Arial"/>
      <family val="2"/>
    </font>
    <font>
      <i/>
      <sz val="10"/>
      <name val="Arial"/>
      <family val="2"/>
    </font>
    <font>
      <sz val="11"/>
      <color theme="1"/>
      <name val="Calibri"/>
      <family val="2"/>
      <scheme val="minor"/>
    </font>
    <font>
      <u/>
      <sz val="11"/>
      <color theme="10"/>
      <name val="Calibri"/>
      <family val="2"/>
      <scheme val="minor"/>
    </font>
    <font>
      <sz val="10"/>
      <color rgb="FFFF0000"/>
      <name val="Arial"/>
      <family val="2"/>
    </font>
    <font>
      <b/>
      <sz val="10"/>
      <color rgb="FFFF0000"/>
      <name val="Arial"/>
      <family val="2"/>
    </font>
    <font>
      <b/>
      <sz val="10"/>
      <color theme="0"/>
      <name val="Arial"/>
      <family val="2"/>
    </font>
    <font>
      <sz val="9"/>
      <color indexed="81"/>
      <name val="Tahoma"/>
      <family val="2"/>
    </font>
    <font>
      <b/>
      <sz val="9"/>
      <color indexed="81"/>
      <name val="Tahoma"/>
      <family val="2"/>
    </font>
    <font>
      <u/>
      <sz val="10"/>
      <color theme="4"/>
      <name val="Arial"/>
      <family val="2"/>
    </font>
    <font>
      <b/>
      <sz val="16"/>
      <name val="Arial"/>
      <family val="2"/>
    </font>
    <font>
      <sz val="9"/>
      <name val="Arial"/>
      <family val="2"/>
    </font>
    <font>
      <sz val="10"/>
      <name val="Verdana"/>
      <family val="2"/>
    </font>
    <font>
      <sz val="10"/>
      <color theme="1"/>
      <name val="Arial"/>
      <family val="2"/>
    </font>
    <font>
      <sz val="7"/>
      <name val="Arial"/>
      <family val="2"/>
    </font>
    <font>
      <sz val="10"/>
      <color theme="0" tint="-4.9989318521683403E-2"/>
      <name val="Arial"/>
      <family val="2"/>
    </font>
  </fonts>
  <fills count="9">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1765A6"/>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20">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
    <xf numFmtId="0" fontId="0" fillId="0" borderId="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0" fontId="4" fillId="0" borderId="0" applyNumberFormat="0" applyFill="0" applyBorder="0" applyAlignment="0" applyProtection="0">
      <alignment vertical="top"/>
      <protection locked="0"/>
    </xf>
    <xf numFmtId="0" fontId="15" fillId="0" borderId="0" applyNumberFormat="0" applyFill="0" applyBorder="0" applyAlignment="0" applyProtection="0"/>
    <xf numFmtId="0" fontId="14" fillId="0" borderId="0"/>
    <xf numFmtId="0" fontId="9"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24" fillId="0" borderId="0"/>
    <xf numFmtId="43" fontId="3" fillId="0" borderId="0" applyFont="0" applyFill="0" applyBorder="0" applyAlignment="0" applyProtection="0"/>
    <xf numFmtId="43" fontId="3" fillId="0" borderId="0" applyFont="0" applyFill="0" applyBorder="0" applyAlignment="0" applyProtection="0"/>
    <xf numFmtId="0" fontId="1" fillId="0" borderId="0"/>
  </cellStyleXfs>
  <cellXfs count="265">
    <xf numFmtId="0" fontId="0" fillId="0" borderId="0" xfId="0"/>
    <xf numFmtId="164" fontId="3" fillId="0" borderId="0" xfId="1" applyNumberFormat="1" applyFont="1"/>
    <xf numFmtId="164" fontId="3" fillId="0" borderId="0" xfId="1" applyNumberFormat="1"/>
    <xf numFmtId="0" fontId="6" fillId="0" borderId="0" xfId="0" applyFont="1"/>
    <xf numFmtId="165" fontId="3" fillId="0" borderId="0" xfId="1" applyNumberFormat="1"/>
    <xf numFmtId="166" fontId="7" fillId="0" borderId="0" xfId="1" applyNumberFormat="1" applyFont="1"/>
    <xf numFmtId="167" fontId="7" fillId="0" borderId="0" xfId="1" applyNumberFormat="1" applyFont="1"/>
    <xf numFmtId="165" fontId="7" fillId="0" borderId="0" xfId="1" applyNumberFormat="1" applyFont="1"/>
    <xf numFmtId="43" fontId="7" fillId="0" borderId="0" xfId="1" applyFont="1"/>
    <xf numFmtId="164" fontId="7" fillId="0" borderId="0" xfId="1" applyNumberFormat="1" applyFont="1"/>
    <xf numFmtId="0" fontId="7" fillId="0" borderId="0" xfId="0" applyFont="1"/>
    <xf numFmtId="164" fontId="3" fillId="0" borderId="0" xfId="1" applyNumberFormat="1" applyAlignment="1">
      <alignment horizontal="center"/>
    </xf>
    <xf numFmtId="0" fontId="0" fillId="0" borderId="0" xfId="0" applyAlignment="1">
      <alignment horizontal="center"/>
    </xf>
    <xf numFmtId="0" fontId="0" fillId="0" borderId="1" xfId="0" applyBorder="1" applyAlignment="1">
      <alignment horizontal="center"/>
    </xf>
    <xf numFmtId="164" fontId="3" fillId="0" borderId="1" xfId="1" applyNumberFormat="1" applyBorder="1" applyAlignment="1">
      <alignment horizontal="center"/>
    </xf>
    <xf numFmtId="0" fontId="0" fillId="0" borderId="1" xfId="0" applyBorder="1"/>
    <xf numFmtId="43" fontId="8" fillId="0" borderId="0" xfId="1" applyFont="1"/>
    <xf numFmtId="43" fontId="3" fillId="0" borderId="0" xfId="1"/>
    <xf numFmtId="43" fontId="0" fillId="0" borderId="0" xfId="0" applyNumberFormat="1"/>
    <xf numFmtId="167" fontId="0" fillId="0" borderId="0" xfId="0" applyNumberFormat="1"/>
    <xf numFmtId="164" fontId="7" fillId="0" borderId="2" xfId="1" applyNumberFormat="1" applyFont="1" applyBorder="1"/>
    <xf numFmtId="0" fontId="0" fillId="0" borderId="2" xfId="0" applyBorder="1"/>
    <xf numFmtId="43" fontId="8" fillId="0" borderId="2" xfId="1" applyFont="1" applyBorder="1"/>
    <xf numFmtId="43" fontId="3" fillId="0" borderId="2" xfId="1" applyBorder="1"/>
    <xf numFmtId="43" fontId="7" fillId="0" borderId="2" xfId="1" applyFont="1" applyBorder="1"/>
    <xf numFmtId="167" fontId="0" fillId="0" borderId="2" xfId="0" applyNumberFormat="1" applyBorder="1"/>
    <xf numFmtId="165" fontId="8" fillId="0" borderId="0" xfId="1" applyNumberFormat="1" applyFont="1"/>
    <xf numFmtId="167" fontId="8" fillId="0" borderId="0" xfId="1" applyNumberFormat="1" applyFont="1"/>
    <xf numFmtId="164" fontId="3" fillId="0" borderId="2" xfId="1" applyNumberFormat="1" applyBorder="1"/>
    <xf numFmtId="164" fontId="6" fillId="0" borderId="0" xfId="1" applyNumberFormat="1" applyFont="1" applyAlignment="1">
      <alignment horizontal="left"/>
    </xf>
    <xf numFmtId="0" fontId="6" fillId="0" borderId="2" xfId="0" applyFont="1" applyBorder="1"/>
    <xf numFmtId="164" fontId="3" fillId="0" borderId="1" xfId="1" applyNumberFormat="1" applyFont="1" applyBorder="1" applyAlignment="1">
      <alignment horizontal="center"/>
    </xf>
    <xf numFmtId="43" fontId="7" fillId="0" borderId="0" xfId="1" applyFont="1" applyFill="1"/>
    <xf numFmtId="164" fontId="3" fillId="0" borderId="0" xfId="1" applyNumberFormat="1" applyFont="1" applyAlignment="1">
      <alignment horizontal="center"/>
    </xf>
    <xf numFmtId="164" fontId="3" fillId="0" borderId="0" xfId="1" applyNumberFormat="1" applyBorder="1" applyAlignment="1">
      <alignment horizontal="center"/>
    </xf>
    <xf numFmtId="164" fontId="0" fillId="0" borderId="0" xfId="0" applyNumberFormat="1" applyAlignment="1">
      <alignment horizontal="center"/>
    </xf>
    <xf numFmtId="0" fontId="6" fillId="0" borderId="0" xfId="0" applyFont="1" applyAlignment="1">
      <alignment horizontal="center"/>
    </xf>
    <xf numFmtId="164" fontId="6" fillId="0" borderId="0" xfId="1" applyNumberFormat="1" applyFont="1"/>
    <xf numFmtId="166" fontId="8" fillId="0" borderId="0" xfId="1" applyNumberFormat="1" applyFont="1"/>
    <xf numFmtId="0" fontId="0" fillId="0" borderId="0" xfId="0" applyAlignment="1">
      <alignment horizontal="right"/>
    </xf>
    <xf numFmtId="164" fontId="3" fillId="0" borderId="0" xfId="1" applyNumberFormat="1" applyBorder="1"/>
    <xf numFmtId="43" fontId="7" fillId="0" borderId="0" xfId="1" applyFont="1" applyBorder="1"/>
    <xf numFmtId="43" fontId="3" fillId="0" borderId="0" xfId="1" applyBorder="1"/>
    <xf numFmtId="164" fontId="0" fillId="0" borderId="0" xfId="1" applyNumberFormat="1" applyFont="1" applyBorder="1" applyAlignment="1">
      <alignment horizontal="right"/>
    </xf>
    <xf numFmtId="0" fontId="10" fillId="0" borderId="0" xfId="0" applyFont="1"/>
    <xf numFmtId="168" fontId="0" fillId="0" borderId="0" xfId="0" applyNumberFormat="1"/>
    <xf numFmtId="16" fontId="7" fillId="0" borderId="0" xfId="0" applyNumberFormat="1" applyFont="1"/>
    <xf numFmtId="14" fontId="7" fillId="0" borderId="0" xfId="0" applyNumberFormat="1" applyFont="1"/>
    <xf numFmtId="0" fontId="0" fillId="0" borderId="0" xfId="0" applyAlignment="1">
      <alignment horizontal="left"/>
    </xf>
    <xf numFmtId="9" fontId="7" fillId="0" borderId="0" xfId="17" applyFont="1" applyAlignment="1">
      <alignment horizontal="center"/>
    </xf>
    <xf numFmtId="9" fontId="7" fillId="0" borderId="0" xfId="0" applyNumberFormat="1" applyFont="1" applyAlignment="1">
      <alignment horizontal="center"/>
    </xf>
    <xf numFmtId="43" fontId="11" fillId="0" borderId="0" xfId="1" applyFont="1"/>
    <xf numFmtId="43" fontId="3" fillId="0" borderId="1" xfId="1" applyFont="1" applyBorder="1" applyAlignment="1">
      <alignment horizontal="left"/>
    </xf>
    <xf numFmtId="0" fontId="8" fillId="0" borderId="0" xfId="0" applyFont="1"/>
    <xf numFmtId="16" fontId="7" fillId="0" borderId="1" xfId="0" applyNumberFormat="1" applyFont="1" applyBorder="1"/>
    <xf numFmtId="168" fontId="0" fillId="0" borderId="1" xfId="0" applyNumberFormat="1" applyBorder="1"/>
    <xf numFmtId="0" fontId="0" fillId="0" borderId="3" xfId="0" applyBorder="1"/>
    <xf numFmtId="0" fontId="0" fillId="0" borderId="5" xfId="0" applyBorder="1"/>
    <xf numFmtId="0" fontId="0" fillId="0" borderId="6" xfId="0" applyBorder="1"/>
    <xf numFmtId="0" fontId="0" fillId="0" borderId="7" xfId="0" applyBorder="1"/>
    <xf numFmtId="1" fontId="0" fillId="0" borderId="6" xfId="0" applyNumberFormat="1" applyBorder="1"/>
    <xf numFmtId="1" fontId="0" fillId="0" borderId="8" xfId="0" applyNumberFormat="1" applyBorder="1"/>
    <xf numFmtId="0" fontId="0" fillId="0" borderId="9" xfId="0" applyBorder="1"/>
    <xf numFmtId="0" fontId="0" fillId="0" borderId="8" xfId="0" applyBorder="1"/>
    <xf numFmtId="168" fontId="16" fillId="0" borderId="0" xfId="0" applyNumberFormat="1" applyFont="1"/>
    <xf numFmtId="164" fontId="0" fillId="0" borderId="0" xfId="0" applyNumberFormat="1"/>
    <xf numFmtId="43" fontId="3" fillId="0" borderId="1" xfId="1" applyFont="1" applyBorder="1" applyAlignment="1">
      <alignment horizontal="right"/>
    </xf>
    <xf numFmtId="43" fontId="6" fillId="0" borderId="0" xfId="1" applyFont="1" applyAlignment="1">
      <alignment horizontal="center"/>
    </xf>
    <xf numFmtId="0" fontId="0" fillId="0" borderId="4" xfId="0" applyBorder="1"/>
    <xf numFmtId="167" fontId="7" fillId="0" borderId="0" xfId="6" applyNumberFormat="1" applyFont="1"/>
    <xf numFmtId="0" fontId="9" fillId="0" borderId="0" xfId="15"/>
    <xf numFmtId="166" fontId="7" fillId="0" borderId="0" xfId="2" applyNumberFormat="1" applyFont="1"/>
    <xf numFmtId="43" fontId="7" fillId="0" borderId="0" xfId="2" applyFont="1"/>
    <xf numFmtId="164" fontId="7" fillId="0" borderId="0" xfId="2" applyNumberFormat="1" applyFont="1"/>
    <xf numFmtId="43" fontId="9" fillId="0" borderId="0" xfId="2"/>
    <xf numFmtId="167" fontId="9" fillId="0" borderId="0" xfId="15" applyNumberFormat="1"/>
    <xf numFmtId="43" fontId="7" fillId="0" borderId="0" xfId="2" applyFont="1" applyFill="1"/>
    <xf numFmtId="164" fontId="7" fillId="0" borderId="0" xfId="2" applyNumberFormat="1" applyFont="1" applyFill="1"/>
    <xf numFmtId="164" fontId="0" fillId="0" borderId="0" xfId="1" applyNumberFormat="1" applyFont="1"/>
    <xf numFmtId="0" fontId="6" fillId="0" borderId="2" xfId="0" applyFont="1" applyBorder="1" applyAlignment="1">
      <alignment horizontal="center"/>
    </xf>
    <xf numFmtId="164" fontId="7" fillId="0" borderId="0" xfId="1" applyNumberFormat="1" applyFont="1" applyBorder="1"/>
    <xf numFmtId="43" fontId="3" fillId="0" borderId="0" xfId="1" applyFont="1" applyBorder="1" applyAlignment="1">
      <alignment horizontal="center"/>
    </xf>
    <xf numFmtId="43" fontId="8" fillId="0" borderId="0" xfId="1" applyFont="1" applyBorder="1"/>
    <xf numFmtId="43" fontId="0" fillId="0" borderId="0" xfId="0" applyNumberFormat="1" applyAlignment="1">
      <alignment horizontal="right"/>
    </xf>
    <xf numFmtId="43" fontId="3" fillId="0" borderId="0" xfId="1" applyFont="1" applyBorder="1" applyAlignment="1">
      <alignment horizontal="left"/>
    </xf>
    <xf numFmtId="43" fontId="3" fillId="0" borderId="0" xfId="1" applyFont="1" applyBorder="1" applyAlignment="1">
      <alignment horizontal="right"/>
    </xf>
    <xf numFmtId="167" fontId="17" fillId="0" borderId="0" xfId="0" applyNumberFormat="1" applyFont="1"/>
    <xf numFmtId="43" fontId="7" fillId="0" borderId="0" xfId="1" applyFont="1" applyFill="1" applyBorder="1"/>
    <xf numFmtId="43" fontId="11" fillId="0" borderId="0" xfId="1" applyFont="1" applyBorder="1"/>
    <xf numFmtId="0" fontId="8" fillId="0" borderId="0" xfId="15" applyFont="1"/>
    <xf numFmtId="0" fontId="17" fillId="0" borderId="0" xfId="0" applyFont="1"/>
    <xf numFmtId="164" fontId="3" fillId="0" borderId="0" xfId="1" applyNumberFormat="1" applyFill="1"/>
    <xf numFmtId="43" fontId="3" fillId="0" borderId="0" xfId="1" applyFill="1"/>
    <xf numFmtId="167" fontId="7" fillId="0" borderId="0" xfId="1" applyNumberFormat="1" applyFont="1" applyFill="1" applyBorder="1"/>
    <xf numFmtId="43" fontId="6" fillId="0" borderId="0" xfId="1" applyFont="1" applyBorder="1" applyAlignment="1">
      <alignment horizontal="center"/>
    </xf>
    <xf numFmtId="43" fontId="3" fillId="0" borderId="2" xfId="1" applyFill="1" applyBorder="1"/>
    <xf numFmtId="0" fontId="8" fillId="0" borderId="0" xfId="0" applyFont="1" applyAlignment="1">
      <alignment horizontal="right"/>
    </xf>
    <xf numFmtId="164" fontId="7" fillId="0" borderId="0" xfId="1" applyNumberFormat="1" applyFont="1" applyFill="1" applyBorder="1"/>
    <xf numFmtId="43" fontId="3" fillId="0" borderId="0" xfId="1" applyFill="1" applyBorder="1"/>
    <xf numFmtId="164" fontId="7" fillId="0" borderId="1" xfId="1" applyNumberFormat="1" applyFont="1" applyBorder="1"/>
    <xf numFmtId="43" fontId="7" fillId="0" borderId="1" xfId="1" applyFont="1" applyBorder="1"/>
    <xf numFmtId="167" fontId="7" fillId="0" borderId="0" xfId="1" applyNumberFormat="1" applyFont="1" applyFill="1"/>
    <xf numFmtId="167" fontId="7" fillId="0" borderId="0" xfId="6" applyNumberFormat="1" applyFont="1" applyFill="1"/>
    <xf numFmtId="164" fontId="7" fillId="0" borderId="0" xfId="1" applyNumberFormat="1" applyFont="1" applyFill="1"/>
    <xf numFmtId="43" fontId="8" fillId="0" borderId="0" xfId="1" applyFont="1" applyFill="1" applyBorder="1"/>
    <xf numFmtId="43" fontId="6" fillId="0" borderId="0" xfId="1" applyFont="1" applyFill="1" applyAlignment="1">
      <alignment horizontal="center"/>
    </xf>
    <xf numFmtId="164" fontId="7" fillId="0" borderId="2" xfId="1" applyNumberFormat="1" applyFont="1" applyFill="1" applyBorder="1"/>
    <xf numFmtId="43" fontId="11" fillId="0" borderId="0" xfId="1" applyFont="1" applyFill="1" applyBorder="1"/>
    <xf numFmtId="43" fontId="6" fillId="0" borderId="0" xfId="1" applyFont="1" applyFill="1" applyBorder="1" applyAlignment="1">
      <alignment horizontal="center"/>
    </xf>
    <xf numFmtId="43" fontId="11" fillId="0" borderId="0" xfId="1" applyFont="1" applyFill="1"/>
    <xf numFmtId="43" fontId="8" fillId="0" borderId="0" xfId="1" applyFont="1" applyFill="1"/>
    <xf numFmtId="43" fontId="7" fillId="0" borderId="2" xfId="1" applyFont="1" applyFill="1" applyBorder="1"/>
    <xf numFmtId="43" fontId="11" fillId="0" borderId="2" xfId="1" applyFont="1" applyFill="1" applyBorder="1"/>
    <xf numFmtId="43" fontId="8" fillId="0" borderId="2" xfId="1" applyFont="1" applyFill="1" applyBorder="1"/>
    <xf numFmtId="43" fontId="6" fillId="0" borderId="2" xfId="1" applyFont="1" applyFill="1" applyBorder="1" applyAlignment="1">
      <alignment horizontal="center"/>
    </xf>
    <xf numFmtId="44" fontId="0" fillId="0" borderId="0" xfId="10" applyFont="1"/>
    <xf numFmtId="43" fontId="3" fillId="2" borderId="0" xfId="1" applyFill="1"/>
    <xf numFmtId="167" fontId="8" fillId="2" borderId="0" xfId="1" applyNumberFormat="1" applyFont="1" applyFill="1"/>
    <xf numFmtId="167" fontId="7" fillId="3" borderId="0" xfId="1" applyNumberFormat="1" applyFont="1" applyFill="1"/>
    <xf numFmtId="167" fontId="7" fillId="0" borderId="0" xfId="2" applyNumberFormat="1" applyFont="1" applyFill="1"/>
    <xf numFmtId="167" fontId="7" fillId="0" borderId="0" xfId="2" applyNumberFormat="1" applyFont="1"/>
    <xf numFmtId="167" fontId="7" fillId="0" borderId="0" xfId="2" applyNumberFormat="1" applyFont="1" applyFill="1" applyBorder="1"/>
    <xf numFmtId="0" fontId="13" fillId="0" borderId="0" xfId="0" applyFont="1"/>
    <xf numFmtId="14" fontId="0" fillId="0" borderId="0" xfId="0" applyNumberFormat="1"/>
    <xf numFmtId="0" fontId="4" fillId="0" borderId="0" xfId="12" applyAlignment="1" applyProtection="1"/>
    <xf numFmtId="164" fontId="3" fillId="0" borderId="2" xfId="1" applyNumberFormat="1" applyFont="1" applyFill="1" applyBorder="1"/>
    <xf numFmtId="164" fontId="3" fillId="0" borderId="0" xfId="1" applyNumberFormat="1" applyFont="1" applyFill="1"/>
    <xf numFmtId="0" fontId="0" fillId="5" borderId="7" xfId="0" applyFill="1" applyBorder="1" applyAlignment="1" applyProtection="1">
      <alignment horizontal="center" vertical="center"/>
      <protection locked="0"/>
    </xf>
    <xf numFmtId="37" fontId="3" fillId="5" borderId="7" xfId="1" applyNumberFormat="1" applyFont="1" applyFill="1" applyBorder="1" applyAlignment="1" applyProtection="1">
      <alignment horizontal="center" vertical="center"/>
      <protection locked="0"/>
    </xf>
    <xf numFmtId="3" fontId="0" fillId="5" borderId="9" xfId="17" applyNumberFormat="1" applyFont="1" applyFill="1" applyBorder="1" applyAlignment="1" applyProtection="1">
      <alignment horizontal="center"/>
      <protection locked="0"/>
    </xf>
    <xf numFmtId="0" fontId="3" fillId="0" borderId="0" xfId="0" applyFont="1"/>
    <xf numFmtId="9" fontId="3" fillId="5" borderId="7" xfId="17" applyFont="1" applyFill="1" applyBorder="1" applyAlignment="1" applyProtection="1">
      <alignment horizontal="center" vertical="center"/>
      <protection locked="0"/>
    </xf>
    <xf numFmtId="14" fontId="3" fillId="0" borderId="0" xfId="0" applyNumberFormat="1" applyFont="1"/>
    <xf numFmtId="17" fontId="3" fillId="0" borderId="0" xfId="0" applyNumberFormat="1" applyFont="1"/>
    <xf numFmtId="14" fontId="0" fillId="0" borderId="6" xfId="0" applyNumberFormat="1" applyBorder="1"/>
    <xf numFmtId="0" fontId="3" fillId="7" borderId="7" xfId="0" applyFont="1" applyFill="1" applyBorder="1" applyAlignment="1" applyProtection="1">
      <alignment horizontal="center"/>
      <protection locked="0"/>
    </xf>
    <xf numFmtId="14" fontId="0" fillId="6" borderId="7" xfId="0" applyNumberFormat="1" applyFill="1" applyBorder="1" applyProtection="1">
      <protection locked="0"/>
    </xf>
    <xf numFmtId="44" fontId="0" fillId="0" borderId="0" xfId="0" applyNumberFormat="1"/>
    <xf numFmtId="0" fontId="3" fillId="0" borderId="1" xfId="0" applyFont="1" applyBorder="1" applyAlignment="1">
      <alignment horizontal="center"/>
    </xf>
    <xf numFmtId="0" fontId="3" fillId="0" borderId="1" xfId="0" applyFont="1" applyBorder="1"/>
    <xf numFmtId="0" fontId="3" fillId="0" borderId="18" xfId="0" applyFont="1" applyBorder="1"/>
    <xf numFmtId="0" fontId="3" fillId="0" borderId="19" xfId="0" applyFont="1" applyBorder="1"/>
    <xf numFmtId="0" fontId="3" fillId="0" borderId="0" xfId="0" applyFont="1" applyAlignment="1">
      <alignment horizontal="center"/>
    </xf>
    <xf numFmtId="164" fontId="3" fillId="0" borderId="0" xfId="1" applyNumberFormat="1" applyFont="1" applyAlignment="1">
      <alignment horizontal="right"/>
    </xf>
    <xf numFmtId="0" fontId="3" fillId="0" borderId="0" xfId="0" applyFont="1" applyAlignment="1">
      <alignment horizontal="right"/>
    </xf>
    <xf numFmtId="0" fontId="8" fillId="0" borderId="0" xfId="1" applyNumberFormat="1" applyFont="1"/>
    <xf numFmtId="164" fontId="3" fillId="0" borderId="0" xfId="1" applyNumberFormat="1" applyFont="1" applyFill="1" applyBorder="1"/>
    <xf numFmtId="164" fontId="3" fillId="0" borderId="0" xfId="1" applyNumberFormat="1" applyFont="1" applyBorder="1"/>
    <xf numFmtId="164" fontId="3" fillId="0" borderId="2" xfId="1" applyNumberFormat="1" applyFont="1" applyBorder="1"/>
    <xf numFmtId="164" fontId="3" fillId="0" borderId="0" xfId="2" applyNumberFormat="1" applyFont="1"/>
    <xf numFmtId="167" fontId="3" fillId="0" borderId="0" xfId="0" applyNumberFormat="1" applyFont="1"/>
    <xf numFmtId="164" fontId="3" fillId="0" borderId="0" xfId="1" applyNumberFormat="1" applyFont="1" applyBorder="1" applyAlignment="1">
      <alignment horizontal="center"/>
    </xf>
    <xf numFmtId="43" fontId="3" fillId="0" borderId="0" xfId="0" applyNumberFormat="1" applyFont="1" applyAlignment="1">
      <alignment horizontal="center"/>
    </xf>
    <xf numFmtId="0" fontId="3" fillId="0" borderId="0" xfId="1" applyNumberFormat="1" applyFont="1" applyBorder="1"/>
    <xf numFmtId="43" fontId="3" fillId="0" borderId="0" xfId="1" applyFont="1" applyBorder="1"/>
    <xf numFmtId="0" fontId="3" fillId="0" borderId="0" xfId="0" applyFont="1" applyAlignment="1">
      <alignment horizontal="right" wrapText="1"/>
    </xf>
    <xf numFmtId="0" fontId="3" fillId="0" borderId="4" xfId="0" applyFont="1" applyBorder="1"/>
    <xf numFmtId="0" fontId="3" fillId="0" borderId="7" xfId="0" applyFont="1" applyBorder="1"/>
    <xf numFmtId="43" fontId="7" fillId="6" borderId="0" xfId="2" applyFont="1" applyFill="1"/>
    <xf numFmtId="43" fontId="7" fillId="8" borderId="0" xfId="2" applyFont="1" applyFill="1"/>
    <xf numFmtId="166" fontId="7" fillId="8" borderId="0" xfId="2" applyNumberFormat="1" applyFont="1" applyFill="1"/>
    <xf numFmtId="43" fontId="7" fillId="8" borderId="0" xfId="5" applyFont="1" applyFill="1"/>
    <xf numFmtId="166" fontId="7" fillId="8" borderId="0" xfId="5" applyNumberFormat="1" applyFont="1" applyFill="1"/>
    <xf numFmtId="0" fontId="0" fillId="8" borderId="0" xfId="0" applyFill="1"/>
    <xf numFmtId="17" fontId="3" fillId="0" borderId="7" xfId="0" applyNumberFormat="1" applyFont="1" applyBorder="1"/>
    <xf numFmtId="0" fontId="24" fillId="0" borderId="0" xfId="24"/>
    <xf numFmtId="167" fontId="7" fillId="0" borderId="0" xfId="25" applyNumberFormat="1" applyFont="1" applyFill="1"/>
    <xf numFmtId="167" fontId="7" fillId="0" borderId="0" xfId="25" applyNumberFormat="1" applyFont="1"/>
    <xf numFmtId="167" fontId="24" fillId="0" borderId="0" xfId="24" applyNumberFormat="1"/>
    <xf numFmtId="167" fontId="7" fillId="0" borderId="0" xfId="25" applyNumberFormat="1" applyFont="1" applyFill="1" applyBorder="1"/>
    <xf numFmtId="0" fontId="3" fillId="0" borderId="0" xfId="24" applyFont="1"/>
    <xf numFmtId="0" fontId="6" fillId="0" borderId="0" xfId="24" applyFont="1" applyAlignment="1">
      <alignment horizontal="center"/>
    </xf>
    <xf numFmtId="0" fontId="25" fillId="0" borderId="0" xfId="27" applyFont="1" applyAlignment="1">
      <alignment horizontal="right" vertical="center"/>
    </xf>
    <xf numFmtId="0" fontId="24" fillId="0" borderId="2" xfId="24" applyBorder="1"/>
    <xf numFmtId="167" fontId="24" fillId="0" borderId="2" xfId="24" applyNumberFormat="1" applyBorder="1"/>
    <xf numFmtId="0" fontId="3" fillId="5" borderId="7" xfId="0" applyFont="1" applyFill="1" applyBorder="1" applyAlignment="1" applyProtection="1">
      <alignment horizontal="center"/>
      <protection locked="0"/>
    </xf>
    <xf numFmtId="0" fontId="0" fillId="0" borderId="0" xfId="0" applyProtection="1">
      <protection locked="0"/>
    </xf>
    <xf numFmtId="169" fontId="3" fillId="5" borderId="7" xfId="1" applyNumberFormat="1" applyFont="1" applyFill="1" applyBorder="1" applyAlignment="1" applyProtection="1">
      <alignment horizontal="center" vertical="center"/>
      <protection locked="0"/>
    </xf>
    <xf numFmtId="164" fontId="27" fillId="0" borderId="0" xfId="1" applyNumberFormat="1" applyFont="1" applyBorder="1"/>
    <xf numFmtId="164" fontId="6" fillId="6" borderId="0" xfId="1" applyNumberFormat="1" applyFont="1" applyFill="1" applyAlignment="1">
      <alignment horizontal="left"/>
    </xf>
    <xf numFmtId="1" fontId="6" fillId="6" borderId="0" xfId="1" applyNumberFormat="1" applyFont="1" applyFill="1" applyBorder="1" applyAlignment="1">
      <alignment horizontal="left"/>
    </xf>
    <xf numFmtId="0" fontId="0" fillId="0" borderId="10" xfId="0" applyBorder="1" applyProtection="1">
      <protection hidden="1"/>
    </xf>
    <xf numFmtId="0" fontId="18" fillId="4" borderId="10" xfId="0" applyFont="1" applyFill="1" applyBorder="1" applyAlignment="1" applyProtection="1">
      <alignment horizontal="center" vertical="center" wrapText="1"/>
      <protection hidden="1"/>
    </xf>
    <xf numFmtId="0" fontId="18" fillId="4" borderId="12" xfId="0" applyFont="1" applyFill="1" applyBorder="1" applyAlignment="1" applyProtection="1">
      <alignment horizontal="center" vertical="center" wrapText="1"/>
      <protection hidden="1"/>
    </xf>
    <xf numFmtId="0" fontId="6" fillId="0" borderId="6" xfId="0" applyFont="1" applyBorder="1" applyAlignment="1" applyProtection="1">
      <alignment horizontal="left"/>
      <protection hidden="1"/>
    </xf>
    <xf numFmtId="0" fontId="6" fillId="0" borderId="0" xfId="0" applyFont="1" applyAlignment="1" applyProtection="1">
      <alignment horizontal="left"/>
      <protection hidden="1"/>
    </xf>
    <xf numFmtId="0" fontId="4" fillId="0" borderId="0" xfId="12" quotePrefix="1" applyBorder="1" applyAlignment="1" applyProtection="1">
      <alignment horizontal="center"/>
      <protection hidden="1"/>
    </xf>
    <xf numFmtId="44" fontId="0" fillId="0" borderId="7" xfId="10" applyFont="1" applyBorder="1" applyAlignment="1" applyProtection="1">
      <alignment horizontal="left" indent="4"/>
      <protection hidden="1"/>
    </xf>
    <xf numFmtId="0" fontId="21" fillId="0" borderId="0" xfId="12" applyFont="1" applyBorder="1" applyAlignment="1" applyProtection="1">
      <alignment horizontal="center" vertical="center"/>
      <protection hidden="1"/>
    </xf>
    <xf numFmtId="44" fontId="0" fillId="0" borderId="7" xfId="10" applyFont="1" applyBorder="1" applyAlignment="1" applyProtection="1">
      <alignment horizontal="left" vertical="center" indent="4"/>
      <protection hidden="1"/>
    </xf>
    <xf numFmtId="44" fontId="0" fillId="0" borderId="9" xfId="10" applyFont="1" applyBorder="1" applyAlignment="1" applyProtection="1">
      <alignment horizontal="left" indent="4"/>
      <protection hidden="1"/>
    </xf>
    <xf numFmtId="0" fontId="0" fillId="0" borderId="0" xfId="0" applyProtection="1">
      <protection hidden="1"/>
    </xf>
    <xf numFmtId="44" fontId="6" fillId="0" borderId="5" xfId="10" applyFont="1" applyBorder="1" applyAlignment="1" applyProtection="1">
      <alignment horizontal="left" indent="1"/>
      <protection hidden="1"/>
    </xf>
    <xf numFmtId="0" fontId="6" fillId="0" borderId="0" xfId="0" applyFont="1" applyProtection="1">
      <protection hidden="1"/>
    </xf>
    <xf numFmtId="44" fontId="3" fillId="0" borderId="9" xfId="0" applyNumberFormat="1" applyFont="1" applyBorder="1" applyAlignment="1" applyProtection="1">
      <alignment horizontal="left" indent="1"/>
      <protection hidden="1"/>
    </xf>
    <xf numFmtId="0" fontId="6" fillId="0" borderId="1" xfId="0" applyFont="1" applyBorder="1" applyProtection="1">
      <protection hidden="1"/>
    </xf>
    <xf numFmtId="44" fontId="6" fillId="0" borderId="9" xfId="0" applyNumberFormat="1" applyFont="1" applyBorder="1" applyProtection="1">
      <protection hidden="1"/>
    </xf>
    <xf numFmtId="44" fontId="6" fillId="0" borderId="0" xfId="0" applyNumberFormat="1" applyFont="1" applyProtection="1">
      <protection hidden="1"/>
    </xf>
    <xf numFmtId="0" fontId="4" fillId="0" borderId="6" xfId="12" applyBorder="1" applyAlignment="1" applyProtection="1">
      <alignment horizontal="center"/>
      <protection hidden="1"/>
    </xf>
    <xf numFmtId="0" fontId="4" fillId="0" borderId="8" xfId="12" applyBorder="1" applyAlignment="1" applyProtection="1">
      <alignment horizontal="center"/>
      <protection hidden="1"/>
    </xf>
    <xf numFmtId="0" fontId="18" fillId="4" borderId="11" xfId="0" applyFont="1" applyFill="1" applyBorder="1" applyAlignment="1" applyProtection="1">
      <alignment vertical="top" wrapText="1"/>
      <protection hidden="1"/>
    </xf>
    <xf numFmtId="0" fontId="21" fillId="0" borderId="6" xfId="12"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Alignment="1" applyProtection="1">
      <alignment wrapText="1"/>
      <protection hidden="1"/>
    </xf>
    <xf numFmtId="0" fontId="22" fillId="0" borderId="0" xfId="0" applyFont="1" applyAlignment="1" applyProtection="1">
      <alignment horizontal="left" vertical="center" wrapText="1" indent="17"/>
      <protection hidden="1"/>
    </xf>
    <xf numFmtId="0" fontId="18" fillId="4" borderId="11" xfId="0" applyFont="1" applyFill="1" applyBorder="1" applyAlignment="1" applyProtection="1">
      <alignment horizontal="center" vertical="center" wrapText="1"/>
      <protection hidden="1"/>
    </xf>
    <xf numFmtId="0" fontId="18" fillId="4" borderId="10" xfId="0" applyFont="1" applyFill="1" applyBorder="1" applyAlignment="1" applyProtection="1">
      <alignment horizontal="center" vertical="center" wrapText="1"/>
      <protection hidden="1"/>
    </xf>
    <xf numFmtId="0" fontId="3" fillId="0" borderId="6" xfId="0" applyFont="1" applyBorder="1" applyAlignment="1" applyProtection="1">
      <alignment horizontal="left" indent="4"/>
      <protection hidden="1"/>
    </xf>
    <xf numFmtId="0" fontId="3" fillId="0" borderId="0" xfId="0" applyFont="1" applyAlignment="1" applyProtection="1">
      <alignment horizontal="left" indent="4"/>
      <protection hidden="1"/>
    </xf>
    <xf numFmtId="0" fontId="3" fillId="0" borderId="6" xfId="0" applyFont="1" applyBorder="1" applyAlignment="1" applyProtection="1">
      <alignment horizontal="left" wrapText="1" indent="4"/>
      <protection hidden="1"/>
    </xf>
    <xf numFmtId="0" fontId="3" fillId="0" borderId="0" xfId="0" applyFont="1" applyAlignment="1" applyProtection="1">
      <alignment horizontal="left" wrapText="1" indent="4"/>
      <protection hidden="1"/>
    </xf>
    <xf numFmtId="0" fontId="6" fillId="0" borderId="6" xfId="0" applyFont="1" applyBorder="1" applyAlignment="1" applyProtection="1">
      <alignment horizontal="left"/>
      <protection hidden="1"/>
    </xf>
    <xf numFmtId="0" fontId="6" fillId="0" borderId="0" xfId="0" applyFont="1" applyAlignment="1" applyProtection="1">
      <alignment horizontal="left"/>
      <protection hidden="1"/>
    </xf>
    <xf numFmtId="0" fontId="6" fillId="0" borderId="7" xfId="0" applyFont="1" applyBorder="1" applyAlignment="1" applyProtection="1">
      <alignment horizontal="left"/>
      <protection hidden="1"/>
    </xf>
    <xf numFmtId="0" fontId="18" fillId="4" borderId="10" xfId="0" applyFont="1" applyFill="1" applyBorder="1" applyAlignment="1" applyProtection="1">
      <alignment horizontal="center" vertical="top" wrapText="1"/>
      <protection hidden="1"/>
    </xf>
    <xf numFmtId="0" fontId="18" fillId="4" borderId="12" xfId="0" applyFont="1" applyFill="1" applyBorder="1" applyAlignment="1" applyProtection="1">
      <alignment horizontal="center" vertical="top" wrapText="1"/>
      <protection hidden="1"/>
    </xf>
    <xf numFmtId="0" fontId="3" fillId="0" borderId="0" xfId="0" applyFont="1" applyAlignment="1" applyProtection="1">
      <alignment horizontal="left" wrapText="1"/>
      <protection hidden="1"/>
    </xf>
    <xf numFmtId="0" fontId="3" fillId="0" borderId="0" xfId="0" applyFont="1" applyAlignment="1" applyProtection="1">
      <alignment horizontal="left"/>
      <protection hidden="1"/>
    </xf>
    <xf numFmtId="0" fontId="18" fillId="4" borderId="3" xfId="0" applyFont="1" applyFill="1" applyBorder="1" applyAlignment="1" applyProtection="1">
      <alignment horizontal="center" vertical="top" wrapText="1"/>
      <protection hidden="1"/>
    </xf>
    <xf numFmtId="0" fontId="18" fillId="4" borderId="4" xfId="0" applyFont="1" applyFill="1" applyBorder="1" applyAlignment="1" applyProtection="1">
      <alignment horizontal="center" vertical="top" wrapText="1"/>
      <protection hidden="1"/>
    </xf>
    <xf numFmtId="0" fontId="18" fillId="4" borderId="5" xfId="0" applyFont="1" applyFill="1" applyBorder="1" applyAlignment="1" applyProtection="1">
      <alignment horizontal="center" vertical="top" wrapText="1"/>
      <protection hidden="1"/>
    </xf>
    <xf numFmtId="0" fontId="23" fillId="0" borderId="3" xfId="0" applyFont="1" applyBorder="1" applyAlignment="1" applyProtection="1">
      <alignment horizontal="center" wrapText="1"/>
      <protection hidden="1"/>
    </xf>
    <xf numFmtId="0" fontId="23" fillId="0" borderId="4" xfId="0" applyFont="1" applyBorder="1" applyAlignment="1" applyProtection="1">
      <alignment horizontal="center" wrapText="1"/>
      <protection hidden="1"/>
    </xf>
    <xf numFmtId="0" fontId="23" fillId="0" borderId="5" xfId="0" applyFont="1" applyBorder="1" applyAlignment="1" applyProtection="1">
      <alignment horizontal="center" wrapText="1"/>
      <protection hidden="1"/>
    </xf>
    <xf numFmtId="0" fontId="23" fillId="0" borderId="6" xfId="0" applyFont="1" applyBorder="1" applyAlignment="1" applyProtection="1">
      <alignment horizontal="center" wrapText="1"/>
      <protection hidden="1"/>
    </xf>
    <xf numFmtId="0" fontId="23" fillId="0" borderId="0" xfId="0" applyFont="1" applyAlignment="1" applyProtection="1">
      <alignment horizontal="center" wrapText="1"/>
      <protection hidden="1"/>
    </xf>
    <xf numFmtId="0" fontId="23" fillId="0" borderId="7" xfId="0" applyFont="1" applyBorder="1" applyAlignment="1" applyProtection="1">
      <alignment horizontal="center" wrapText="1"/>
      <protection hidden="1"/>
    </xf>
    <xf numFmtId="0" fontId="3" fillId="0" borderId="1" xfId="0" applyFont="1" applyBorder="1" applyAlignment="1" applyProtection="1">
      <alignment horizontal="left" vertical="center"/>
      <protection hidden="1"/>
    </xf>
    <xf numFmtId="0" fontId="23" fillId="0" borderId="6" xfId="0" applyFont="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3" fillId="0" borderId="7"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wrapText="1"/>
      <protection hidden="1"/>
    </xf>
    <xf numFmtId="0" fontId="3" fillId="0" borderId="4" xfId="0" applyFont="1" applyBorder="1" applyAlignment="1" applyProtection="1">
      <alignment horizontal="left"/>
      <protection hidden="1"/>
    </xf>
    <xf numFmtId="0" fontId="21" fillId="0" borderId="8" xfId="12" applyFont="1" applyBorder="1" applyAlignment="1" applyProtection="1">
      <alignment horizontal="center"/>
      <protection hidden="1"/>
    </xf>
    <xf numFmtId="0" fontId="21" fillId="0" borderId="1" xfId="12" applyFont="1" applyBorder="1" applyAlignment="1" applyProtection="1">
      <alignment horizontal="center"/>
      <protection hidden="1"/>
    </xf>
    <xf numFmtId="0" fontId="21" fillId="0" borderId="9" xfId="12" applyFont="1" applyBorder="1" applyAlignment="1" applyProtection="1">
      <alignment horizontal="center"/>
      <protection hidden="1"/>
    </xf>
    <xf numFmtId="0" fontId="18" fillId="4" borderId="11" xfId="0" applyFont="1" applyFill="1" applyBorder="1" applyAlignment="1" applyProtection="1">
      <alignment horizontal="center" vertical="top" wrapText="1"/>
      <protection hidden="1"/>
    </xf>
    <xf numFmtId="0" fontId="26" fillId="0" borderId="3" xfId="0" applyFont="1" applyBorder="1" applyAlignment="1" applyProtection="1">
      <alignment horizontal="left" wrapText="1"/>
      <protection hidden="1"/>
    </xf>
    <xf numFmtId="0" fontId="26" fillId="0" borderId="4" xfId="0" applyFont="1" applyBorder="1" applyAlignment="1" applyProtection="1">
      <alignment horizontal="left" wrapText="1"/>
      <protection hidden="1"/>
    </xf>
    <xf numFmtId="0" fontId="26" fillId="0" borderId="5" xfId="0" applyFont="1" applyBorder="1" applyAlignment="1" applyProtection="1">
      <alignment horizontal="left" wrapText="1"/>
      <protection hidden="1"/>
    </xf>
    <xf numFmtId="0" fontId="26" fillId="0" borderId="6" xfId="0" applyFont="1" applyBorder="1" applyAlignment="1" applyProtection="1">
      <alignment horizontal="left" wrapText="1"/>
      <protection hidden="1"/>
    </xf>
    <xf numFmtId="0" fontId="26" fillId="0" borderId="0" xfId="0" applyFont="1" applyAlignment="1" applyProtection="1">
      <alignment horizontal="left" wrapText="1"/>
      <protection hidden="1"/>
    </xf>
    <xf numFmtId="0" fontId="26" fillId="0" borderId="7" xfId="0" applyFont="1" applyBorder="1" applyAlignment="1" applyProtection="1">
      <alignment horizontal="left" wrapText="1"/>
      <protection hidden="1"/>
    </xf>
    <xf numFmtId="0" fontId="26" fillId="0" borderId="8" xfId="0" applyFont="1" applyBorder="1" applyAlignment="1" applyProtection="1">
      <alignment horizontal="left" wrapText="1"/>
      <protection hidden="1"/>
    </xf>
    <xf numFmtId="0" fontId="26" fillId="0" borderId="1" xfId="0" applyFont="1" applyBorder="1" applyAlignment="1" applyProtection="1">
      <alignment horizontal="left" wrapText="1"/>
      <protection hidden="1"/>
    </xf>
    <xf numFmtId="0" fontId="26" fillId="0" borderId="9" xfId="0" applyFont="1" applyBorder="1" applyAlignment="1" applyProtection="1">
      <alignment horizontal="left" wrapText="1"/>
      <protection hidden="1"/>
    </xf>
    <xf numFmtId="0" fontId="6" fillId="0" borderId="6" xfId="0" applyFont="1" applyBorder="1" applyAlignment="1" applyProtection="1">
      <alignment horizontal="left" indent="2"/>
      <protection hidden="1"/>
    </xf>
    <xf numFmtId="0" fontId="6" fillId="0" borderId="0" xfId="0" applyFont="1" applyAlignment="1" applyProtection="1">
      <alignment horizontal="left" indent="2"/>
      <protection hidden="1"/>
    </xf>
    <xf numFmtId="0" fontId="3" fillId="0" borderId="6" xfId="0" applyFont="1" applyBorder="1" applyAlignment="1" applyProtection="1">
      <alignment horizontal="left" indent="2"/>
      <protection hidden="1"/>
    </xf>
    <xf numFmtId="0" fontId="3" fillId="0" borderId="0" xfId="0" applyFont="1" applyAlignment="1" applyProtection="1">
      <alignment horizontal="left" indent="2"/>
      <protection hidden="1"/>
    </xf>
    <xf numFmtId="0" fontId="6" fillId="0" borderId="8" xfId="0" applyFont="1" applyBorder="1" applyAlignment="1" applyProtection="1">
      <alignment horizontal="left"/>
      <protection hidden="1"/>
    </xf>
    <xf numFmtId="0" fontId="6" fillId="0" borderId="1" xfId="0" applyFont="1" applyBorder="1" applyAlignment="1" applyProtection="1">
      <alignment horizontal="left"/>
      <protection hidden="1"/>
    </xf>
    <xf numFmtId="0" fontId="6" fillId="0" borderId="2" xfId="0" applyFont="1" applyBorder="1" applyAlignment="1">
      <alignment horizontal="center"/>
    </xf>
    <xf numFmtId="0" fontId="3" fillId="0" borderId="17"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0" fillId="0" borderId="1" xfId="0" applyBorder="1" applyAlignment="1">
      <alignment horizontal="center"/>
    </xf>
    <xf numFmtId="164" fontId="17" fillId="7" borderId="13" xfId="1" applyNumberFormat="1" applyFont="1" applyFill="1" applyBorder="1" applyAlignment="1">
      <alignment horizontal="center"/>
    </xf>
    <xf numFmtId="164" fontId="17" fillId="7" borderId="14" xfId="1" applyNumberFormat="1" applyFont="1" applyFill="1" applyBorder="1" applyAlignment="1">
      <alignment horizontal="center"/>
    </xf>
    <xf numFmtId="164" fontId="17" fillId="7" borderId="15" xfId="1" applyNumberFormat="1" applyFont="1" applyFill="1" applyBorder="1" applyAlignment="1">
      <alignment horizontal="center"/>
    </xf>
    <xf numFmtId="0" fontId="0" fillId="0" borderId="0" xfId="0" applyAlignment="1">
      <alignment horizontal="center"/>
    </xf>
    <xf numFmtId="43" fontId="3" fillId="0" borderId="0" xfId="1" applyFont="1" applyBorder="1" applyAlignment="1">
      <alignment horizontal="center"/>
    </xf>
    <xf numFmtId="43" fontId="0" fillId="0" borderId="0" xfId="0" applyNumberFormat="1" applyAlignment="1">
      <alignment horizontal="right"/>
    </xf>
  </cellXfs>
  <cellStyles count="28">
    <cellStyle name="Comma" xfId="1" builtinId="3"/>
    <cellStyle name="Comma 2" xfId="2" xr:uid="{00000000-0005-0000-0000-000001000000}"/>
    <cellStyle name="Comma 2 2" xfId="3" xr:uid="{00000000-0005-0000-0000-000002000000}"/>
    <cellStyle name="Comma 2 3" xfId="25" xr:uid="{048AD542-5CCF-43D4-ABCA-3F762BFCE4DF}"/>
    <cellStyle name="Comma 3" xfId="4" xr:uid="{00000000-0005-0000-0000-000003000000}"/>
    <cellStyle name="Comma 4" xfId="5" xr:uid="{00000000-0005-0000-0000-000004000000}"/>
    <cellStyle name="Comma 5" xfId="6" xr:uid="{00000000-0005-0000-0000-000005000000}"/>
    <cellStyle name="Comma 5 2" xfId="26" xr:uid="{C499CFCE-48CB-42D4-B137-6E69DBA43291}"/>
    <cellStyle name="Comma 6" xfId="7" xr:uid="{00000000-0005-0000-0000-000006000000}"/>
    <cellStyle name="Comma 7" xfId="8" xr:uid="{00000000-0005-0000-0000-000007000000}"/>
    <cellStyle name="Comma 7 2" xfId="9" xr:uid="{00000000-0005-0000-0000-000008000000}"/>
    <cellStyle name="Currency" xfId="10" builtinId="4"/>
    <cellStyle name="Currency 2" xfId="11" xr:uid="{00000000-0005-0000-0000-00000A000000}"/>
    <cellStyle name="Hyperlink" xfId="12" builtinId="8"/>
    <cellStyle name="Hyperlink 2" xfId="13" xr:uid="{00000000-0005-0000-0000-00000C000000}"/>
    <cellStyle name="Normal" xfId="0" builtinId="0"/>
    <cellStyle name="Normal 2" xfId="14" xr:uid="{00000000-0005-0000-0000-00000E000000}"/>
    <cellStyle name="Normal 3" xfId="15" xr:uid="{00000000-0005-0000-0000-00000F000000}"/>
    <cellStyle name="Normal 4" xfId="16" xr:uid="{00000000-0005-0000-0000-000010000000}"/>
    <cellStyle name="Normal 5" xfId="24" xr:uid="{292BB568-E583-4EAE-BAB6-63C91C6F2022}"/>
    <cellStyle name="Normal 6" xfId="23" xr:uid="{75873149-5C57-4794-A878-F4B38B2B9161}"/>
    <cellStyle name="Normal 7" xfId="27" xr:uid="{FD3226AD-00F6-471B-88DD-8D165C4A8C8B}"/>
    <cellStyle name="Percent" xfId="17" builtinId="5"/>
    <cellStyle name="Percent 2" xfId="18" xr:uid="{00000000-0005-0000-0000-000012000000}"/>
    <cellStyle name="Percent 2 2" xfId="19" xr:uid="{00000000-0005-0000-0000-000013000000}"/>
    <cellStyle name="Percent 3" xfId="20" xr:uid="{00000000-0005-0000-0000-000014000000}"/>
    <cellStyle name="Percent 4" xfId="21" xr:uid="{00000000-0005-0000-0000-000015000000}"/>
    <cellStyle name="Percent 5" xfId="22" xr:uid="{00000000-0005-0000-0000-000016000000}"/>
  </cellStyles>
  <dxfs count="49">
    <dxf>
      <font>
        <color theme="0"/>
      </font>
    </dxf>
    <dxf>
      <font>
        <color theme="0"/>
      </font>
      <fill>
        <patternFill patternType="none">
          <bgColor auto="1"/>
        </patternFill>
      </fill>
    </dxf>
    <dxf>
      <font>
        <color theme="0"/>
      </font>
      <border>
        <left/>
        <right style="thin">
          <color auto="1"/>
        </right>
        <top/>
        <bottom/>
      </border>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auto="1"/>
      </font>
      <fill>
        <patternFill patternType="none">
          <bgColor auto="1"/>
        </patternFill>
      </fill>
    </dxf>
    <dxf>
      <font>
        <color theme="0"/>
      </font>
      <fill>
        <patternFill patternType="none">
          <bgColor auto="1"/>
        </patternFill>
      </fill>
    </dxf>
    <dxf>
      <font>
        <color theme="0"/>
      </font>
      <fill>
        <patternFill>
          <bgColor theme="0"/>
        </patternFill>
      </fill>
    </dxf>
    <dxf>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border>
        <left/>
        <right/>
        <top/>
        <bottom/>
        <vertical/>
        <horizontal/>
      </border>
    </dxf>
    <dxf>
      <fill>
        <patternFill patternType="none">
          <bgColor auto="1"/>
        </patternFill>
      </fill>
    </dxf>
    <dxf>
      <font>
        <color theme="0"/>
      </font>
    </dxf>
    <dxf>
      <font>
        <u/>
        <color theme="4"/>
      </font>
    </dxf>
    <dxf>
      <font>
        <color theme="0"/>
      </font>
    </dxf>
    <dxf>
      <font>
        <u/>
        <color theme="4"/>
      </font>
    </dxf>
    <dxf>
      <font>
        <color theme="0"/>
      </font>
      <fill>
        <patternFill patternType="none">
          <bgColor auto="1"/>
        </patternFill>
      </fill>
      <border>
        <left/>
        <right/>
        <top/>
        <bottom/>
        <vertical/>
        <horizontal/>
      </border>
    </dxf>
    <dxf>
      <font>
        <color theme="0"/>
      </font>
    </dxf>
    <dxf>
      <font>
        <color theme="0"/>
      </font>
    </dxf>
    <dxf>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solid">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u/>
        <color theme="4"/>
      </font>
    </dxf>
    <dxf>
      <font>
        <u/>
        <color theme="4"/>
      </font>
    </dxf>
    <dxf>
      <font>
        <u/>
        <color theme="4"/>
      </font>
    </dxf>
    <dxf>
      <font>
        <strike val="0"/>
        <u/>
        <color theme="4"/>
      </font>
    </dxf>
    <dxf>
      <font>
        <u/>
        <color theme="4"/>
      </font>
    </dxf>
    <dxf>
      <font>
        <u/>
        <color theme="4"/>
      </font>
    </dxf>
    <dxf>
      <font>
        <u/>
        <color theme="4"/>
      </font>
    </dxf>
    <dxf>
      <fill>
        <patternFill>
          <bgColor theme="5"/>
        </patternFill>
      </fill>
    </dxf>
    <dxf>
      <fill>
        <patternFill>
          <bgColor rgb="FF16A837"/>
        </patternFill>
      </fill>
    </dxf>
    <dxf>
      <font>
        <color theme="0"/>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strike val="0"/>
        <condense val="0"/>
        <extend val="0"/>
        <outline val="0"/>
        <shadow val="0"/>
        <u val="none"/>
        <vertAlign val="baseline"/>
        <sz val="10"/>
        <color auto="1"/>
        <name val="Arial"/>
        <family val="2"/>
        <scheme val="none"/>
      </font>
    </dxf>
  </dxfs>
  <tableStyles count="0" defaultTableStyle="TableStyleMedium2" defaultPivotStyle="PivotStyleLight16"/>
  <colors>
    <mruColors>
      <color rgb="FF1FAF59"/>
      <color rgb="FF16A837"/>
      <color rgb="FFCC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126994</xdr:rowOff>
    </xdr:from>
    <xdr:to>
      <xdr:col>3</xdr:col>
      <xdr:colOff>1539240</xdr:colOff>
      <xdr:row>3</xdr:row>
      <xdr:rowOff>20399</xdr:rowOff>
    </xdr:to>
    <xdr:pic>
      <xdr:nvPicPr>
        <xdr:cNvPr id="11392" name="Picture 5">
          <a:extLst>
            <a:ext uri="{FF2B5EF4-FFF2-40B4-BE49-F238E27FC236}">
              <a16:creationId xmlns:a16="http://schemas.microsoft.com/office/drawing/2014/main" id="{A4DFDC47-2416-6E04-3B58-65C9B4773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44"/>
          <a:ext cx="6949440" cy="4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101601</xdr:colOff>
      <xdr:row>0</xdr:row>
      <xdr:rowOff>58015</xdr:rowOff>
    </xdr:from>
    <xdr:to>
      <xdr:col>1</xdr:col>
      <xdr:colOff>1233954</xdr:colOff>
      <xdr:row>2</xdr:row>
      <xdr:rowOff>73890</xdr:rowOff>
    </xdr:to>
    <xdr:pic>
      <xdr:nvPicPr>
        <xdr:cNvPr id="17" name="Picture 16">
          <a:extLst>
            <a:ext uri="{FF2B5EF4-FFF2-40B4-BE49-F238E27FC236}">
              <a16:creationId xmlns:a16="http://schemas.microsoft.com/office/drawing/2014/main" id="{42B03482-12E1-7868-9639-89B9ABDD3BC6}"/>
            </a:ext>
          </a:extLst>
        </xdr:cNvPr>
        <xdr:cNvPicPr>
          <a:picLocks noChangeAspect="1"/>
        </xdr:cNvPicPr>
      </xdr:nvPicPr>
      <xdr:blipFill>
        <a:blip xmlns:r="http://schemas.openxmlformats.org/officeDocument/2006/relationships" r:embed="rId2"/>
        <a:stretch>
          <a:fillRect/>
        </a:stretch>
      </xdr:blipFill>
      <xdr:spPr>
        <a:xfrm>
          <a:off x="101601" y="58015"/>
          <a:ext cx="1951214" cy="361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605551</xdr:colOff>
      <xdr:row>48</xdr:row>
      <xdr:rowOff>156307</xdr:rowOff>
    </xdr:to>
    <xdr:pic>
      <xdr:nvPicPr>
        <xdr:cNvPr id="7" name="Picture 6">
          <a:extLst>
            <a:ext uri="{FF2B5EF4-FFF2-40B4-BE49-F238E27FC236}">
              <a16:creationId xmlns:a16="http://schemas.microsoft.com/office/drawing/2014/main" id="{A0788A83-A64F-86F7-FAAA-D565810EB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00743" cy="7893538"/>
        </a:xfrm>
        <a:prstGeom prst="rect">
          <a:avLst/>
        </a:prstGeom>
      </xdr:spPr>
    </xdr:pic>
    <xdr:clientData/>
  </xdr:twoCellAnchor>
  <xdr:twoCellAnchor editAs="oneCell">
    <xdr:from>
      <xdr:col>0</xdr:col>
      <xdr:colOff>0</xdr:colOff>
      <xdr:row>48</xdr:row>
      <xdr:rowOff>136769</xdr:rowOff>
    </xdr:from>
    <xdr:to>
      <xdr:col>9</xdr:col>
      <xdr:colOff>608134</xdr:colOff>
      <xdr:row>97</xdr:row>
      <xdr:rowOff>136769</xdr:rowOff>
    </xdr:to>
    <xdr:pic>
      <xdr:nvPicPr>
        <xdr:cNvPr id="9" name="Picture 8">
          <a:extLst>
            <a:ext uri="{FF2B5EF4-FFF2-40B4-BE49-F238E27FC236}">
              <a16:creationId xmlns:a16="http://schemas.microsoft.com/office/drawing/2014/main" id="{BF4293F5-4E82-0475-0EDF-B690208140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874000"/>
          <a:ext cx="6103326" cy="7898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600807</xdr:colOff>
      <xdr:row>48</xdr:row>
      <xdr:rowOff>124210</xdr:rowOff>
    </xdr:to>
    <xdr:pic>
      <xdr:nvPicPr>
        <xdr:cNvPr id="6" name="Picture 5">
          <a:extLst>
            <a:ext uri="{FF2B5EF4-FFF2-40B4-BE49-F238E27FC236}">
              <a16:creationId xmlns:a16="http://schemas.microsoft.com/office/drawing/2014/main" id="{5E3B1580-545E-FE89-022D-5911298B2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4019" cy="7861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599889</xdr:colOff>
      <xdr:row>48</xdr:row>
      <xdr:rowOff>124558</xdr:rowOff>
    </xdr:to>
    <xdr:pic>
      <xdr:nvPicPr>
        <xdr:cNvPr id="3" name="Picture 2">
          <a:extLst>
            <a:ext uri="{FF2B5EF4-FFF2-40B4-BE49-F238E27FC236}">
              <a16:creationId xmlns:a16="http://schemas.microsoft.com/office/drawing/2014/main" id="{5EB0C277-5DC6-97A7-07CE-6F4DEAB66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3101" cy="78617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G2:G18" totalsRowShown="0" headerRowDxfId="48" dataDxfId="47">
  <autoFilter ref="G2:G18" xr:uid="{00000000-0009-0000-0100-000001000000}"/>
  <tableColumns count="1">
    <tableColumn id="1" xr3:uid="{00000000-0010-0000-0000-000001000000}" name="Select Rate Code" dataDxfId="4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esindiana.com/sites/aesvault.com/files/2024-06/Rider-25-OSS-8-44795-Effective-05-31-2024.pdf" TargetMode="External"/><Relationship Id="rId13" Type="http://schemas.openxmlformats.org/officeDocument/2006/relationships/comments" Target="../comments1.xml"/><Relationship Id="rId3" Type="http://schemas.openxmlformats.org/officeDocument/2006/relationships/hyperlink" Target="https://www.aesindiana.com/sites/aesvault.com/files/2024-12/Rider-6-FAC-145-38703-Effective-11-27-2024.pdf" TargetMode="External"/><Relationship Id="rId7" Type="http://schemas.openxmlformats.org/officeDocument/2006/relationships/hyperlink" Target="https://www.aesindiana.com/sites/aesvault.com/files/2024-06/Rider-24-CAP-8-44795-Effective-5-31-2024.pdf" TargetMode="External"/><Relationship Id="rId12" Type="http://schemas.openxmlformats.org/officeDocument/2006/relationships/vmlDrawing" Target="../drawings/vmlDrawing1.vml"/><Relationship Id="rId2" Type="http://schemas.openxmlformats.org/officeDocument/2006/relationships/hyperlink" Target="https://www.aesindiana.com/sites/aesvault.com/files/2024-09/Rider-21-GPR-17-44121-Effective-08-31-2024.pdf" TargetMode="External"/><Relationship Id="rId1" Type="http://schemas.openxmlformats.org/officeDocument/2006/relationships/hyperlink" Target="https://www.aesindiana.com/contact-us" TargetMode="External"/><Relationship Id="rId6" Type="http://schemas.openxmlformats.org/officeDocument/2006/relationships/hyperlink" Target="https://www.aesindiana.com/sites/aesvault.com/files/2024-05/Rider-20-ECR-45911-Effective-05-09-24.pdf" TargetMode="External"/><Relationship Id="rId11" Type="http://schemas.openxmlformats.org/officeDocument/2006/relationships/drawing" Target="../drawings/drawing1.xml"/><Relationship Id="rId5" Type="http://schemas.openxmlformats.org/officeDocument/2006/relationships/hyperlink" Target="https://www.aesindiana.com/sites/aesvault.com/files/2025-01/Rider-22-DSM-24-43623-Effective-12-31-2024.pdf" TargetMode="External"/><Relationship Id="rId10" Type="http://schemas.openxmlformats.org/officeDocument/2006/relationships/printerSettings" Target="../printerSettings/printerSettings1.bin"/><Relationship Id="rId4" Type="http://schemas.openxmlformats.org/officeDocument/2006/relationships/hyperlink" Target="https://www.aesindiana.com/sites/aesvault.com/files/2024-05/Rider-3-TDSIC-Effective-05-09-24.pdf" TargetMode="External"/><Relationship Id="rId9" Type="http://schemas.openxmlformats.org/officeDocument/2006/relationships/hyperlink" Target="https://www.aesindiana.com/sites/aesvault.com/files/2024-10/Rider-26-RTO-8-Effective-09-30-2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aesindiana.com/sites/aesvault.com/files/2024-05/Rate-PH-Process-Heating-Effective-05-09-24.pdf" TargetMode="External"/><Relationship Id="rId3" Type="http://schemas.openxmlformats.org/officeDocument/2006/relationships/hyperlink" Target="https://www.aesindiana.com/sites/aesvault.com/files/2024-05/Rate-SH-Secondary-Service--Electric-Space-Conditioning-Separately-Metered-Effective-05-09-24.pdf" TargetMode="External"/><Relationship Id="rId7" Type="http://schemas.openxmlformats.org/officeDocument/2006/relationships/hyperlink" Target="https://www.aesindiana.com/sites/aesvault.com/files/2024-05/Rate-PL-Primary-Service-Large-Effective-05-09-24.pdf" TargetMode="External"/><Relationship Id="rId12" Type="http://schemas.openxmlformats.org/officeDocument/2006/relationships/table" Target="../tables/table1.xml"/><Relationship Id="rId2" Type="http://schemas.openxmlformats.org/officeDocument/2006/relationships/hyperlink" Target="https://www.aesindiana.com/sites/aesvault.com/files/2024-05/Rate-HL-High-Load-Factor--Primary-Distrib-Sub-Trans-and-Trans-Voltages-45911-Effective-05-09-24.pdf" TargetMode="External"/><Relationship Id="rId1" Type="http://schemas.openxmlformats.org/officeDocument/2006/relationships/hyperlink" Target="https://www.aesindiana.com/sites/aesvault.com/files/2024-05/Rate-PH-Process-Heating-Effective-05-09-24.pdf" TargetMode="External"/><Relationship Id="rId6" Type="http://schemas.openxmlformats.org/officeDocument/2006/relationships/hyperlink" Target="https://www.aesindiana.com/sites/aesvault.com/files/2024-05/Rate-SL-Secondary-Service-Large-45911-Effective-05-09-24.pdf" TargetMode="External"/><Relationship Id="rId11" Type="http://schemas.openxmlformats.org/officeDocument/2006/relationships/printerSettings" Target="../printerSettings/printerSettings5.bin"/><Relationship Id="rId5" Type="http://schemas.openxmlformats.org/officeDocument/2006/relationships/hyperlink" Target="https://www.aesindiana.com/sites/aesvault.com/files/2024-05/Rate-CW-Water-Heating--Controlled-Service-Effective-05-09-24.pdf" TargetMode="External"/><Relationship Id="rId10" Type="http://schemas.openxmlformats.org/officeDocument/2006/relationships/hyperlink" Target="https://www.aesindiana.com/sites/aesvault.com/files/2024-05/Residential%20Rates_Effective%2005-09-24.pdf" TargetMode="External"/><Relationship Id="rId4" Type="http://schemas.openxmlformats.org/officeDocument/2006/relationships/hyperlink" Target="https://www.aesindiana.com/sites/aesvault.com/files/2024-05/Rate-CW-Water-Heating--Controlled-Service-Effective-05-09-24.pdf" TargetMode="External"/><Relationship Id="rId9" Type="http://schemas.openxmlformats.org/officeDocument/2006/relationships/hyperlink" Target="https://www.aesindiana.com/sites/aesvault.com/files/2024-05/Rate-HL-High-Load-Factor--Primary-Distrib-Sub-Trans-and-Trans-Voltages-45911-Effective-05-09-24.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showGridLines="0" tabSelected="1" view="pageBreakPreview" zoomScale="120" zoomScaleNormal="100" zoomScaleSheetLayoutView="120" workbookViewId="0">
      <selection activeCell="D11" sqref="D11"/>
    </sheetView>
  </sheetViews>
  <sheetFormatPr defaultRowHeight="12.75" x14ac:dyDescent="0.2"/>
  <cols>
    <col min="1" max="1" width="11.85546875" customWidth="1"/>
    <col min="2" max="2" width="56.5703125" customWidth="1"/>
    <col min="3" max="3" width="12.7109375" customWidth="1"/>
    <col min="4" max="4" width="23.7109375" customWidth="1"/>
  </cols>
  <sheetData>
    <row r="1" spans="1:4" ht="15.75" customHeight="1" x14ac:dyDescent="0.2">
      <c r="A1" s="191"/>
      <c r="B1" s="204" t="str">
        <f>'Calc. Oct 2025'!B2</f>
        <v>October 2025 Monthly Bill Calculator</v>
      </c>
      <c r="C1" s="204"/>
      <c r="D1" s="204"/>
    </row>
    <row r="2" spans="1:4" ht="12.6" customHeight="1" x14ac:dyDescent="0.2">
      <c r="A2" s="191"/>
      <c r="B2" s="204"/>
      <c r="C2" s="204"/>
      <c r="D2" s="204"/>
    </row>
    <row r="3" spans="1:4" ht="12.6" customHeight="1" x14ac:dyDescent="0.2">
      <c r="A3" s="191"/>
      <c r="B3" s="204"/>
      <c r="C3" s="204"/>
      <c r="D3" s="204"/>
    </row>
    <row r="4" spans="1:4" x14ac:dyDescent="0.2">
      <c r="A4" s="191"/>
      <c r="B4" s="191"/>
      <c r="C4" s="191"/>
      <c r="D4" s="191"/>
    </row>
    <row r="5" spans="1:4" ht="12.75" customHeight="1" x14ac:dyDescent="0.2">
      <c r="A5" s="218" t="s">
        <v>0</v>
      </c>
      <c r="B5" s="219"/>
      <c r="C5" s="219"/>
      <c r="D5" s="220"/>
    </row>
    <row r="6" spans="1:4" ht="12.6" customHeight="1" x14ac:dyDescent="0.2">
      <c r="A6" s="221" t="s">
        <v>1</v>
      </c>
      <c r="B6" s="222"/>
      <c r="C6" s="222"/>
      <c r="D6" s="223"/>
    </row>
    <row r="7" spans="1:4" x14ac:dyDescent="0.2">
      <c r="A7" s="224"/>
      <c r="B7" s="225"/>
      <c r="C7" s="225"/>
      <c r="D7" s="226"/>
    </row>
    <row r="8" spans="1:4" x14ac:dyDescent="0.2">
      <c r="A8" s="235" t="s">
        <v>2</v>
      </c>
      <c r="B8" s="236"/>
      <c r="C8" s="236"/>
      <c r="D8" s="237"/>
    </row>
    <row r="9" spans="1:4" x14ac:dyDescent="0.2">
      <c r="A9" s="202"/>
      <c r="B9" s="203"/>
      <c r="C9" s="203"/>
      <c r="D9" s="203"/>
    </row>
    <row r="10" spans="1:4" ht="12.6" customHeight="1" x14ac:dyDescent="0.2">
      <c r="A10" s="200" t="s">
        <v>3</v>
      </c>
      <c r="B10" s="214" t="s">
        <v>4</v>
      </c>
      <c r="C10" s="214"/>
      <c r="D10" s="215"/>
    </row>
    <row r="11" spans="1:4" x14ac:dyDescent="0.2">
      <c r="A11" s="201" t="s">
        <v>5</v>
      </c>
      <c r="B11" s="234" t="s">
        <v>6</v>
      </c>
      <c r="C11" s="234"/>
      <c r="D11" s="136"/>
    </row>
    <row r="12" spans="1:4" x14ac:dyDescent="0.2">
      <c r="A12" s="201" t="s">
        <v>7</v>
      </c>
      <c r="B12" s="217" t="s">
        <v>8</v>
      </c>
      <c r="C12" s="217"/>
      <c r="D12" s="136"/>
    </row>
    <row r="13" spans="1:4" ht="12.6" customHeight="1" x14ac:dyDescent="0.2">
      <c r="A13" s="228">
        <f>VLOOKUP("X",Inputs!G34:P86,9,FALSE)</f>
        <v>0</v>
      </c>
      <c r="B13" s="229"/>
      <c r="C13" s="229"/>
      <c r="D13" s="230"/>
    </row>
    <row r="14" spans="1:4" x14ac:dyDescent="0.2">
      <c r="A14" s="231"/>
      <c r="B14" s="232"/>
      <c r="C14" s="232"/>
      <c r="D14" s="233"/>
    </row>
    <row r="15" spans="1:4" x14ac:dyDescent="0.2">
      <c r="A15" s="191"/>
      <c r="B15" s="191"/>
      <c r="C15" s="191"/>
      <c r="D15" s="191"/>
    </row>
    <row r="16" spans="1:4" ht="12.75" customHeight="1" x14ac:dyDescent="0.2">
      <c r="A16" s="200" t="s">
        <v>3</v>
      </c>
      <c r="B16" s="214" t="s">
        <v>9</v>
      </c>
      <c r="C16" s="214"/>
      <c r="D16" s="215"/>
    </row>
    <row r="17" spans="1:4" x14ac:dyDescent="0.2">
      <c r="A17" s="198" t="s">
        <v>10</v>
      </c>
      <c r="B17" s="217" t="s">
        <v>11</v>
      </c>
      <c r="C17" s="217"/>
      <c r="D17" s="135" t="s">
        <v>49</v>
      </c>
    </row>
    <row r="18" spans="1:4" ht="12.75" customHeight="1" x14ac:dyDescent="0.2">
      <c r="A18" s="198" t="s">
        <v>13</v>
      </c>
      <c r="B18" s="216" t="s">
        <v>14</v>
      </c>
      <c r="C18" s="216"/>
      <c r="D18" s="127" t="s">
        <v>398</v>
      </c>
    </row>
    <row r="19" spans="1:4" x14ac:dyDescent="0.2">
      <c r="A19" s="198" t="s">
        <v>15</v>
      </c>
      <c r="B19" s="216" t="s">
        <v>16</v>
      </c>
      <c r="C19" s="216"/>
      <c r="D19" s="128"/>
    </row>
    <row r="20" spans="1:4" x14ac:dyDescent="0.2">
      <c r="A20" s="198" t="s">
        <v>17</v>
      </c>
      <c r="B20" s="216" t="s">
        <v>18</v>
      </c>
      <c r="C20" s="216"/>
      <c r="D20" s="175" t="s">
        <v>395</v>
      </c>
    </row>
    <row r="21" spans="1:4" x14ac:dyDescent="0.2">
      <c r="A21" s="198" t="s">
        <v>19</v>
      </c>
      <c r="B21" s="217" t="s">
        <v>20</v>
      </c>
      <c r="C21" s="217"/>
      <c r="D21" s="177"/>
    </row>
    <row r="22" spans="1:4" ht="12.75" customHeight="1" x14ac:dyDescent="0.2">
      <c r="A22" s="198" t="s">
        <v>21</v>
      </c>
      <c r="B22" s="216" t="s">
        <v>22</v>
      </c>
      <c r="C22" s="216"/>
      <c r="D22" s="131"/>
    </row>
    <row r="23" spans="1:4" ht="13.5" customHeight="1" x14ac:dyDescent="0.2">
      <c r="A23" s="199" t="s">
        <v>23</v>
      </c>
      <c r="B23" s="227" t="s">
        <v>24</v>
      </c>
      <c r="C23" s="227"/>
      <c r="D23" s="129"/>
    </row>
    <row r="24" spans="1:4" x14ac:dyDescent="0.2">
      <c r="A24" s="181"/>
      <c r="B24" s="181"/>
      <c r="C24" s="181"/>
      <c r="D24" s="181"/>
    </row>
    <row r="25" spans="1:4" x14ac:dyDescent="0.2">
      <c r="A25" s="205" t="s">
        <v>25</v>
      </c>
      <c r="B25" s="206"/>
      <c r="C25" s="182" t="s">
        <v>26</v>
      </c>
      <c r="D25" s="183" t="s">
        <v>310</v>
      </c>
    </row>
    <row r="26" spans="1:4" x14ac:dyDescent="0.2">
      <c r="A26" s="211" t="s">
        <v>27</v>
      </c>
      <c r="B26" s="212"/>
      <c r="C26" s="212"/>
      <c r="D26" s="213"/>
    </row>
    <row r="27" spans="1:4" x14ac:dyDescent="0.2">
      <c r="A27" s="207" t="s">
        <v>28</v>
      </c>
      <c r="B27" s="208"/>
      <c r="C27" s="186" t="e" cm="1">
        <f t="array" ref="C27">_xlfn.IFS($D$17="RS",HYPERLINK(Inputs!$J$3,"RS"),'AES Indiana Bill Calc.'!$D$17="RC",HYPERLINK(Inputs!$J$3,"RC"),$D$17="RH",HYPERLINK(Inputs!$J$3,"RH"),$D$17="SS",HYPERLINK(Inputs!$J$8,"SS"),$D$17="SH",HYPERLINK(Inputs!$J$9,"SH"),$D$17="SE",HYPERLINK(Inputs!$J$10,"SE"),$D$17="CR",HYPERLINK(Inputs!$J$11,"CR"),$D$17="CB",HYPERLINK(Inputs!$J$12,"CB"),$D$17="UW",HYPERLINK(Inputs!$J$13,"UW"),$D$17="SL",HYPERLINK(Inputs!J14,"SL"),$D$17="PL",HYPERLINK(Inputs!J16,"PL"),$D$17="PH",HYPERLINK(Inputs!J18,"PH"),$D$17="HL1",HYPERLINK(Inputs!$J$21,"HL1"),$D$17="HL2",HYPERLINK(Inputs!$J$21,"HL2"),$D$17="HL3",HYPERLINK(Inputs!$J$21,"HL3"),$D$17="HL4",HYPERLINK(Inputs!$J$21,"HL4"))</f>
        <v>#N/A</v>
      </c>
      <c r="D27" s="187" t="e">
        <f>VLOOKUP($D$19,'Calc. Oct 2025'!$B$45:$AB$1292,13,FALSE)</f>
        <v>#N/A</v>
      </c>
    </row>
    <row r="28" spans="1:4" x14ac:dyDescent="0.2">
      <c r="A28" s="207" t="s">
        <v>29</v>
      </c>
      <c r="B28" s="208"/>
      <c r="C28" s="186" t="e" cm="1">
        <f t="array" ref="C28">_xlfn.IFS($D$17="RS",HYPERLINK(Inputs!$J$3,"RS"),'AES Indiana Bill Calc.'!$D$17="RC",HYPERLINK(Inputs!$J$3,"RC"),$D$17="RH",HYPERLINK(Inputs!$J$3,"RH"),$D$17="SS",HYPERLINK(Inputs!$J$8,"SS"),$D$17="SH",HYPERLINK(Inputs!$J$9,"SH"),$D$17="SE",HYPERLINK(Inputs!$J$10,"SE"),$D$17="CR",HYPERLINK(Inputs!$J$11,"CR"),$D$17="CB",HYPERLINK(Inputs!$J$12,"CB"),$D$17="UW",HYPERLINK(Inputs!$J$13,"UW"),$D$17="SL",HYPERLINK(Inputs!$J$14,"SL"),$D$17="PL",HYPERLINK(Inputs!$J$16,"PL"),$D$17="PH",HYPERLINK(Inputs!$J$18,"PH"),$D$17="HL1",HYPERLINK(Inputs!$J$20,"HL1"),$D$17="HL2",HYPERLINK(Inputs!$J$20,"HL2"),$D$17="HL3",HYPERLINK(Inputs!$J$20,"HL3"),$D$17="HL4",HYPERLINK(Inputs!$J$20,"HL4"))</f>
        <v>#N/A</v>
      </c>
      <c r="D28" s="187" t="e">
        <f>VLOOKUP($D$19,'Calc. Oct 2025'!$B$45:$AB$1292,9,FALSE)</f>
        <v>#N/A</v>
      </c>
    </row>
    <row r="29" spans="1:4" x14ac:dyDescent="0.2">
      <c r="A29" s="207" t="s">
        <v>30</v>
      </c>
      <c r="B29" s="208"/>
      <c r="C29" s="186" t="e" cm="1">
        <f t="array" ref="C29">_xlfn.IFS($D$17="SL",HYPERLINK(Inputs!$J$14,"SL"),$D$17="PL",HYPERLINK(Inputs!$J$16,"PL"),$D$17="PH",HYPERLINK(Inputs!$J$18,"PH"),$D$17="HL1",HYPERLINK(Inputs!$J$20,"HL1"),$D$17="HL2",HYPERLINK(Inputs!$J$20,"HL2"),$D$17="HL3",HYPERLINK(Inputs!$J$20,"HL3"),$D$17="HL4",HYPERLINK(Inputs!$J$21,"HL4"))</f>
        <v>#N/A</v>
      </c>
      <c r="D29" s="187" t="e">
        <f>VLOOKUP($D$19,'Calc. Oct 2025'!$B$44:$AB$1292,16,FALSE)</f>
        <v>#N/A</v>
      </c>
    </row>
    <row r="30" spans="1:4" x14ac:dyDescent="0.2">
      <c r="A30" s="207" t="s">
        <v>31</v>
      </c>
      <c r="B30" s="208"/>
      <c r="C30" s="186" t="e" cm="1">
        <f t="array" ref="C30">_xlfn.IFS($D$17="SL",HYPERLINK(Inputs!$J$15,"SL"),$D$17="PL",HYPERLINK(Inputs!$J$17,"PL"),$D$17="PH",HYPERLINK(Inputs!$J$19,"PH"),$D$17="HL1",HYPERLINK(Inputs!$J$21,"HL1"),$D$17="HL2",HYPERLINK(Inputs!$J$21,"HL2"),$D$17="HL3",HYPERLINK(Inputs!$J$21,"HL3"),$D$17="HL4",HYPERLINK(Inputs!$J$21,"HL4"))</f>
        <v>#N/A</v>
      </c>
      <c r="D30" s="187" t="e">
        <f>VLOOKUP($D$19,'Calc. Oct 2025'!$B$44:$AB$1292,17,FALSE)</f>
        <v>#N/A</v>
      </c>
    </row>
    <row r="31" spans="1:4" x14ac:dyDescent="0.2">
      <c r="A31" s="211" t="s">
        <v>32</v>
      </c>
      <c r="B31" s="212"/>
      <c r="C31" s="212"/>
      <c r="D31" s="213"/>
    </row>
    <row r="32" spans="1:4" x14ac:dyDescent="0.2">
      <c r="A32" s="207" t="s">
        <v>33</v>
      </c>
      <c r="B32" s="208"/>
      <c r="C32" s="188" t="s">
        <v>34</v>
      </c>
      <c r="D32" s="187" t="e">
        <f>VLOOKUP($D$19,'Calc. Oct 2025'!$B$45:$AB$1292,18,FALSE)</f>
        <v>#N/A</v>
      </c>
    </row>
    <row r="33" spans="1:4" x14ac:dyDescent="0.2">
      <c r="A33" s="207" t="s">
        <v>35</v>
      </c>
      <c r="B33" s="208"/>
      <c r="C33" s="188" t="s">
        <v>36</v>
      </c>
      <c r="D33" s="187" t="e">
        <f>VLOOKUP($D$19,'Calc. Oct 2025'!$B$45:$AB$1292,19,FALSE)</f>
        <v>#N/A</v>
      </c>
    </row>
    <row r="34" spans="1:4" ht="26.25" customHeight="1" x14ac:dyDescent="0.2">
      <c r="A34" s="209" t="s">
        <v>37</v>
      </c>
      <c r="B34" s="210"/>
      <c r="C34" s="188" t="s">
        <v>38</v>
      </c>
      <c r="D34" s="189" t="e">
        <f>VLOOKUP($D$19,'Calc. Oct 2025'!$B$45:$AB$1292,20,FALSE)</f>
        <v>#N/A</v>
      </c>
    </row>
    <row r="35" spans="1:4" x14ac:dyDescent="0.2">
      <c r="A35" s="207" t="s">
        <v>39</v>
      </c>
      <c r="B35" s="208"/>
      <c r="C35" s="188" t="s">
        <v>40</v>
      </c>
      <c r="D35" s="187" t="e">
        <f>VLOOKUP($D$19,'Calc. Oct 2025'!$B$45:$AB$1292,21,FALSE)</f>
        <v>#N/A</v>
      </c>
    </row>
    <row r="36" spans="1:4" x14ac:dyDescent="0.2">
      <c r="A36" s="209" t="s">
        <v>41</v>
      </c>
      <c r="B36" s="210"/>
      <c r="C36" s="188" t="s">
        <v>42</v>
      </c>
      <c r="D36" s="187" t="e">
        <f>VLOOKUP($D$19,'Calc. Oct 2025'!$B$45:$AB$1292,23,FALSE)</f>
        <v>#N/A</v>
      </c>
    </row>
    <row r="37" spans="1:4" x14ac:dyDescent="0.2">
      <c r="A37" s="207" t="s">
        <v>43</v>
      </c>
      <c r="B37" s="208"/>
      <c r="C37" s="188" t="s">
        <v>44</v>
      </c>
      <c r="D37" s="187" t="e">
        <f>VLOOKUP($D$19,'Calc. Oct 2025'!$B$45:$AB$1292,24,FALSE)</f>
        <v>#N/A</v>
      </c>
    </row>
    <row r="38" spans="1:4" x14ac:dyDescent="0.2">
      <c r="A38" s="207" t="s">
        <v>45</v>
      </c>
      <c r="B38" s="208"/>
      <c r="C38" s="188" t="s">
        <v>46</v>
      </c>
      <c r="D38" s="187" t="e">
        <f>VLOOKUP($D$19,'Calc. Oct 2025'!$B$45:$AB$1292,25,FALSE)</f>
        <v>#N/A</v>
      </c>
    </row>
    <row r="39" spans="1:4" x14ac:dyDescent="0.2">
      <c r="A39" s="207" t="s">
        <v>47</v>
      </c>
      <c r="B39" s="208"/>
      <c r="C39" s="188" t="s">
        <v>48</v>
      </c>
      <c r="D39" s="190" t="e">
        <f>VLOOKUP($D$19,'Calc. Oct 2025'!$B$45:$AB$1292,26,FALSE)</f>
        <v>#N/A</v>
      </c>
    </row>
    <row r="40" spans="1:4" x14ac:dyDescent="0.2">
      <c r="A40" s="248" t="s">
        <v>306</v>
      </c>
      <c r="B40" s="249"/>
      <c r="C40" s="191"/>
      <c r="D40" s="192" t="e">
        <f>VLOOKUP($D$19,'Calc. Oct 2025'!$B$45:$AB$1292,6,FALSE)</f>
        <v>#N/A</v>
      </c>
    </row>
    <row r="41" spans="1:4" x14ac:dyDescent="0.2">
      <c r="A41" s="250" t="s">
        <v>307</v>
      </c>
      <c r="B41" s="251"/>
      <c r="C41" s="193"/>
      <c r="D41" s="194" t="e">
        <f>D40*0.07</f>
        <v>#N/A</v>
      </c>
    </row>
    <row r="42" spans="1:4" x14ac:dyDescent="0.2">
      <c r="A42" s="252" t="s">
        <v>308</v>
      </c>
      <c r="B42" s="253"/>
      <c r="C42" s="195"/>
      <c r="D42" s="196" t="e">
        <f>SUM(D40:D41)</f>
        <v>#N/A</v>
      </c>
    </row>
    <row r="43" spans="1:4" x14ac:dyDescent="0.2">
      <c r="A43" s="184"/>
      <c r="B43" s="185"/>
      <c r="C43" s="193"/>
      <c r="D43" s="197"/>
    </row>
    <row r="44" spans="1:4" x14ac:dyDescent="0.2">
      <c r="A44" s="238" t="s">
        <v>309</v>
      </c>
      <c r="B44" s="214"/>
      <c r="C44" s="214"/>
      <c r="D44" s="215"/>
    </row>
    <row r="45" spans="1:4" x14ac:dyDescent="0.2">
      <c r="A45" s="239" t="s">
        <v>397</v>
      </c>
      <c r="B45" s="240"/>
      <c r="C45" s="240"/>
      <c r="D45" s="241"/>
    </row>
    <row r="46" spans="1:4" x14ac:dyDescent="0.2">
      <c r="A46" s="242"/>
      <c r="B46" s="243"/>
      <c r="C46" s="243"/>
      <c r="D46" s="244"/>
    </row>
    <row r="47" spans="1:4" x14ac:dyDescent="0.2">
      <c r="A47" s="242"/>
      <c r="B47" s="243"/>
      <c r="C47" s="243"/>
      <c r="D47" s="244"/>
    </row>
    <row r="48" spans="1:4" x14ac:dyDescent="0.2">
      <c r="A48" s="242"/>
      <c r="B48" s="243"/>
      <c r="C48" s="243"/>
      <c r="D48" s="244"/>
    </row>
    <row r="49" spans="1:4" x14ac:dyDescent="0.2">
      <c r="A49" s="242"/>
      <c r="B49" s="243"/>
      <c r="C49" s="243"/>
      <c r="D49" s="244"/>
    </row>
    <row r="50" spans="1:4" x14ac:dyDescent="0.2">
      <c r="A50" s="242"/>
      <c r="B50" s="243"/>
      <c r="C50" s="243"/>
      <c r="D50" s="244"/>
    </row>
    <row r="51" spans="1:4" ht="16.5" customHeight="1" x14ac:dyDescent="0.2">
      <c r="A51" s="245"/>
      <c r="B51" s="246"/>
      <c r="C51" s="246"/>
      <c r="D51" s="247"/>
    </row>
  </sheetData>
  <sheetProtection algorithmName="SHA-512" hashValue="9QTV1B5J8ZjSNxBVlr7jDzjRLnzDmiTA+XvpLBWq3P9BuXL/wk9HvW8e/K3h9gSMHWz+tfb2JjYyQME+/5mVzw==" saltValue="d+YV7WxX8wfy2Newi9j17Q==" spinCount="100000" sheet="1" objects="1" scenarios="1"/>
  <mergeCells count="36">
    <mergeCell ref="A44:D44"/>
    <mergeCell ref="A45:D51"/>
    <mergeCell ref="A26:D26"/>
    <mergeCell ref="A27:B27"/>
    <mergeCell ref="A28:B28"/>
    <mergeCell ref="A30:B30"/>
    <mergeCell ref="A40:B40"/>
    <mergeCell ref="A41:B41"/>
    <mergeCell ref="A42:B42"/>
    <mergeCell ref="A6:D7"/>
    <mergeCell ref="B22:C22"/>
    <mergeCell ref="B23:C23"/>
    <mergeCell ref="B17:C17"/>
    <mergeCell ref="B18:C18"/>
    <mergeCell ref="B19:C19"/>
    <mergeCell ref="A13:D14"/>
    <mergeCell ref="B10:D10"/>
    <mergeCell ref="B11:C11"/>
    <mergeCell ref="B12:C12"/>
    <mergeCell ref="A8:D8"/>
    <mergeCell ref="B1:D3"/>
    <mergeCell ref="A25:B25"/>
    <mergeCell ref="A38:B38"/>
    <mergeCell ref="A39:B39"/>
    <mergeCell ref="A32:B32"/>
    <mergeCell ref="A33:B33"/>
    <mergeCell ref="A34:B34"/>
    <mergeCell ref="A35:B35"/>
    <mergeCell ref="A36:B36"/>
    <mergeCell ref="A29:B29"/>
    <mergeCell ref="A37:B37"/>
    <mergeCell ref="A31:D31"/>
    <mergeCell ref="B16:D16"/>
    <mergeCell ref="B20:C20"/>
    <mergeCell ref="B21:C21"/>
    <mergeCell ref="A5:D5"/>
  </mergeCells>
  <phoneticPr fontId="5" type="noConversion"/>
  <conditionalFormatting sqref="A13">
    <cfRule type="expression" dxfId="45" priority="37" stopIfTrue="1">
      <formula>OR($D$11="",$D$12="")</formula>
    </cfRule>
  </conditionalFormatting>
  <conditionalFormatting sqref="A17">
    <cfRule type="expression" dxfId="41" priority="11">
      <formula>OR($D$17="RS",$D$17="RC",$D$17="RH",$D$17="SS",$D$17="SH",$D$17="SE",$D$17="CR",$D$17="CB",$D$17="UW",$D$17="SL",$D$17="PL",$D$17="PH",$D$17="HL1",$D$17="HL2",$D$17="HL3",$D$17="HL4")</formula>
    </cfRule>
  </conditionalFormatting>
  <conditionalFormatting sqref="A18">
    <cfRule type="expression" dxfId="40" priority="93">
      <formula>OR($D$17="RS",$D$17="RC",$D$17="RH",$D$17="SS",$D$17="SH",$D$17="SE",$D$17="CR",$D$17="CB",$D$17="UW",$D$17="SL",$D$17="PL",$D$17="PH",$D$17="HL1",$D$17="HL2",$D$17="HL3",$D$17="HL4")</formula>
    </cfRule>
  </conditionalFormatting>
  <conditionalFormatting sqref="A19">
    <cfRule type="expression" dxfId="39" priority="89">
      <formula>OR($D$17="RS",$D$17="RC",$D$17="RH",$D$17="SS",$D$17="SH",$D$17="SE",$D$17="CR",$D$17="CB",$D$17="UW",$D$17="SL",$D$17="PL",$D$17="PH",$D$17="HL1",$D$17="HL2",$D$17="HL3",$D$17="HL4")</formula>
    </cfRule>
  </conditionalFormatting>
  <conditionalFormatting sqref="A20">
    <cfRule type="expression" dxfId="38" priority="79">
      <formula>OR($D$17="SS",$D$17="SH",$D$17="SE",$D$17="SL",$D$17="PL",$D$17="PH",$D$17="HL1",$D$17="HL2",$D$17="HL3",$D$17="HL4")</formula>
    </cfRule>
  </conditionalFormatting>
  <conditionalFormatting sqref="A21:A22">
    <cfRule type="expression" dxfId="37" priority="68">
      <formula>OR($D$17="SL",$D$17="PL",$D$17="PH",$D$17="HL1",$D$17="HL2",$D$17="HL3",$D$17="HL4")</formula>
    </cfRule>
  </conditionalFormatting>
  <conditionalFormatting sqref="A23">
    <cfRule type="expression" dxfId="36" priority="62">
      <formula>$D$17="SE"</formula>
    </cfRule>
  </conditionalFormatting>
  <conditionalFormatting sqref="A27:B28 D41:D43">
    <cfRule type="expression" dxfId="35" priority="48">
      <formula>$D$17="Select Rate Code"</formula>
    </cfRule>
  </conditionalFormatting>
  <conditionalFormatting sqref="A29:B30">
    <cfRule type="expression" dxfId="34" priority="56">
      <formula>$D$17="Select Rate Code"</formula>
    </cfRule>
  </conditionalFormatting>
  <conditionalFormatting sqref="A32:B43">
    <cfRule type="expression" dxfId="33" priority="2">
      <formula>$D$17="Select Rate Code"</formula>
    </cfRule>
  </conditionalFormatting>
  <conditionalFormatting sqref="A18:C23">
    <cfRule type="expression" dxfId="31" priority="60">
      <formula>$D$17="Select Rate Code"</formula>
    </cfRule>
  </conditionalFormatting>
  <conditionalFormatting sqref="A20:C20">
    <cfRule type="expression" dxfId="30" priority="78">
      <formula>OR($D$17="RS",$D$17="RC",$D$17="RH",$D$17="CB",$D$17="CR",$D$17="UW")</formula>
    </cfRule>
  </conditionalFormatting>
  <conditionalFormatting sqref="A21:C22">
    <cfRule type="expression" dxfId="29" priority="67">
      <formula>OR($D$17="SS",$D$17="SH",$D$17="SE",$D$17="RS",$D$17="RC",$D$17="RH",$D$17="CB",$D$17="CR",$D$17="UW")</formula>
    </cfRule>
  </conditionalFormatting>
  <conditionalFormatting sqref="A23:C23">
    <cfRule type="expression" dxfId="28" priority="61">
      <formula>OR($D$17="RS",$D$17="RC",$D$17="RH",$D$17="SS",$D$17="SH",$D$17="CR",$D$17="CB",$D$17="UW",$D$17="SL",$D$17="PL",$D$17="PH",$D$17="HL1",$D$17="HL2",$D$17="HL3",$D$17="HL4")</formula>
    </cfRule>
  </conditionalFormatting>
  <conditionalFormatting sqref="A29:C30">
    <cfRule type="expression" dxfId="27" priority="51">
      <formula>OR($D$17="SS",$D$17="SH",$D$17="SE",$D$17="RS",$D$17="RC",$D$17="RH",$D$17="CB",$D$17="CR",$D$17="UW")</formula>
    </cfRule>
  </conditionalFormatting>
  <conditionalFormatting sqref="A16:D16">
    <cfRule type="expression" dxfId="26" priority="26">
      <formula>OR($D$11="",$D$12="")</formula>
    </cfRule>
  </conditionalFormatting>
  <conditionalFormatting sqref="A25:D25">
    <cfRule type="expression" dxfId="24" priority="40">
      <formula>$D$17="Select Rate Code"</formula>
    </cfRule>
  </conditionalFormatting>
  <conditionalFormatting sqref="A26:D26">
    <cfRule type="expression" dxfId="23" priority="47">
      <formula>$D$17="Select Rate Code"</formula>
    </cfRule>
  </conditionalFormatting>
  <conditionalFormatting sqref="A31:D31">
    <cfRule type="expression" dxfId="22" priority="49">
      <formula>$D$17="Select Rate Code"</formula>
    </cfRule>
  </conditionalFormatting>
  <conditionalFormatting sqref="B17:C17">
    <cfRule type="expression" dxfId="21" priority="24">
      <formula>OR($D$11="",$D$12="")</formula>
    </cfRule>
  </conditionalFormatting>
  <conditionalFormatting sqref="B18:C19">
    <cfRule type="expression" priority="91">
      <formula>OR($D$17="RS",$D$17="RC",$D$17="RH",$D$17="SS",$D$17="SH",$D$17="SE",$D$17="CR",$D$17="CB",$D$17="UW",$D$17="SL",$D$17="PL",$D$17="PH",$D$17="HL1",$D$17="HL2",$D$17="HL3",$D$17="HL4")</formula>
    </cfRule>
  </conditionalFormatting>
  <conditionalFormatting sqref="B20:C20">
    <cfRule type="expression" priority="88">
      <formula>OR($D$17="SS",$D$17="SH",$D$17="SE",$D$17="SL",$D$17="PL",$D$17="PH",$D$17="HL1",$D$17="HL2",$D$17="HL3",$D$17="HL4")</formula>
    </cfRule>
  </conditionalFormatting>
  <conditionalFormatting sqref="B21:C21">
    <cfRule type="expression" priority="85">
      <formula>"Applicable =OR($D$16=""SL"",$D$16=""PL"",$D$16=""PH"",$D$16=""HL1"",$D$16=""HL2"",$D$16=""HL3"",$D$16=""HL4"")"</formula>
    </cfRule>
  </conditionalFormatting>
  <conditionalFormatting sqref="B22:C22">
    <cfRule type="expression" priority="72">
      <formula>OR($D$17="SL",$D$17="PL",$D$17="PH",$D$17="HL1",$D$17="HL2",$D$17="HL3",$D$17="HL4")</formula>
    </cfRule>
  </conditionalFormatting>
  <conditionalFormatting sqref="B23:C23">
    <cfRule type="expression" priority="65">
      <formula>$D$17="SE"</formula>
    </cfRule>
  </conditionalFormatting>
  <conditionalFormatting sqref="C27:C28">
    <cfRule type="expression" dxfId="20" priority="43">
      <formula>OR($D$17="RS",$D$17="RC",$D$17="RH",$D$17="SS",$D$17="SH",$D$17="SE",$D$17="CR",$D$17="CB",$D$17="UW",$D$17="SL",$D$17="PL",$D$17="PH",$D$17="HL1",$D$17="HL2",$D$17="HL3",$D$17="HL4")</formula>
    </cfRule>
  </conditionalFormatting>
  <conditionalFormatting sqref="C27:C30">
    <cfRule type="expression" dxfId="19" priority="45">
      <formula>$D$17="Select Rate Code"</formula>
    </cfRule>
  </conditionalFormatting>
  <conditionalFormatting sqref="C29:C30">
    <cfRule type="expression" dxfId="18" priority="52">
      <formula>OR($D$17="SL",$D$17="PL",$D$17="PH",$D$17="HL1",$D$17="HL2",$D$17="HL3",$D$17="HL4")</formula>
    </cfRule>
  </conditionalFormatting>
  <conditionalFormatting sqref="C32:C39">
    <cfRule type="expression" dxfId="17" priority="1">
      <formula>$D$17="Select Rate Code"</formula>
    </cfRule>
  </conditionalFormatting>
  <conditionalFormatting sqref="D17">
    <cfRule type="expression" dxfId="15" priority="25" stopIfTrue="1">
      <formula>OR($D$11="",$D$12="")</formula>
    </cfRule>
    <cfRule type="expression" dxfId="14" priority="97">
      <formula>$D$17="Select Rate Code"</formula>
    </cfRule>
  </conditionalFormatting>
  <conditionalFormatting sqref="D18:D19">
    <cfRule type="expression" dxfId="12" priority="102">
      <formula>$D$17="Select Rate Code"</formula>
    </cfRule>
    <cfRule type="expression" dxfId="11" priority="112">
      <formula>OR($D$17="RS",$D$17="RC",$D$17="RH",$D$17="SS",$D$17="SH",$D$17="SE",$D$17="CR",$D$17="CB",$D$17="UW",$D$17="SL",$D$17="PL",$D$17="PH",$D$17="HL1",$D$17="HL2",$D$17="HL3",$D$17="HL4")</formula>
    </cfRule>
  </conditionalFormatting>
  <conditionalFormatting sqref="D20">
    <cfRule type="expression" dxfId="10" priority="110">
      <formula>OR($D$17="RS",$D$17="RC",$D$17="RH",$D$17="CB",$D$17="CR",$D$17="UW")</formula>
    </cfRule>
    <cfRule type="expression" dxfId="9" priority="111">
      <formula>OR($D$17="SS",$D$17="SH",$D$17="SE",$D$17="SL",$D$17="PL",$D$17="PH",$D$17="HL1",$D$17="HL2",$D$17="HL3",$D$17="HL4")</formula>
    </cfRule>
  </conditionalFormatting>
  <conditionalFormatting sqref="D20:D22">
    <cfRule type="expression" dxfId="8" priority="100">
      <formula>$D$17="Select Rate Code"</formula>
    </cfRule>
  </conditionalFormatting>
  <conditionalFormatting sqref="D21:D22">
    <cfRule type="expression" dxfId="7" priority="108">
      <formula>OR($D$17="SS",$D$17="SH",$D$17="SE",$D$17="RS",$D$17="RC",$D$17="RH",$D$17="CB",$D$17="CR",$D$17="UW")</formula>
    </cfRule>
    <cfRule type="expression" dxfId="6" priority="109">
      <formula>OR($D$17="SL",$D$17="PL",$D$17="PH",$D$17="HL1",$D$17="HL2",$D$17="HL3",$D$17="HL4")</formula>
    </cfRule>
  </conditionalFormatting>
  <conditionalFormatting sqref="D23">
    <cfRule type="expression" dxfId="5" priority="104">
      <formula>OR($D$17="RS",$D$17="RC",$D$17="RH",$D$17="SS",$D$17="SH",$D$17="CR",$D$17="CB",$D$17="UW",$D$17="SL",$D$17="PL",$D$17="PH",$D$17="HL1",$D$17="HL2",$D$17="HL3",$D$17="HL4")</formula>
    </cfRule>
    <cfRule type="expression" dxfId="4" priority="105">
      <formula>$D$17="SE"</formula>
    </cfRule>
    <cfRule type="expression" dxfId="3" priority="98">
      <formula>$D$17="Select Rate Code"</formula>
    </cfRule>
  </conditionalFormatting>
  <conditionalFormatting sqref="D27:D30 D32:D40">
    <cfRule type="expression" dxfId="2" priority="42">
      <formula>$D$17="Select Rate Code"</formula>
    </cfRule>
  </conditionalFormatting>
  <conditionalFormatting sqref="D29">
    <cfRule type="expression" dxfId="1" priority="13">
      <formula>OR($D$17="SS",$D$17="SH",$D$17="SE",$D$17="RS",$D$17="RC",$D$17="RH",$D$17="CB",$D$17="CR",$D$17="UW")</formula>
    </cfRule>
  </conditionalFormatting>
  <conditionalFormatting sqref="D30">
    <cfRule type="expression" dxfId="0" priority="12">
      <formula>OR($D$17="SS",$D$17="SH",$D$17="SE",$D$17="RS",$D$17="RC",$D$17="RH",$D$17="CB",$D$17="CR",$D$17="UW")</formula>
    </cfRule>
  </conditionalFormatting>
  <dataValidations count="7">
    <dataValidation type="list" allowBlank="1" showInputMessage="1" showErrorMessage="1" sqref="D18" xr:uid="{00000000-0002-0000-0000-000000000000}">
      <formula1>"Select Option, Yes 100%, Yes 50%, Yes 25%, Yes 10%, No"</formula1>
    </dataValidation>
    <dataValidation type="whole" allowBlank="1" showInputMessage="1" showErrorMessage="1" sqref="D19" xr:uid="{B7AD71CE-94C3-46E0-A864-E528541D2B7B}">
      <formula1>0</formula1>
      <formula2>1000000000000</formula2>
    </dataValidation>
    <dataValidation type="decimal" allowBlank="1" showInputMessage="1" showErrorMessage="1" sqref="D21" xr:uid="{8DA7A2F8-2671-4D28-A057-65154AAFCEDD}">
      <formula1>0</formula1>
      <formula2>1000000000000000</formula2>
    </dataValidation>
    <dataValidation type="decimal" allowBlank="1" showInputMessage="1" showErrorMessage="1" sqref="D22" xr:uid="{47C5A7EB-0424-4B5D-8ADF-627A6AB152EB}">
      <formula1>0</formula1>
      <formula2>1</formula2>
    </dataValidation>
    <dataValidation type="whole" allowBlank="1" showInputMessage="1" showErrorMessage="1" sqref="D23" xr:uid="{4DFBF723-6B48-4C33-A298-87BE4299CEB5}">
      <formula1>0</formula1>
      <formula2>100000000000</formula2>
    </dataValidation>
    <dataValidation type="date" operator="greaterThan" allowBlank="1" showInputMessage="1" showErrorMessage="1" error="The date you entered is not valid for AES Indiana's monthly bill calculator." sqref="D11:D12" xr:uid="{AC5484F7-A2B3-450A-9F0E-50B9FAC6F8C8}">
      <formula1>44529</formula1>
    </dataValidation>
    <dataValidation type="list" allowBlank="1" showInputMessage="1" showErrorMessage="1" sqref="D20" xr:uid="{9CC7F267-4AA6-4CB5-8A6C-AF5210D67B71}">
      <formula1>"Select Option, No, Yes Before 2018, Yes 2018, Yes 2019, Yes 2020, Yes 2021, Yes 2022, Yes 2023, Yes 2024, Yes 2025"</formula1>
    </dataValidation>
  </dataValidations>
  <hyperlinks>
    <hyperlink ref="A17" location="'Help (Res. and Small C&amp;I)'!A18" display="INPUT 3" xr:uid="{4FEA52D5-4148-4A8C-97B5-8F4CCF076741}"/>
    <hyperlink ref="A18" location="'Help (Res. and Small C&amp;I)'!A30" display="INPUT 4" xr:uid="{EDB179CE-5CEC-41ED-B711-E90F6C2B064D}"/>
    <hyperlink ref="A19" location="'Help (Res. and Small C&amp;I)'!A18" display="INPUT 5" xr:uid="{1A371FDA-9BB0-43D0-98AA-2A4833408295}"/>
    <hyperlink ref="A20" location="'Help (Large C&amp;I)'!A20" display="INPUT 4" xr:uid="{92EC0490-5547-48B1-B453-EA19BDC16E4D}"/>
    <hyperlink ref="A21" location="'Help (Large C&amp;I)'!A25" display="INPUT 5" xr:uid="{8ED42C02-3EEE-4BE4-A5AC-076D2A9F77C7}"/>
    <hyperlink ref="A22" location="'Help (Large C&amp;I)'!A25" display="INPUT 6" xr:uid="{A869FD68-AE7F-4C21-A3EC-86BF5080F3F0}"/>
    <hyperlink ref="A23" location="'Help (Rate SE)'!A1" display="INPUT 7" xr:uid="{514DCC8F-D4C4-4B6E-8826-A0C4095D832A}"/>
    <hyperlink ref="A8:D8" r:id="rId1" display="Contact: aesindiana.com; Residential 888-261-8222; Business 317-261-8444" xr:uid="{8FACB22B-CF0F-4026-83DA-7AE8386EC216}"/>
    <hyperlink ref="A11" location="'Help (Res. and Small C&amp;I)'!A23" display="INPUT 1" xr:uid="{A8797AAF-793D-4251-A874-0402AADC4A68}"/>
    <hyperlink ref="A12" location="'Help (Res. and Small C&amp;I)'!A23" display="INPUT 2" xr:uid="{3E385F5A-06DF-488F-8B17-D9539949CF29}"/>
    <hyperlink ref="C32" r:id="rId2" xr:uid="{D9597FF4-E409-4346-B88D-F711CD23537A}"/>
    <hyperlink ref="C33" r:id="rId3" xr:uid="{543FD01F-A6AA-4EF3-95DF-03F467380075}"/>
    <hyperlink ref="C34" r:id="rId4" xr:uid="{C9E80253-6F9B-469D-91BA-51D109A17E44}"/>
    <hyperlink ref="C35" r:id="rId5" xr:uid="{C2CDCC6B-BC01-42CA-AD8F-4C1BFC87B1B8}"/>
    <hyperlink ref="C36" r:id="rId6" xr:uid="{58097415-78D0-4A2E-B2AE-7335E65606DB}"/>
    <hyperlink ref="C37" r:id="rId7" xr:uid="{A88C7995-98AC-460A-904E-750AB9D8AC05}"/>
    <hyperlink ref="C38" r:id="rId8" xr:uid="{946C0F6D-85BB-45D8-8DF3-613EC8434982}"/>
    <hyperlink ref="C39" r:id="rId9" xr:uid="{CE8B930B-45EB-4098-ADD1-14D2D790F8A5}"/>
  </hyperlinks>
  <printOptions horizontalCentered="1" verticalCentered="1"/>
  <pageMargins left="0" right="0" top="0.75" bottom="0.75" header="0.3" footer="0.3"/>
  <pageSetup orientation="portrait" r:id="rId10"/>
  <headerFooter>
    <oddHeader xml:space="preserve">&amp;L
</oddHeader>
  </headerFooter>
  <drawing r:id="rId11"/>
  <legacyDrawing r:id="rId12"/>
  <extLst>
    <ext xmlns:x14="http://schemas.microsoft.com/office/spreadsheetml/2009/9/main" uri="{78C0D931-6437-407d-A8EE-F0AAD7539E65}">
      <x14:conditionalFormattings>
        <x14:conditionalFormatting xmlns:xm="http://schemas.microsoft.com/office/excel/2006/main">
          <x14:cfRule type="expression" priority="119" id="{039BCF01-2FA1-4C68-8253-F53131F1952B}">
            <xm:f>$A$13=Inputs!$I$26</xm:f>
            <x14:dxf>
              <fill>
                <patternFill>
                  <bgColor rgb="FF16A837"/>
                </patternFill>
              </fill>
            </x14:dxf>
          </x14:cfRule>
          <x14:cfRule type="expression" priority="120" id="{BE6968EF-A7F3-448F-A0F7-DBCCADBB4F8E}">
            <xm:f>$A$13&lt;&gt;Inputs!$I$26</xm:f>
            <x14:dxf>
              <fill>
                <patternFill>
                  <bgColor theme="5"/>
                </patternFill>
              </fill>
            </x14:dxf>
          </x14:cfRule>
          <xm:sqref>A13</xm:sqref>
        </x14:conditionalFormatting>
        <x14:conditionalFormatting xmlns:xm="http://schemas.microsoft.com/office/excel/2006/main">
          <x14:cfRule type="expression" priority="10" id="{FBD18012-4B8F-4F7A-AA34-415B5B28DD48}">
            <xm:f>$A$13=Inputs!$I$26</xm:f>
            <x14:dxf>
              <font>
                <u/>
                <color theme="4"/>
              </font>
            </x14:dxf>
          </x14:cfRule>
          <xm:sqref>A17</xm:sqref>
        </x14:conditionalFormatting>
        <x14:conditionalFormatting xmlns:xm="http://schemas.microsoft.com/office/excel/2006/main">
          <x14:cfRule type="expression" priority="6" id="{35D30560-E9BF-4B95-BF94-B4C787565903}">
            <xm:f>$A$13&lt;&gt;Inputs!$I$26</xm:f>
            <x14:dxf>
              <font>
                <color theme="0"/>
              </font>
            </x14:dxf>
          </x14:cfRule>
          <xm:sqref>A17:C17</xm:sqref>
        </x14:conditionalFormatting>
        <x14:conditionalFormatting xmlns:xm="http://schemas.microsoft.com/office/excel/2006/main">
          <x14:cfRule type="expression" priority="121" id="{4B9103D4-062A-4E38-B049-AB5FD1F07302}">
            <xm:f>$A$13&lt;&gt;Inputs!$I$26</xm:f>
            <x14:dxf>
              <font>
                <color theme="0"/>
              </font>
              <fill>
                <patternFill patternType="none">
                  <bgColor auto="1"/>
                </patternFill>
              </fill>
              <border>
                <left/>
                <right/>
                <top/>
                <bottom/>
              </border>
            </x14:dxf>
          </x14:cfRule>
          <xm:sqref>A16:D16</xm:sqref>
        </x14:conditionalFormatting>
        <x14:conditionalFormatting xmlns:xm="http://schemas.microsoft.com/office/excel/2006/main">
          <x14:cfRule type="expression" priority="14" id="{0D8C5F44-CF59-48C1-89F9-B45BB2CAC329}">
            <xm:f>$A$13=Inputs!$I$26</xm:f>
            <x14:dxf>
              <fill>
                <patternFill patternType="none">
                  <bgColor auto="1"/>
                </patternFill>
              </fill>
            </x14:dxf>
          </x14:cfRule>
          <xm:sqref>D11:D12</xm:sqref>
        </x14:conditionalFormatting>
        <x14:conditionalFormatting xmlns:xm="http://schemas.microsoft.com/office/excel/2006/main">
          <x14:cfRule type="expression" priority="9" stopIfTrue="1" id="{F13C5E0F-5364-4589-B76D-1FA029296919}">
            <xm:f>$A$13&lt;&gt;Inputs!$I$26</xm:f>
            <x14:dxf>
              <font>
                <color theme="0"/>
              </font>
              <fill>
                <patternFill patternType="none">
                  <bgColor auto="1"/>
                </patternFill>
              </fill>
            </x14:dxf>
          </x14:cfRule>
          <xm:sqref>D17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Inputs!$G$2:$G$18</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EC51-3383-4FA1-A6CD-680B32190D6A}">
  <dimension ref="A1"/>
  <sheetViews>
    <sheetView view="pageBreakPreview" zoomScale="130" zoomScaleNormal="120" zoomScaleSheetLayoutView="130" workbookViewId="0">
      <selection activeCell="A30" sqref="A30"/>
    </sheetView>
  </sheetViews>
  <sheetFormatPr defaultRowHeight="12.75" x14ac:dyDescent="0.2"/>
  <sheetData/>
  <sheetProtection algorithmName="SHA-512" hashValue="X8ysHP9uU+ZWNxj8KFQPWY8AWngBj4Yj7186L9ADVpz8pthiqhcc2VT4KvtOPuRmwRT9FZecHqGKG8ppmhOmAg==" saltValue="W4k7bkxXAv1k1lvKLUbaWA=="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307A-20F7-4AB1-BBAA-DB867F388F30}">
  <dimension ref="A1"/>
  <sheetViews>
    <sheetView view="pageBreakPreview" topLeftCell="A11" zoomScale="130" zoomScaleNormal="100" zoomScaleSheetLayoutView="130" workbookViewId="0">
      <selection activeCell="A20" sqref="A20"/>
    </sheetView>
  </sheetViews>
  <sheetFormatPr defaultRowHeight="12.75" x14ac:dyDescent="0.2"/>
  <sheetData/>
  <sheetProtection algorithmName="SHA-512" hashValue="uLQ4kXFrb+sIaWVGYcK8R1/ivJGOcBDOaFKYnr/8Pe12KT8NIszODb6qL+d0fJfS2xF1NdCwIQviwDF5SLj0mw==" saltValue="b46ENPkmSVhHW+QvOuZHXA=="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B9BD2-CFAF-4ED4-83C9-E9F7B0A57D6E}">
  <dimension ref="A1"/>
  <sheetViews>
    <sheetView view="pageBreakPreview" zoomScale="130" zoomScaleNormal="100" zoomScaleSheetLayoutView="130" workbookViewId="0"/>
  </sheetViews>
  <sheetFormatPr defaultRowHeight="12.75" x14ac:dyDescent="0.2"/>
  <sheetData/>
  <sheetProtection algorithmName="SHA-512" hashValue="0kRW9+MpLL06Xu3BubLxgut4Ejx0/tjaKxmLnQZUca3oa/sax1G1HRFKdDcWek3fQV8wC+4Xqc3spJCu4IPmFA==" saltValue="IQ5glWDX68r6tyWhxP2ezg=="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90"/>
  <sheetViews>
    <sheetView topLeftCell="A48" workbookViewId="0">
      <selection activeCell="M4" sqref="M4"/>
    </sheetView>
  </sheetViews>
  <sheetFormatPr defaultRowHeight="12.75" x14ac:dyDescent="0.2"/>
  <cols>
    <col min="2" max="2" width="14.28515625" customWidth="1"/>
    <col min="3" max="6" width="0.42578125" customWidth="1"/>
    <col min="7" max="8" width="9.5703125" bestFit="1" customWidth="1"/>
    <col min="9" max="9" width="11" bestFit="1" customWidth="1"/>
    <col min="10" max="10" width="10.5703125" customWidth="1"/>
    <col min="12" max="12" width="12" bestFit="1" customWidth="1"/>
    <col min="13" max="13" width="11" customWidth="1"/>
    <col min="14" max="14" width="9.85546875" bestFit="1" customWidth="1"/>
  </cols>
  <sheetData>
    <row r="2" spans="3:10" ht="13.5" thickBot="1" x14ac:dyDescent="0.25">
      <c r="G2" s="122" t="s">
        <v>49</v>
      </c>
      <c r="I2" s="254" t="s">
        <v>50</v>
      </c>
      <c r="J2" s="254"/>
    </row>
    <row r="3" spans="3:10" x14ac:dyDescent="0.2">
      <c r="G3" s="130" t="s">
        <v>12</v>
      </c>
      <c r="I3" s="130" t="s">
        <v>51</v>
      </c>
      <c r="J3" s="124" t="s">
        <v>324</v>
      </c>
    </row>
    <row r="4" spans="3:10" x14ac:dyDescent="0.2">
      <c r="G4" s="130" t="s">
        <v>52</v>
      </c>
      <c r="I4" s="124"/>
    </row>
    <row r="5" spans="3:10" x14ac:dyDescent="0.2">
      <c r="C5" t="s">
        <v>339</v>
      </c>
      <c r="G5" s="130" t="s">
        <v>53</v>
      </c>
    </row>
    <row r="6" spans="3:10" x14ac:dyDescent="0.2">
      <c r="C6" t="s">
        <v>290</v>
      </c>
      <c r="G6" s="130" t="s">
        <v>54</v>
      </c>
    </row>
    <row r="7" spans="3:10" ht="13.5" thickBot="1" x14ac:dyDescent="0.25">
      <c r="C7" t="s">
        <v>262</v>
      </c>
      <c r="G7" s="130" t="s">
        <v>55</v>
      </c>
      <c r="I7" s="254" t="s">
        <v>56</v>
      </c>
      <c r="J7" s="254"/>
    </row>
    <row r="8" spans="3:10" x14ac:dyDescent="0.2">
      <c r="C8" t="s">
        <v>340</v>
      </c>
      <c r="G8" s="130" t="s">
        <v>57</v>
      </c>
      <c r="I8" s="130" t="s">
        <v>54</v>
      </c>
      <c r="J8" t="s">
        <v>311</v>
      </c>
    </row>
    <row r="9" spans="3:10" x14ac:dyDescent="0.2">
      <c r="C9" t="s">
        <v>276</v>
      </c>
      <c r="G9" s="130" t="s">
        <v>58</v>
      </c>
      <c r="I9" s="130" t="s">
        <v>55</v>
      </c>
      <c r="J9" t="s">
        <v>312</v>
      </c>
    </row>
    <row r="10" spans="3:10" x14ac:dyDescent="0.2">
      <c r="C10" t="s">
        <v>263</v>
      </c>
      <c r="G10" s="130" t="s">
        <v>59</v>
      </c>
      <c r="I10" s="130" t="s">
        <v>57</v>
      </c>
      <c r="J10" s="124" t="s">
        <v>313</v>
      </c>
    </row>
    <row r="11" spans="3:10" x14ac:dyDescent="0.2">
      <c r="C11" t="s">
        <v>341</v>
      </c>
      <c r="G11" s="130" t="s">
        <v>60</v>
      </c>
      <c r="I11" s="130" t="s">
        <v>58</v>
      </c>
      <c r="J11" s="124" t="s">
        <v>314</v>
      </c>
    </row>
    <row r="12" spans="3:10" x14ac:dyDescent="0.2">
      <c r="C12" t="s">
        <v>291</v>
      </c>
      <c r="G12" s="130" t="s">
        <v>61</v>
      </c>
      <c r="I12" s="130" t="s">
        <v>59</v>
      </c>
      <c r="J12" s="124" t="s">
        <v>314</v>
      </c>
    </row>
    <row r="13" spans="3:10" x14ac:dyDescent="0.2">
      <c r="C13" t="s">
        <v>342</v>
      </c>
      <c r="G13" s="130" t="s">
        <v>62</v>
      </c>
      <c r="I13" s="130" t="s">
        <v>60</v>
      </c>
      <c r="J13" t="s">
        <v>315</v>
      </c>
    </row>
    <row r="14" spans="3:10" x14ac:dyDescent="0.2">
      <c r="C14" t="s">
        <v>343</v>
      </c>
      <c r="G14" s="130" t="s">
        <v>63</v>
      </c>
      <c r="I14" s="130" t="s">
        <v>64</v>
      </c>
      <c r="J14" t="s">
        <v>316</v>
      </c>
    </row>
    <row r="15" spans="3:10" x14ac:dyDescent="0.2">
      <c r="C15" t="s">
        <v>344</v>
      </c>
      <c r="G15" s="130" t="s">
        <v>65</v>
      </c>
      <c r="I15" s="130" t="s">
        <v>66</v>
      </c>
      <c r="J15" s="124" t="s">
        <v>317</v>
      </c>
    </row>
    <row r="16" spans="3:10" x14ac:dyDescent="0.2">
      <c r="C16" t="s">
        <v>345</v>
      </c>
      <c r="G16" s="130" t="s">
        <v>67</v>
      </c>
      <c r="I16" s="130" t="s">
        <v>68</v>
      </c>
      <c r="J16" t="s">
        <v>318</v>
      </c>
    </row>
    <row r="17" spans="7:15" x14ac:dyDescent="0.2">
      <c r="G17" s="130" t="s">
        <v>69</v>
      </c>
      <c r="I17" s="130" t="s">
        <v>70</v>
      </c>
      <c r="J17" s="124" t="s">
        <v>319</v>
      </c>
    </row>
    <row r="18" spans="7:15" x14ac:dyDescent="0.2">
      <c r="G18" s="130" t="s">
        <v>71</v>
      </c>
      <c r="I18" s="130" t="s">
        <v>72</v>
      </c>
      <c r="J18" s="124" t="s">
        <v>320</v>
      </c>
    </row>
    <row r="19" spans="7:15" x14ac:dyDescent="0.2">
      <c r="I19" s="130" t="s">
        <v>73</v>
      </c>
      <c r="J19" s="124" t="s">
        <v>321</v>
      </c>
    </row>
    <row r="20" spans="7:15" x14ac:dyDescent="0.2">
      <c r="I20" s="130" t="s">
        <v>74</v>
      </c>
      <c r="J20" s="124" t="s">
        <v>322</v>
      </c>
    </row>
    <row r="21" spans="7:15" x14ac:dyDescent="0.2">
      <c r="I21" s="130" t="s">
        <v>75</v>
      </c>
      <c r="J21" s="124" t="s">
        <v>323</v>
      </c>
    </row>
    <row r="25" spans="7:15" x14ac:dyDescent="0.2">
      <c r="I25" s="130" t="s">
        <v>76</v>
      </c>
    </row>
    <row r="26" spans="7:15" x14ac:dyDescent="0.2">
      <c r="I26" s="130" t="s">
        <v>77</v>
      </c>
    </row>
    <row r="27" spans="7:15" x14ac:dyDescent="0.2">
      <c r="I27" s="130" t="s">
        <v>391</v>
      </c>
    </row>
    <row r="28" spans="7:15" x14ac:dyDescent="0.2">
      <c r="I28" t="s">
        <v>392</v>
      </c>
    </row>
    <row r="29" spans="7:15" x14ac:dyDescent="0.2">
      <c r="I29" s="130" t="s">
        <v>396</v>
      </c>
    </row>
    <row r="31" spans="7:15" ht="13.5" thickBot="1" x14ac:dyDescent="0.25">
      <c r="G31" s="254" t="s">
        <v>78</v>
      </c>
      <c r="H31" s="254"/>
      <c r="I31" s="254"/>
      <c r="J31" s="254"/>
      <c r="K31" s="254"/>
      <c r="L31" s="254"/>
      <c r="M31" s="254"/>
      <c r="N31" s="254"/>
      <c r="O31" s="254"/>
    </row>
    <row r="32" spans="7:15" ht="13.5" thickBot="1" x14ac:dyDescent="0.25">
      <c r="I32" s="255" t="s">
        <v>79</v>
      </c>
      <c r="J32" s="256"/>
      <c r="K32" s="257"/>
      <c r="L32" s="255" t="s">
        <v>80</v>
      </c>
      <c r="M32" s="256"/>
      <c r="N32" s="257"/>
    </row>
    <row r="33" spans="2:15" x14ac:dyDescent="0.2">
      <c r="G33" s="139" t="s">
        <v>81</v>
      </c>
      <c r="H33" s="139" t="s">
        <v>82</v>
      </c>
      <c r="I33" s="140" t="s">
        <v>83</v>
      </c>
      <c r="J33" s="139" t="s">
        <v>84</v>
      </c>
      <c r="K33" s="141" t="s">
        <v>85</v>
      </c>
      <c r="L33" s="139" t="s">
        <v>83</v>
      </c>
      <c r="M33" s="139" t="s">
        <v>84</v>
      </c>
      <c r="N33" s="141" t="s">
        <v>85</v>
      </c>
      <c r="O33" s="139" t="s">
        <v>86</v>
      </c>
    </row>
    <row r="34" spans="2:15" x14ac:dyDescent="0.2">
      <c r="B34" t="s">
        <v>336</v>
      </c>
      <c r="C34" s="130"/>
      <c r="D34" s="130"/>
      <c r="E34" s="130"/>
      <c r="G34">
        <f>IF(AND('AES Indiana Bill Calc.'!$D$11&gt;=Inputs!I34,'AES Indiana Bill Calc.'!$D$12&gt;=Inputs!J34,'AES Indiana Bill Calc.'!$D$11&lt;=Inputs!L34,'AES Indiana Bill Calc.'!$D$12&lt;=Inputs!M34,'AES Indiana Bill Calc.'!$D$12-'AES Indiana Bill Calc.'!$D$11&gt;=27,'AES Indiana Bill Calc.'!$D$12-'AES Indiana Bill Calc.'!$D$11&lt;=34),"X",)</f>
        <v>0</v>
      </c>
      <c r="H34" s="133">
        <v>44562</v>
      </c>
      <c r="I34" s="134">
        <v>44529</v>
      </c>
      <c r="J34" s="123">
        <v>44559</v>
      </c>
      <c r="K34" s="59">
        <f t="shared" ref="K34:K41" si="0">J34-I34</f>
        <v>30</v>
      </c>
      <c r="L34" s="123">
        <v>44559</v>
      </c>
      <c r="M34" s="123">
        <v>44589</v>
      </c>
      <c r="N34" s="59">
        <f t="shared" ref="N34:N52" si="1">M34-L34</f>
        <v>30</v>
      </c>
      <c r="O34" s="130" t="s">
        <v>87</v>
      </c>
    </row>
    <row r="35" spans="2:15" x14ac:dyDescent="0.2">
      <c r="B35" t="s">
        <v>337</v>
      </c>
      <c r="C35" s="130"/>
      <c r="D35" s="130"/>
      <c r="E35" s="130"/>
      <c r="G35">
        <f>IF(AND('AES Indiana Bill Calc.'!$D$11&gt;=Inputs!I35,'AES Indiana Bill Calc.'!$D$12&gt;=Inputs!J35,'AES Indiana Bill Calc.'!$D$11&lt;=Inputs!L35,'AES Indiana Bill Calc.'!$D$12&lt;=Inputs!M35,'AES Indiana Bill Calc.'!$D$12-'AES Indiana Bill Calc.'!$D$11&gt;=27,'AES Indiana Bill Calc.'!$D$12-'AES Indiana Bill Calc.'!$D$11&lt;=34),"X",)</f>
        <v>0</v>
      </c>
      <c r="H35" s="133">
        <v>44593</v>
      </c>
      <c r="I35" s="134">
        <v>44559</v>
      </c>
      <c r="J35" s="132">
        <v>44591</v>
      </c>
      <c r="K35" s="59">
        <f t="shared" si="0"/>
        <v>32</v>
      </c>
      <c r="L35" s="123">
        <v>44589</v>
      </c>
      <c r="M35" s="123">
        <v>44617</v>
      </c>
      <c r="N35" s="59">
        <f t="shared" si="1"/>
        <v>28</v>
      </c>
      <c r="O35" s="130" t="s">
        <v>87</v>
      </c>
    </row>
    <row r="36" spans="2:15" x14ac:dyDescent="0.2">
      <c r="B36" t="s">
        <v>338</v>
      </c>
      <c r="G36">
        <f>IF(AND('AES Indiana Bill Calc.'!$D$11&gt;=Inputs!I36,'AES Indiana Bill Calc.'!$D$12&gt;=Inputs!J36,'AES Indiana Bill Calc.'!$D$11&lt;=Inputs!L36,'AES Indiana Bill Calc.'!$D$12&lt;=Inputs!M36,'AES Indiana Bill Calc.'!$D$12-'AES Indiana Bill Calc.'!$D$11&gt;=27,'AES Indiana Bill Calc.'!$D$12-'AES Indiana Bill Calc.'!$D$11&lt;=34),"X",)</f>
        <v>0</v>
      </c>
      <c r="H36" s="133">
        <v>44621</v>
      </c>
      <c r="I36" s="134">
        <v>44591</v>
      </c>
      <c r="J36" s="123">
        <v>44619</v>
      </c>
      <c r="K36" s="59">
        <f t="shared" si="0"/>
        <v>28</v>
      </c>
      <c r="L36" s="123">
        <v>44617</v>
      </c>
      <c r="M36" s="123">
        <v>44649</v>
      </c>
      <c r="N36" s="59">
        <f t="shared" si="1"/>
        <v>32</v>
      </c>
      <c r="O36" s="130" t="s">
        <v>87</v>
      </c>
    </row>
    <row r="37" spans="2:15" x14ac:dyDescent="0.2">
      <c r="B37" t="s">
        <v>346</v>
      </c>
      <c r="G37">
        <f>IF(AND('AES Indiana Bill Calc.'!$D$11&gt;=Inputs!I37,'AES Indiana Bill Calc.'!$D$12&gt;=Inputs!J37,'AES Indiana Bill Calc.'!$D$11&lt;=Inputs!L37,'AES Indiana Bill Calc.'!$D$12&lt;=Inputs!M37,'AES Indiana Bill Calc.'!$D$12-'AES Indiana Bill Calc.'!$D$11&gt;=27,'AES Indiana Bill Calc.'!$D$12-'AES Indiana Bill Calc.'!$D$11&lt;=34),"X",)</f>
        <v>0</v>
      </c>
      <c r="H37" s="133">
        <v>44652</v>
      </c>
      <c r="I37" s="134">
        <v>44619</v>
      </c>
      <c r="J37" s="123">
        <v>44650</v>
      </c>
      <c r="K37" s="59">
        <f t="shared" si="0"/>
        <v>31</v>
      </c>
      <c r="L37" s="123">
        <v>44649</v>
      </c>
      <c r="M37" s="123">
        <v>44678</v>
      </c>
      <c r="N37" s="59">
        <f t="shared" si="1"/>
        <v>29</v>
      </c>
      <c r="O37" s="130" t="s">
        <v>87</v>
      </c>
    </row>
    <row r="38" spans="2:15" x14ac:dyDescent="0.2">
      <c r="B38" t="s">
        <v>347</v>
      </c>
      <c r="G38">
        <f>IF(AND('AES Indiana Bill Calc.'!$D$11&gt;=Inputs!I38,'AES Indiana Bill Calc.'!$D$12&gt;=Inputs!J38,'AES Indiana Bill Calc.'!$D$11&lt;=Inputs!L38,'AES Indiana Bill Calc.'!$D$12&lt;=Inputs!M38,'AES Indiana Bill Calc.'!$D$12-'AES Indiana Bill Calc.'!$D$11&gt;=27,'AES Indiana Bill Calc.'!$D$12-'AES Indiana Bill Calc.'!$D$11&lt;=34),"X",)</f>
        <v>0</v>
      </c>
      <c r="H38" s="133">
        <v>44682</v>
      </c>
      <c r="I38" s="134">
        <v>44650</v>
      </c>
      <c r="J38" s="123">
        <v>44679</v>
      </c>
      <c r="K38" s="59">
        <f t="shared" si="0"/>
        <v>29</v>
      </c>
      <c r="L38" s="123">
        <v>44678</v>
      </c>
      <c r="M38" s="123">
        <v>44708</v>
      </c>
      <c r="N38" s="59">
        <f t="shared" si="1"/>
        <v>30</v>
      </c>
      <c r="O38" s="130" t="s">
        <v>87</v>
      </c>
    </row>
    <row r="39" spans="2:15" x14ac:dyDescent="0.2">
      <c r="B39" t="s">
        <v>348</v>
      </c>
      <c r="G39">
        <f>IF(AND('AES Indiana Bill Calc.'!$D$11&gt;=Inputs!I39,'AES Indiana Bill Calc.'!$D$12&gt;=Inputs!J39,'AES Indiana Bill Calc.'!$D$11&lt;=Inputs!L39,'AES Indiana Bill Calc.'!$D$12&lt;=Inputs!M39,'AES Indiana Bill Calc.'!$D$12-'AES Indiana Bill Calc.'!$D$11&gt;=27,'AES Indiana Bill Calc.'!$D$12-'AES Indiana Bill Calc.'!$D$11&lt;=34),"X",)</f>
        <v>0</v>
      </c>
      <c r="H39" s="133">
        <v>44713</v>
      </c>
      <c r="I39" s="134">
        <v>44679</v>
      </c>
      <c r="J39" s="123">
        <v>44712</v>
      </c>
      <c r="K39" s="59">
        <f t="shared" si="0"/>
        <v>33</v>
      </c>
      <c r="L39" s="123">
        <v>44708</v>
      </c>
      <c r="M39" s="123">
        <v>44741</v>
      </c>
      <c r="N39" s="59">
        <f t="shared" si="1"/>
        <v>33</v>
      </c>
      <c r="O39" s="130" t="s">
        <v>87</v>
      </c>
    </row>
    <row r="40" spans="2:15" x14ac:dyDescent="0.2">
      <c r="B40" t="s">
        <v>349</v>
      </c>
      <c r="G40">
        <f>IF(AND('AES Indiana Bill Calc.'!$D$11&gt;=Inputs!I40,'AES Indiana Bill Calc.'!$D$12&gt;=Inputs!J40,'AES Indiana Bill Calc.'!$D$11&lt;=Inputs!L40,'AES Indiana Bill Calc.'!$D$12&lt;=Inputs!M40,'AES Indiana Bill Calc.'!$D$12-'AES Indiana Bill Calc.'!$D$11&gt;=27,'AES Indiana Bill Calc.'!$D$12-'AES Indiana Bill Calc.'!$D$11&lt;=34),"X",)</f>
        <v>0</v>
      </c>
      <c r="H40" s="133">
        <v>44743</v>
      </c>
      <c r="I40" s="134">
        <v>44712</v>
      </c>
      <c r="J40" s="123">
        <v>44742</v>
      </c>
      <c r="K40" s="59">
        <f t="shared" si="0"/>
        <v>30</v>
      </c>
      <c r="L40" s="123">
        <v>44741</v>
      </c>
      <c r="M40" s="123">
        <v>44770</v>
      </c>
      <c r="N40" s="59">
        <f t="shared" si="1"/>
        <v>29</v>
      </c>
      <c r="O40" s="130" t="s">
        <v>87</v>
      </c>
    </row>
    <row r="41" spans="2:15" x14ac:dyDescent="0.2">
      <c r="B41" t="s">
        <v>350</v>
      </c>
      <c r="G41">
        <f>IF(AND('AES Indiana Bill Calc.'!$D$11&gt;=Inputs!I41,'AES Indiana Bill Calc.'!$D$12&gt;=Inputs!J41,'AES Indiana Bill Calc.'!$D$11&lt;=Inputs!L41,'AES Indiana Bill Calc.'!$D$12&lt;=Inputs!M41,'AES Indiana Bill Calc.'!$D$12-'AES Indiana Bill Calc.'!$D$11&gt;=27,'AES Indiana Bill Calc.'!$D$12-'AES Indiana Bill Calc.'!$D$11&lt;=34),"X",)</f>
        <v>0</v>
      </c>
      <c r="H41" s="133">
        <v>44774</v>
      </c>
      <c r="I41" s="134">
        <v>44742</v>
      </c>
      <c r="J41" s="123">
        <v>44771</v>
      </c>
      <c r="K41" s="59">
        <f t="shared" si="0"/>
        <v>29</v>
      </c>
      <c r="L41" s="123">
        <v>44770</v>
      </c>
      <c r="M41" s="123">
        <v>44802</v>
      </c>
      <c r="N41" s="59">
        <f>M41-L41</f>
        <v>32</v>
      </c>
      <c r="O41" s="130" t="s">
        <v>87</v>
      </c>
    </row>
    <row r="42" spans="2:15" x14ac:dyDescent="0.2">
      <c r="B42" t="s">
        <v>351</v>
      </c>
      <c r="G42">
        <f>IF(AND('AES Indiana Bill Calc.'!$D$11&gt;=Inputs!I42,'AES Indiana Bill Calc.'!$D$12&gt;=Inputs!J42,'AES Indiana Bill Calc.'!$D$11&lt;=Inputs!L42,'AES Indiana Bill Calc.'!$D$12&lt;=Inputs!M42,'AES Indiana Bill Calc.'!$D$12-'AES Indiana Bill Calc.'!$D$11&gt;=27,'AES Indiana Bill Calc.'!$D$12-'AES Indiana Bill Calc.'!$D$11&lt;=34),"X",)</f>
        <v>0</v>
      </c>
      <c r="H42" s="133">
        <v>44805</v>
      </c>
      <c r="I42" s="134">
        <v>44771</v>
      </c>
      <c r="J42" s="123">
        <v>44802</v>
      </c>
      <c r="K42" s="59">
        <f>J42-I42</f>
        <v>31</v>
      </c>
      <c r="L42" s="123">
        <v>44803</v>
      </c>
      <c r="M42" s="123">
        <v>44833</v>
      </c>
      <c r="N42" s="59">
        <f t="shared" si="1"/>
        <v>30</v>
      </c>
      <c r="O42" s="130" t="s">
        <v>87</v>
      </c>
    </row>
    <row r="43" spans="2:15" x14ac:dyDescent="0.2">
      <c r="B43" t="s">
        <v>352</v>
      </c>
      <c r="G43">
        <f>IF(AND('AES Indiana Bill Calc.'!$D$11&gt;=Inputs!I43,'AES Indiana Bill Calc.'!$D$12&gt;=Inputs!J43,'AES Indiana Bill Calc.'!$D$11&lt;=Inputs!L43,'AES Indiana Bill Calc.'!$D$12&lt;=Inputs!M43,'AES Indiana Bill Calc.'!$D$12-'AES Indiana Bill Calc.'!$D$11&gt;=27,'AES Indiana Bill Calc.'!$D$12-'AES Indiana Bill Calc.'!$D$11&lt;=34),"X",)</f>
        <v>0</v>
      </c>
      <c r="H43" s="133">
        <v>44835</v>
      </c>
      <c r="I43" s="134">
        <v>44802</v>
      </c>
      <c r="J43" s="123">
        <v>44834</v>
      </c>
      <c r="K43" s="59">
        <f>J43-I43</f>
        <v>32</v>
      </c>
      <c r="L43" s="123">
        <v>44833</v>
      </c>
      <c r="M43" s="123">
        <v>44862</v>
      </c>
      <c r="N43" s="59">
        <f t="shared" si="1"/>
        <v>29</v>
      </c>
      <c r="O43" s="130" t="s">
        <v>87</v>
      </c>
    </row>
    <row r="44" spans="2:15" x14ac:dyDescent="0.2">
      <c r="B44" t="s">
        <v>353</v>
      </c>
      <c r="G44">
        <f>IF(AND('AES Indiana Bill Calc.'!$D$11&gt;=Inputs!I44,'AES Indiana Bill Calc.'!$D$12&gt;=Inputs!J44,'AES Indiana Bill Calc.'!$D$11&lt;=Inputs!L44,'AES Indiana Bill Calc.'!$D$12&lt;=Inputs!M44,'AES Indiana Bill Calc.'!$D$12-'AES Indiana Bill Calc.'!$D$11&gt;=27,'AES Indiana Bill Calc.'!$D$12-'AES Indiana Bill Calc.'!$D$11&lt;=34),"X",)</f>
        <v>0</v>
      </c>
      <c r="H44" s="133">
        <v>44866</v>
      </c>
      <c r="I44" s="134">
        <v>44834</v>
      </c>
      <c r="J44" s="123">
        <v>44863</v>
      </c>
      <c r="K44" s="59">
        <f t="shared" ref="K44:K53" si="2">J44-I44</f>
        <v>29</v>
      </c>
      <c r="L44" s="123">
        <v>44862</v>
      </c>
      <c r="M44" s="123">
        <v>44894</v>
      </c>
      <c r="N44" s="59">
        <f t="shared" si="1"/>
        <v>32</v>
      </c>
      <c r="O44" s="130" t="s">
        <v>87</v>
      </c>
    </row>
    <row r="45" spans="2:15" x14ac:dyDescent="0.2">
      <c r="B45" t="s">
        <v>354</v>
      </c>
      <c r="G45">
        <f>IF(AND('AES Indiana Bill Calc.'!$D$11&gt;=Inputs!I45,'AES Indiana Bill Calc.'!$D$12&gt;=Inputs!J45,'AES Indiana Bill Calc.'!$D$11&lt;=Inputs!L45,'AES Indiana Bill Calc.'!$D$12&lt;=Inputs!M45,'AES Indiana Bill Calc.'!$D$12-'AES Indiana Bill Calc.'!$D$11&gt;=27,'AES Indiana Bill Calc.'!$D$12-'AES Indiana Bill Calc.'!$D$11&lt;=34),"X",)</f>
        <v>0</v>
      </c>
      <c r="H45" s="133">
        <v>44896</v>
      </c>
      <c r="I45" s="134">
        <v>44863</v>
      </c>
      <c r="J45" s="123">
        <v>44895</v>
      </c>
      <c r="K45" s="59">
        <f t="shared" si="2"/>
        <v>32</v>
      </c>
      <c r="L45" s="123">
        <v>44894</v>
      </c>
      <c r="M45" s="123">
        <v>44924</v>
      </c>
      <c r="N45" s="59">
        <f t="shared" si="1"/>
        <v>30</v>
      </c>
      <c r="O45" s="130" t="s">
        <v>87</v>
      </c>
    </row>
    <row r="46" spans="2:15" x14ac:dyDescent="0.2">
      <c r="B46" t="s">
        <v>355</v>
      </c>
      <c r="C46" s="130"/>
      <c r="D46" s="130"/>
      <c r="E46" s="130"/>
      <c r="G46">
        <f>IF(AND('AES Indiana Bill Calc.'!$D$11&gt;=Inputs!I46,'AES Indiana Bill Calc.'!$D$12&gt;=Inputs!J46,'AES Indiana Bill Calc.'!$D$11&lt;=Inputs!L46,'AES Indiana Bill Calc.'!$D$12&lt;=Inputs!M46,'AES Indiana Bill Calc.'!$D$12-'AES Indiana Bill Calc.'!$D$11&gt;=27,'AES Indiana Bill Calc.'!$D$12-'AES Indiana Bill Calc.'!$D$11&lt;=34),"X",)</f>
        <v>0</v>
      </c>
      <c r="H46" s="133">
        <v>44927</v>
      </c>
      <c r="I46" s="134">
        <v>44895</v>
      </c>
      <c r="J46" s="123">
        <v>44925</v>
      </c>
      <c r="K46" s="59">
        <f t="shared" si="2"/>
        <v>30</v>
      </c>
      <c r="L46" s="123">
        <f>J46</f>
        <v>44925</v>
      </c>
      <c r="M46" s="123">
        <v>44956</v>
      </c>
      <c r="N46" s="59">
        <f t="shared" si="1"/>
        <v>31</v>
      </c>
      <c r="O46" s="130" t="s">
        <v>87</v>
      </c>
    </row>
    <row r="47" spans="2:15" x14ac:dyDescent="0.2">
      <c r="B47" t="s">
        <v>356</v>
      </c>
      <c r="C47" s="130"/>
      <c r="D47" s="130"/>
      <c r="E47" s="130"/>
      <c r="G47">
        <f>IF(AND('AES Indiana Bill Calc.'!$D$11&gt;=Inputs!I47,'AES Indiana Bill Calc.'!$D$12&gt;=Inputs!J47,'AES Indiana Bill Calc.'!$D$11&lt;=Inputs!L47,'AES Indiana Bill Calc.'!$D$12&lt;=Inputs!M47,'AES Indiana Bill Calc.'!$D$12-'AES Indiana Bill Calc.'!$D$11&gt;=27,'AES Indiana Bill Calc.'!$D$12-'AES Indiana Bill Calc.'!$D$11&lt;=34),"X",)</f>
        <v>0</v>
      </c>
      <c r="H47" s="133">
        <v>44958</v>
      </c>
      <c r="I47" s="134">
        <f>J46</f>
        <v>44925</v>
      </c>
      <c r="J47" s="132">
        <v>44957</v>
      </c>
      <c r="K47" s="59">
        <f t="shared" si="2"/>
        <v>32</v>
      </c>
      <c r="L47" s="123">
        <f>M46</f>
        <v>44956</v>
      </c>
      <c r="M47" s="123">
        <v>44984</v>
      </c>
      <c r="N47" s="59">
        <f t="shared" si="1"/>
        <v>28</v>
      </c>
      <c r="O47" s="130" t="s">
        <v>87</v>
      </c>
    </row>
    <row r="48" spans="2:15" x14ac:dyDescent="0.2">
      <c r="B48" t="s">
        <v>357</v>
      </c>
      <c r="C48" s="130"/>
      <c r="D48" s="130"/>
      <c r="E48" s="130"/>
      <c r="G48">
        <f>IF(AND('AES Indiana Bill Calc.'!$D$11&gt;=Inputs!I48,'AES Indiana Bill Calc.'!$D$12&gt;=Inputs!J48,'AES Indiana Bill Calc.'!$D$11&lt;=Inputs!L48,'AES Indiana Bill Calc.'!$D$12&lt;=Inputs!M48,'AES Indiana Bill Calc.'!$D$12-'AES Indiana Bill Calc.'!$D$11&gt;=27,'AES Indiana Bill Calc.'!$D$12-'AES Indiana Bill Calc.'!$D$11&lt;=34),"X",)</f>
        <v>0</v>
      </c>
      <c r="H48" s="133">
        <v>44986</v>
      </c>
      <c r="I48" s="134">
        <f>J47</f>
        <v>44957</v>
      </c>
      <c r="J48" s="123">
        <v>44985</v>
      </c>
      <c r="K48" s="59">
        <f t="shared" si="2"/>
        <v>28</v>
      </c>
      <c r="L48" s="123">
        <f>M47</f>
        <v>44984</v>
      </c>
      <c r="M48" s="123">
        <v>45014</v>
      </c>
      <c r="N48" s="59">
        <f t="shared" si="1"/>
        <v>30</v>
      </c>
      <c r="O48" s="130" t="s">
        <v>88</v>
      </c>
    </row>
    <row r="49" spans="2:15" x14ac:dyDescent="0.2">
      <c r="B49" t="s">
        <v>358</v>
      </c>
      <c r="C49" s="130"/>
      <c r="D49" s="130"/>
      <c r="E49" s="130"/>
      <c r="G49">
        <f>IF(AND('AES Indiana Bill Calc.'!$D$11&gt;=Inputs!I49,'AES Indiana Bill Calc.'!$D$12&gt;=Inputs!J49,'AES Indiana Bill Calc.'!$D$11&lt;=Inputs!L49,'AES Indiana Bill Calc.'!$D$12&lt;=Inputs!M49,'AES Indiana Bill Calc.'!$D$12-'AES Indiana Bill Calc.'!$D$11&gt;=27,'AES Indiana Bill Calc.'!$D$12-'AES Indiana Bill Calc.'!$D$11&lt;=34),"X",)</f>
        <v>0</v>
      </c>
      <c r="H49" s="133">
        <v>45017</v>
      </c>
      <c r="I49" s="134">
        <v>44985</v>
      </c>
      <c r="J49" s="123">
        <v>45015</v>
      </c>
      <c r="K49" s="59">
        <f t="shared" si="2"/>
        <v>30</v>
      </c>
      <c r="L49" s="123">
        <v>45014</v>
      </c>
      <c r="M49" s="123">
        <v>45043</v>
      </c>
      <c r="N49" s="59">
        <f t="shared" si="1"/>
        <v>29</v>
      </c>
      <c r="O49" s="130" t="s">
        <v>89</v>
      </c>
    </row>
    <row r="50" spans="2:15" x14ac:dyDescent="0.2">
      <c r="B50" t="s">
        <v>359</v>
      </c>
      <c r="C50" s="130"/>
      <c r="D50" s="130"/>
      <c r="E50" s="130"/>
      <c r="G50">
        <f>IF(AND('AES Indiana Bill Calc.'!$D$11&gt;=Inputs!I50,'AES Indiana Bill Calc.'!$D$12&gt;=Inputs!J50,'AES Indiana Bill Calc.'!$D$11&lt;=Inputs!L50,'AES Indiana Bill Calc.'!$D$12&lt;=Inputs!M50,'AES Indiana Bill Calc.'!$D$12-'AES Indiana Bill Calc.'!$D$11&gt;=27,'AES Indiana Bill Calc.'!$D$12-'AES Indiana Bill Calc.'!$D$11&lt;=34),"X",)</f>
        <v>0</v>
      </c>
      <c r="H50" s="133">
        <v>45047</v>
      </c>
      <c r="I50" s="134">
        <v>45015</v>
      </c>
      <c r="J50" s="123">
        <v>45044</v>
      </c>
      <c r="K50" s="59">
        <f t="shared" si="2"/>
        <v>29</v>
      </c>
      <c r="L50" s="123">
        <v>45043</v>
      </c>
      <c r="M50" s="123">
        <v>45076</v>
      </c>
      <c r="N50" s="59">
        <f t="shared" si="1"/>
        <v>33</v>
      </c>
      <c r="O50" s="130" t="s">
        <v>90</v>
      </c>
    </row>
    <row r="51" spans="2:15" x14ac:dyDescent="0.2">
      <c r="B51" t="s">
        <v>360</v>
      </c>
      <c r="C51" s="130"/>
      <c r="D51" s="130"/>
      <c r="E51" s="130"/>
      <c r="G51">
        <f>IF(AND('AES Indiana Bill Calc.'!$D$11&gt;=Inputs!I51,'AES Indiana Bill Calc.'!$D$12&gt;=Inputs!J51,'AES Indiana Bill Calc.'!$D$11&lt;=Inputs!L51,'AES Indiana Bill Calc.'!$D$12&lt;=Inputs!M51,'AES Indiana Bill Calc.'!$D$12-'AES Indiana Bill Calc.'!$D$11&gt;=27,'AES Indiana Bill Calc.'!$D$12-'AES Indiana Bill Calc.'!$D$11&lt;=34),"X",)</f>
        <v>0</v>
      </c>
      <c r="H51" s="133">
        <v>45078</v>
      </c>
      <c r="I51" s="134">
        <v>45044</v>
      </c>
      <c r="J51" s="123">
        <v>45077</v>
      </c>
      <c r="K51" s="59">
        <f t="shared" si="2"/>
        <v>33</v>
      </c>
      <c r="L51" s="123">
        <f>M50</f>
        <v>45076</v>
      </c>
      <c r="M51" s="123">
        <v>45106</v>
      </c>
      <c r="N51" s="59">
        <f t="shared" si="1"/>
        <v>30</v>
      </c>
      <c r="O51" s="130" t="s">
        <v>91</v>
      </c>
    </row>
    <row r="52" spans="2:15" x14ac:dyDescent="0.2">
      <c r="B52" t="s">
        <v>361</v>
      </c>
      <c r="C52" s="130"/>
      <c r="D52" s="130"/>
      <c r="E52" s="130"/>
      <c r="G52">
        <f>IF(AND('AES Indiana Bill Calc.'!$D$11&gt;=Inputs!I52,'AES Indiana Bill Calc.'!$D$12&gt;=Inputs!J52,'AES Indiana Bill Calc.'!$D$11&lt;=Inputs!L52,'AES Indiana Bill Calc.'!$D$12&lt;=Inputs!M52,'AES Indiana Bill Calc.'!$D$12-'AES Indiana Bill Calc.'!$D$11&gt;=27,'AES Indiana Bill Calc.'!$D$12-'AES Indiana Bill Calc.'!$D$11&lt;=34),"X",)</f>
        <v>0</v>
      </c>
      <c r="H52" s="133">
        <v>45108</v>
      </c>
      <c r="I52" s="134">
        <v>45077</v>
      </c>
      <c r="J52" s="123">
        <v>45107</v>
      </c>
      <c r="K52" s="59">
        <f t="shared" si="2"/>
        <v>30</v>
      </c>
      <c r="L52" s="123">
        <v>45106</v>
      </c>
      <c r="M52" s="123">
        <v>45135</v>
      </c>
      <c r="N52" s="59">
        <f t="shared" si="1"/>
        <v>29</v>
      </c>
      <c r="O52" s="130" t="s">
        <v>292</v>
      </c>
    </row>
    <row r="53" spans="2:15" x14ac:dyDescent="0.2">
      <c r="B53" t="s">
        <v>362</v>
      </c>
      <c r="C53" s="130"/>
      <c r="D53" s="130"/>
      <c r="E53" s="130"/>
      <c r="G53">
        <f>IF(AND('AES Indiana Bill Calc.'!$D$11&gt;=Inputs!I53,'AES Indiana Bill Calc.'!$D$12&gt;=Inputs!J53,'AES Indiana Bill Calc.'!$D$11&lt;=Inputs!L53,'AES Indiana Bill Calc.'!$D$12&lt;=Inputs!M53,'AES Indiana Bill Calc.'!$D$12-'AES Indiana Bill Calc.'!$D$11&gt;=27,'AES Indiana Bill Calc.'!$D$12-'AES Indiana Bill Calc.'!$D$11&lt;=34),"X",)</f>
        <v>0</v>
      </c>
      <c r="H53" s="133">
        <v>45139</v>
      </c>
      <c r="I53" s="134">
        <v>45107</v>
      </c>
      <c r="J53" s="123">
        <v>45138</v>
      </c>
      <c r="K53" s="59">
        <f t="shared" si="2"/>
        <v>31</v>
      </c>
      <c r="L53" s="123">
        <v>45135</v>
      </c>
      <c r="M53" s="123">
        <v>45168</v>
      </c>
      <c r="N53" s="59">
        <f>M53-L53</f>
        <v>33</v>
      </c>
      <c r="O53" s="130" t="s">
        <v>92</v>
      </c>
    </row>
    <row r="54" spans="2:15" x14ac:dyDescent="0.2">
      <c r="B54" t="s">
        <v>363</v>
      </c>
      <c r="C54" s="130"/>
      <c r="D54" s="130"/>
      <c r="E54" s="130"/>
      <c r="G54">
        <f>IF(AND('AES Indiana Bill Calc.'!$D$11&gt;=Inputs!I54,'AES Indiana Bill Calc.'!$D$12&gt;=Inputs!J54,'AES Indiana Bill Calc.'!$D$11&lt;=Inputs!L54,'AES Indiana Bill Calc.'!$D$12&lt;=Inputs!M54,'AES Indiana Bill Calc.'!$D$12-'AES Indiana Bill Calc.'!$D$11&gt;=27,'AES Indiana Bill Calc.'!$D$12-'AES Indiana Bill Calc.'!$D$11&lt;=34),"X",)</f>
        <v>0</v>
      </c>
      <c r="H54" s="133">
        <v>45170</v>
      </c>
      <c r="I54" s="134">
        <v>45138</v>
      </c>
      <c r="J54" s="123">
        <v>45169</v>
      </c>
      <c r="K54" s="59">
        <f>J54-I54</f>
        <v>31</v>
      </c>
      <c r="L54" s="123">
        <v>45168</v>
      </c>
      <c r="M54" s="123">
        <v>45197</v>
      </c>
      <c r="N54" s="59">
        <f t="shared" ref="N54:N69" si="3">M54-L54</f>
        <v>29</v>
      </c>
      <c r="O54" s="130" t="s">
        <v>93</v>
      </c>
    </row>
    <row r="55" spans="2:15" x14ac:dyDescent="0.2">
      <c r="B55" t="s">
        <v>364</v>
      </c>
      <c r="C55" s="130"/>
      <c r="D55" s="130"/>
      <c r="E55" s="130"/>
      <c r="G55">
        <f>IF(AND('AES Indiana Bill Calc.'!$D$11&gt;=Inputs!I55,'AES Indiana Bill Calc.'!$D$12&gt;=Inputs!J55,'AES Indiana Bill Calc.'!$D$11&lt;=Inputs!L55,'AES Indiana Bill Calc.'!$D$12&lt;=Inputs!M55,'AES Indiana Bill Calc.'!$D$12-'AES Indiana Bill Calc.'!$D$11&gt;=27,'AES Indiana Bill Calc.'!$D$12-'AES Indiana Bill Calc.'!$D$11&lt;=34),"X",)</f>
        <v>0</v>
      </c>
      <c r="H55" s="133">
        <v>45200</v>
      </c>
      <c r="I55" s="134">
        <f>J54</f>
        <v>45169</v>
      </c>
      <c r="J55" s="123">
        <v>45198</v>
      </c>
      <c r="K55" s="59">
        <f>J55-I55</f>
        <v>29</v>
      </c>
      <c r="L55" s="123">
        <v>45197</v>
      </c>
      <c r="M55" s="123">
        <v>45229</v>
      </c>
      <c r="N55" s="59">
        <f t="shared" si="3"/>
        <v>32</v>
      </c>
      <c r="O55" s="130" t="s">
        <v>94</v>
      </c>
    </row>
    <row r="56" spans="2:15" x14ac:dyDescent="0.2">
      <c r="B56" t="s">
        <v>365</v>
      </c>
      <c r="C56" s="130"/>
      <c r="D56" s="130"/>
      <c r="E56" s="130"/>
      <c r="G56">
        <f>IF(AND('AES Indiana Bill Calc.'!$D$11&gt;=Inputs!I56,'AES Indiana Bill Calc.'!$D$12&gt;=Inputs!J56,'AES Indiana Bill Calc.'!$D$11&lt;=Inputs!L56,'AES Indiana Bill Calc.'!$D$12&lt;=Inputs!M56,'AES Indiana Bill Calc.'!$D$12-'AES Indiana Bill Calc.'!$D$11&gt;=27,'AES Indiana Bill Calc.'!$D$12-'AES Indiana Bill Calc.'!$D$11&lt;=34),"X",)</f>
        <v>0</v>
      </c>
      <c r="H56" s="133">
        <v>45231</v>
      </c>
      <c r="I56" s="134">
        <v>45198</v>
      </c>
      <c r="J56" s="123">
        <v>45230</v>
      </c>
      <c r="K56" s="59">
        <f t="shared" ref="K56:K69" si="4">J56-I56</f>
        <v>32</v>
      </c>
      <c r="L56" s="123">
        <v>45229</v>
      </c>
      <c r="M56" s="123">
        <v>45259</v>
      </c>
      <c r="N56" s="59">
        <f t="shared" si="3"/>
        <v>30</v>
      </c>
      <c r="O56" s="130" t="s">
        <v>95</v>
      </c>
    </row>
    <row r="57" spans="2:15" x14ac:dyDescent="0.2">
      <c r="B57" t="s">
        <v>366</v>
      </c>
      <c r="C57" s="130"/>
      <c r="D57" s="130"/>
      <c r="E57" s="130"/>
      <c r="G57">
        <f>IF(AND('AES Indiana Bill Calc.'!$D$11&gt;=Inputs!I57,'AES Indiana Bill Calc.'!$D$12&gt;=Inputs!J57,'AES Indiana Bill Calc.'!$D$11&lt;=Inputs!L57,'AES Indiana Bill Calc.'!$D$12&lt;=Inputs!M57,'AES Indiana Bill Calc.'!$D$12-'AES Indiana Bill Calc.'!$D$11&gt;=27,'AES Indiana Bill Calc.'!$D$12-'AES Indiana Bill Calc.'!$D$11&lt;=34),"X",)</f>
        <v>0</v>
      </c>
      <c r="H57" s="133">
        <v>45261</v>
      </c>
      <c r="I57" s="134">
        <f>J56</f>
        <v>45230</v>
      </c>
      <c r="J57" s="123">
        <v>45260</v>
      </c>
      <c r="K57" s="59">
        <f t="shared" si="4"/>
        <v>30</v>
      </c>
      <c r="L57" s="123">
        <v>45259</v>
      </c>
      <c r="M57" s="123">
        <v>45288</v>
      </c>
      <c r="N57" s="59">
        <f t="shared" si="3"/>
        <v>29</v>
      </c>
      <c r="O57" s="130" t="s">
        <v>96</v>
      </c>
    </row>
    <row r="58" spans="2:15" x14ac:dyDescent="0.2">
      <c r="B58" t="s">
        <v>367</v>
      </c>
      <c r="C58" s="130" t="str">
        <f>$I$27&amp;""&amp;B58</f>
        <v>Please check the dates you entered. The dates you entered are valid for the January 2024</v>
      </c>
      <c r="D58" s="130" t="str">
        <f>C58&amp;" "&amp;$I$28</f>
        <v xml:space="preserve">Please check the dates you entered. The dates you entered are valid for the January 2024 billing cycle. If valid, please use AES Indiana's </v>
      </c>
      <c r="E58" s="130" t="str">
        <f>D58&amp;""&amp;B58</f>
        <v>Please check the dates you entered. The dates you entered are valid for the January 2024 billing cycle. If valid, please use AES Indiana's January 2024</v>
      </c>
      <c r="F58" t="str">
        <f>E58&amp;" "&amp;$I$29</f>
        <v>Please check the dates you entered. The dates you entered are valid for the January 2024 billing cycle. If valid, please use AES Indiana's January 2024 monthly bill calculator to calculate your bill for the dates entered.</v>
      </c>
      <c r="G58">
        <f>IF(AND('AES Indiana Bill Calc.'!$D$11&gt;=Inputs!I58,'AES Indiana Bill Calc.'!$D$12&gt;=Inputs!J58,'AES Indiana Bill Calc.'!$D$11&lt;=Inputs!L58,'AES Indiana Bill Calc.'!$D$12&lt;=Inputs!M58,'AES Indiana Bill Calc.'!$D$12-'AES Indiana Bill Calc.'!$D$11&gt;=26,'AES Indiana Bill Calc.'!$D$12-'AES Indiana Bill Calc.'!$D$11&lt;=35),"X",)</f>
        <v>0</v>
      </c>
      <c r="H58" s="164">
        <v>45292</v>
      </c>
      <c r="I58" s="123">
        <v>45260</v>
      </c>
      <c r="J58" s="123">
        <v>45289</v>
      </c>
      <c r="K58" s="59">
        <f t="shared" si="4"/>
        <v>29</v>
      </c>
      <c r="L58" s="123">
        <v>45288</v>
      </c>
      <c r="M58" s="123">
        <v>45321</v>
      </c>
      <c r="N58" s="59">
        <f t="shared" si="3"/>
        <v>33</v>
      </c>
      <c r="O58" s="130" t="str">
        <f>IF(Inputs!B58='Calc. Oct 2025'!$F$3,Inputs!$I$26,Inputs!F58)</f>
        <v>Please check the dates you entered. The dates you entered are valid for the January 2024 billing cycle. If valid, please use AES Indiana's January 2024 monthly bill calculator to calculate your bill for the dates entered.</v>
      </c>
    </row>
    <row r="59" spans="2:15" x14ac:dyDescent="0.2">
      <c r="B59" t="s">
        <v>368</v>
      </c>
      <c r="C59" s="130" t="str">
        <f t="shared" ref="C59:C81" si="5">$I$27&amp;""&amp;B59</f>
        <v>Please check the dates you entered. The dates you entered are valid for the February 2024</v>
      </c>
      <c r="D59" s="130" t="str">
        <f t="shared" ref="D59:D81" si="6">C59&amp;" "&amp;$I$28</f>
        <v xml:space="preserve">Please check the dates you entered. The dates you entered are valid for the February 2024 billing cycle. If valid, please use AES Indiana's </v>
      </c>
      <c r="E59" s="130" t="str">
        <f t="shared" ref="E59:E81" si="7">D59&amp;""&amp;B59</f>
        <v>Please check the dates you entered. The dates you entered are valid for the February 2024 billing cycle. If valid, please use AES Indiana's February 2024</v>
      </c>
      <c r="F59" t="str">
        <f t="shared" ref="F59:F81" si="8">E59&amp;" "&amp;$I$29</f>
        <v>Please check the dates you entered. The dates you entered are valid for the February 2024 billing cycle. If valid, please use AES Indiana's February 2024 monthly bill calculator to calculate your bill for the dates entered.</v>
      </c>
      <c r="G59">
        <f>IF(AND('AES Indiana Bill Calc.'!$D$11&gt;=Inputs!I59,'AES Indiana Bill Calc.'!$D$12&gt;=Inputs!J59,'AES Indiana Bill Calc.'!$D$11&lt;=Inputs!L59,'AES Indiana Bill Calc.'!$D$12&lt;=Inputs!M59,'AES Indiana Bill Calc.'!$D$12-'AES Indiana Bill Calc.'!$D$11&gt;=26,'AES Indiana Bill Calc.'!$D$12-'AES Indiana Bill Calc.'!$D$11&lt;=35),"X",)</f>
        <v>0</v>
      </c>
      <c r="H59" s="164">
        <v>45323</v>
      </c>
      <c r="I59" s="123">
        <f t="shared" ref="I59:I69" si="9">J58</f>
        <v>45289</v>
      </c>
      <c r="J59" s="123">
        <v>45322</v>
      </c>
      <c r="K59" s="59">
        <f t="shared" si="4"/>
        <v>33</v>
      </c>
      <c r="L59" s="123">
        <v>45321</v>
      </c>
      <c r="M59" s="123">
        <v>45350</v>
      </c>
      <c r="N59" s="59">
        <f t="shared" si="3"/>
        <v>29</v>
      </c>
      <c r="O59" s="130" t="str">
        <f>IF(Inputs!B59='Calc. Oct 2025'!$F$3,Inputs!$I$26,Inputs!F59)</f>
        <v>Please check the dates you entered. The dates you entered are valid for the February 2024 billing cycle. If valid, please use AES Indiana's February 2024 monthly bill calculator to calculate your bill for the dates entered.</v>
      </c>
    </row>
    <row r="60" spans="2:15" x14ac:dyDescent="0.2">
      <c r="B60" t="s">
        <v>369</v>
      </c>
      <c r="C60" s="130" t="str">
        <f t="shared" si="5"/>
        <v>Please check the dates you entered. The dates you entered are valid for the March 2024</v>
      </c>
      <c r="D60" s="130" t="str">
        <f t="shared" si="6"/>
        <v xml:space="preserve">Please check the dates you entered. The dates you entered are valid for the March 2024 billing cycle. If valid, please use AES Indiana's </v>
      </c>
      <c r="E60" s="130" t="str">
        <f t="shared" si="7"/>
        <v>Please check the dates you entered. The dates you entered are valid for the March 2024 billing cycle. If valid, please use AES Indiana's March 2024</v>
      </c>
      <c r="F60" t="str">
        <f t="shared" si="8"/>
        <v>Please check the dates you entered. The dates you entered are valid for the March 2024 billing cycle. If valid, please use AES Indiana's March 2024 monthly bill calculator to calculate your bill for the dates entered.</v>
      </c>
      <c r="G60">
        <f>IF(AND('AES Indiana Bill Calc.'!$D$11&gt;=Inputs!I60,'AES Indiana Bill Calc.'!$D$12&gt;=Inputs!J60,'AES Indiana Bill Calc.'!$D$11&lt;=Inputs!L60,'AES Indiana Bill Calc.'!$D$12&lt;=Inputs!M60,'AES Indiana Bill Calc.'!$D$12-'AES Indiana Bill Calc.'!$D$11&gt;=26,'AES Indiana Bill Calc.'!$D$12-'AES Indiana Bill Calc.'!$D$11&lt;=35),"X",)</f>
        <v>0</v>
      </c>
      <c r="H60" s="164">
        <v>45352</v>
      </c>
      <c r="I60" s="123">
        <f t="shared" si="9"/>
        <v>45322</v>
      </c>
      <c r="J60" s="123">
        <v>45351</v>
      </c>
      <c r="K60" s="59">
        <f t="shared" si="4"/>
        <v>29</v>
      </c>
      <c r="L60" s="123">
        <f t="shared" ref="L60:L69" si="10">M59</f>
        <v>45350</v>
      </c>
      <c r="M60" s="132">
        <v>45378</v>
      </c>
      <c r="N60" s="59">
        <f>M60-L60</f>
        <v>28</v>
      </c>
      <c r="O60" s="130" t="str">
        <f>IF(Inputs!B60='Calc. Oct 2025'!$F$3,Inputs!$I$26,Inputs!F60)</f>
        <v>Please check the dates you entered. The dates you entered are valid for the March 2024 billing cycle. If valid, please use AES Indiana's March 2024 monthly bill calculator to calculate your bill for the dates entered.</v>
      </c>
    </row>
    <row r="61" spans="2:15" x14ac:dyDescent="0.2">
      <c r="B61" t="s">
        <v>370</v>
      </c>
      <c r="C61" s="130" t="str">
        <f t="shared" si="5"/>
        <v>Please check the dates you entered. The dates you entered are valid for the April 2024</v>
      </c>
      <c r="D61" s="130" t="str">
        <f t="shared" si="6"/>
        <v xml:space="preserve">Please check the dates you entered. The dates you entered are valid for the April 2024 billing cycle. If valid, please use AES Indiana's </v>
      </c>
      <c r="E61" s="130" t="str">
        <f t="shared" si="7"/>
        <v>Please check the dates you entered. The dates you entered are valid for the April 2024 billing cycle. If valid, please use AES Indiana's April 2024</v>
      </c>
      <c r="F61" t="str">
        <f t="shared" si="8"/>
        <v>Please check the dates you entered. The dates you entered are valid for the April 2024 billing cycle. If valid, please use AES Indiana's April 2024 monthly bill calculator to calculate your bill for the dates entered.</v>
      </c>
      <c r="G61">
        <f>IF(AND('AES Indiana Bill Calc.'!$D$11&gt;=Inputs!I61,'AES Indiana Bill Calc.'!$D$12&gt;=Inputs!J61,'AES Indiana Bill Calc.'!$D$11&lt;=Inputs!L61,'AES Indiana Bill Calc.'!$D$12&lt;=Inputs!M61,'AES Indiana Bill Calc.'!$D$12-'AES Indiana Bill Calc.'!$D$11&gt;=26,'AES Indiana Bill Calc.'!$D$12-'AES Indiana Bill Calc.'!$D$11&lt;=35),"X",)</f>
        <v>0</v>
      </c>
      <c r="H61" s="164">
        <v>45383</v>
      </c>
      <c r="I61" s="123">
        <f t="shared" si="9"/>
        <v>45351</v>
      </c>
      <c r="J61" s="123">
        <v>45380</v>
      </c>
      <c r="K61" s="59">
        <f t="shared" si="4"/>
        <v>29</v>
      </c>
      <c r="L61" s="123">
        <f t="shared" si="10"/>
        <v>45378</v>
      </c>
      <c r="M61" s="123">
        <v>45411</v>
      </c>
      <c r="N61" s="59">
        <f t="shared" si="3"/>
        <v>33</v>
      </c>
      <c r="O61" s="130" t="str">
        <f>IF(Inputs!B61='Calc. Oct 2025'!$F$3,Inputs!$I$26,Inputs!F61)</f>
        <v>Please check the dates you entered. The dates you entered are valid for the April 2024 billing cycle. If valid, please use AES Indiana's April 2024 monthly bill calculator to calculate your bill for the dates entered.</v>
      </c>
    </row>
    <row r="62" spans="2:15" x14ac:dyDescent="0.2">
      <c r="B62" t="s">
        <v>371</v>
      </c>
      <c r="C62" s="130" t="str">
        <f t="shared" si="5"/>
        <v>Please check the dates you entered. The dates you entered are valid for the May 2024</v>
      </c>
      <c r="D62" s="130" t="str">
        <f t="shared" si="6"/>
        <v xml:space="preserve">Please check the dates you entered. The dates you entered are valid for the May 2024 billing cycle. If valid, please use AES Indiana's </v>
      </c>
      <c r="E62" s="130" t="str">
        <f t="shared" si="7"/>
        <v>Please check the dates you entered. The dates you entered are valid for the May 2024 billing cycle. If valid, please use AES Indiana's May 2024</v>
      </c>
      <c r="F62" t="str">
        <f t="shared" si="8"/>
        <v>Please check the dates you entered. The dates you entered are valid for the May 2024 billing cycle. If valid, please use AES Indiana's May 2024 monthly bill calculator to calculate your bill for the dates entered.</v>
      </c>
      <c r="G62">
        <f>IF(AND('AES Indiana Bill Calc.'!$D$11&gt;=Inputs!I62,'AES Indiana Bill Calc.'!$D$12&gt;=Inputs!J62,'AES Indiana Bill Calc.'!$D$11&lt;=Inputs!L62,'AES Indiana Bill Calc.'!$D$12&lt;=Inputs!M62,'AES Indiana Bill Calc.'!$D$12-'AES Indiana Bill Calc.'!$D$11&gt;=26,'AES Indiana Bill Calc.'!$D$12-'AES Indiana Bill Calc.'!$D$11&lt;=35),"X",)</f>
        <v>0</v>
      </c>
      <c r="H62" s="164">
        <v>45413</v>
      </c>
      <c r="I62" s="123">
        <f t="shared" si="9"/>
        <v>45380</v>
      </c>
      <c r="J62" s="123">
        <v>45412</v>
      </c>
      <c r="K62" s="59">
        <f t="shared" si="4"/>
        <v>32</v>
      </c>
      <c r="L62" s="123">
        <f t="shared" si="10"/>
        <v>45411</v>
      </c>
      <c r="M62" s="123">
        <v>45442</v>
      </c>
      <c r="N62" s="59">
        <f t="shared" si="3"/>
        <v>31</v>
      </c>
      <c r="O62" s="130" t="str">
        <f>IF(Inputs!B62='Calc. Oct 2025'!$F$3,Inputs!$I$26,Inputs!F62)</f>
        <v>Please check the dates you entered. The dates you entered are valid for the May 2024 billing cycle. If valid, please use AES Indiana's May 2024 monthly bill calculator to calculate your bill for the dates entered.</v>
      </c>
    </row>
    <row r="63" spans="2:15" x14ac:dyDescent="0.2">
      <c r="B63" t="s">
        <v>372</v>
      </c>
      <c r="C63" s="130" t="str">
        <f t="shared" si="5"/>
        <v>Please check the dates you entered. The dates you entered are valid for the June 2024</v>
      </c>
      <c r="D63" s="130" t="str">
        <f t="shared" si="6"/>
        <v xml:space="preserve">Please check the dates you entered. The dates you entered are valid for the June 2024 billing cycle. If valid, please use AES Indiana's </v>
      </c>
      <c r="E63" s="130" t="str">
        <f t="shared" si="7"/>
        <v>Please check the dates you entered. The dates you entered are valid for the June 2024 billing cycle. If valid, please use AES Indiana's June 2024</v>
      </c>
      <c r="F63" t="str">
        <f t="shared" si="8"/>
        <v>Please check the dates you entered. The dates you entered are valid for the June 2024 billing cycle. If valid, please use AES Indiana's June 2024 monthly bill calculator to calculate your bill for the dates entered.</v>
      </c>
      <c r="G63">
        <f>IF(AND('AES Indiana Bill Calc.'!$D$11&gt;=Inputs!I63,'AES Indiana Bill Calc.'!$D$12&gt;=Inputs!J63,'AES Indiana Bill Calc.'!$D$11&lt;=Inputs!L63,'AES Indiana Bill Calc.'!$D$12&lt;=Inputs!M63,'AES Indiana Bill Calc.'!$D$12-'AES Indiana Bill Calc.'!$D$11&gt;=26,'AES Indiana Bill Calc.'!$D$12-'AES Indiana Bill Calc.'!$D$11&lt;=35),"X",)</f>
        <v>0</v>
      </c>
      <c r="H63" s="164">
        <v>45444</v>
      </c>
      <c r="I63" s="123">
        <f t="shared" si="9"/>
        <v>45412</v>
      </c>
      <c r="J63" s="123">
        <v>45443</v>
      </c>
      <c r="K63" s="59">
        <f t="shared" si="4"/>
        <v>31</v>
      </c>
      <c r="L63" s="123">
        <f t="shared" si="10"/>
        <v>45442</v>
      </c>
      <c r="M63" s="123">
        <v>45470</v>
      </c>
      <c r="N63" s="59">
        <f t="shared" si="3"/>
        <v>28</v>
      </c>
      <c r="O63" s="130" t="str">
        <f>IF(Inputs!B63='Calc. Oct 2025'!$F$3,Inputs!$I$26,Inputs!F63)</f>
        <v>Please check the dates you entered. The dates you entered are valid for the June 2024 billing cycle. If valid, please use AES Indiana's June 2024 monthly bill calculator to calculate your bill for the dates entered.</v>
      </c>
    </row>
    <row r="64" spans="2:15" x14ac:dyDescent="0.2">
      <c r="B64" t="s">
        <v>373</v>
      </c>
      <c r="C64" s="130" t="str">
        <f t="shared" si="5"/>
        <v>Please check the dates you entered. The dates you entered are valid for the July 2024</v>
      </c>
      <c r="D64" s="130" t="str">
        <f t="shared" si="6"/>
        <v xml:space="preserve">Please check the dates you entered. The dates you entered are valid for the July 2024 billing cycle. If valid, please use AES Indiana's </v>
      </c>
      <c r="E64" s="130" t="str">
        <f t="shared" si="7"/>
        <v>Please check the dates you entered. The dates you entered are valid for the July 2024 billing cycle. If valid, please use AES Indiana's July 2024</v>
      </c>
      <c r="F64" t="str">
        <f t="shared" si="8"/>
        <v>Please check the dates you entered. The dates you entered are valid for the July 2024 billing cycle. If valid, please use AES Indiana's July 2024 monthly bill calculator to calculate your bill for the dates entered.</v>
      </c>
      <c r="G64">
        <f>IF(AND('AES Indiana Bill Calc.'!$D$11&gt;=Inputs!I64,'AES Indiana Bill Calc.'!$D$12&gt;=Inputs!J64,'AES Indiana Bill Calc.'!$D$11&lt;=Inputs!L64,'AES Indiana Bill Calc.'!$D$12&lt;=Inputs!M64,'AES Indiana Bill Calc.'!$D$12-'AES Indiana Bill Calc.'!$D$11&gt;=26,'AES Indiana Bill Calc.'!$D$12-'AES Indiana Bill Calc.'!$D$11&lt;=35),"X",)</f>
        <v>0</v>
      </c>
      <c r="H64" s="164">
        <v>45474</v>
      </c>
      <c r="I64" s="123">
        <f t="shared" si="9"/>
        <v>45443</v>
      </c>
      <c r="J64" s="123">
        <v>45471</v>
      </c>
      <c r="K64" s="59">
        <f t="shared" si="4"/>
        <v>28</v>
      </c>
      <c r="L64" s="123">
        <f t="shared" si="10"/>
        <v>45470</v>
      </c>
      <c r="M64" s="123">
        <v>45503</v>
      </c>
      <c r="N64" s="59">
        <f t="shared" si="3"/>
        <v>33</v>
      </c>
      <c r="O64" s="130" t="str">
        <f>IF(Inputs!B64='Calc. Oct 2025'!$F$3,Inputs!$I$26,Inputs!F64)</f>
        <v>Please check the dates you entered. The dates you entered are valid for the July 2024 billing cycle. If valid, please use AES Indiana's July 2024 monthly bill calculator to calculate your bill for the dates entered.</v>
      </c>
    </row>
    <row r="65" spans="2:15" x14ac:dyDescent="0.2">
      <c r="B65" t="s">
        <v>374</v>
      </c>
      <c r="C65" s="130" t="str">
        <f t="shared" si="5"/>
        <v>Please check the dates you entered. The dates you entered are valid for the August 2024</v>
      </c>
      <c r="D65" s="130" t="str">
        <f t="shared" si="6"/>
        <v xml:space="preserve">Please check the dates you entered. The dates you entered are valid for the August 2024 billing cycle. If valid, please use AES Indiana's </v>
      </c>
      <c r="E65" s="130" t="str">
        <f t="shared" si="7"/>
        <v>Please check the dates you entered. The dates you entered are valid for the August 2024 billing cycle. If valid, please use AES Indiana's August 2024</v>
      </c>
      <c r="F65" t="str">
        <f t="shared" si="8"/>
        <v>Please check the dates you entered. The dates you entered are valid for the August 2024 billing cycle. If valid, please use AES Indiana's August 2024 monthly bill calculator to calculate your bill for the dates entered.</v>
      </c>
      <c r="G65">
        <f>IF(AND('AES Indiana Bill Calc.'!$D$11&gt;=Inputs!I65,'AES Indiana Bill Calc.'!$D$12&gt;=Inputs!J65,'AES Indiana Bill Calc.'!$D$11&lt;=Inputs!L65,'AES Indiana Bill Calc.'!$D$12&lt;=Inputs!M65,'AES Indiana Bill Calc.'!$D$12-'AES Indiana Bill Calc.'!$D$11&gt;=26,'AES Indiana Bill Calc.'!$D$12-'AES Indiana Bill Calc.'!$D$11&lt;=35),"X",)</f>
        <v>0</v>
      </c>
      <c r="H65" s="164">
        <v>45505</v>
      </c>
      <c r="I65" s="123">
        <f t="shared" si="9"/>
        <v>45471</v>
      </c>
      <c r="J65" s="123">
        <v>45504</v>
      </c>
      <c r="K65" s="59">
        <f t="shared" si="4"/>
        <v>33</v>
      </c>
      <c r="L65" s="123">
        <f t="shared" si="10"/>
        <v>45503</v>
      </c>
      <c r="M65" s="123">
        <v>45533</v>
      </c>
      <c r="N65" s="59">
        <f t="shared" si="3"/>
        <v>30</v>
      </c>
      <c r="O65" s="130" t="str">
        <f>IF(Inputs!B65='Calc. Oct 2025'!$F$3,Inputs!$I$26,Inputs!F65)</f>
        <v>Please check the dates you entered. The dates you entered are valid for the August 2024 billing cycle. If valid, please use AES Indiana's August 2024 monthly bill calculator to calculate your bill for the dates entered.</v>
      </c>
    </row>
    <row r="66" spans="2:15" x14ac:dyDescent="0.2">
      <c r="B66" t="s">
        <v>375</v>
      </c>
      <c r="C66" s="130" t="str">
        <f t="shared" si="5"/>
        <v>Please check the dates you entered. The dates you entered are valid for the September 2024</v>
      </c>
      <c r="D66" s="130" t="str">
        <f t="shared" si="6"/>
        <v xml:space="preserve">Please check the dates you entered. The dates you entered are valid for the September 2024 billing cycle. If valid, please use AES Indiana's </v>
      </c>
      <c r="E66" s="130" t="str">
        <f t="shared" si="7"/>
        <v>Please check the dates you entered. The dates you entered are valid for the September 2024 billing cycle. If valid, please use AES Indiana's September 2024</v>
      </c>
      <c r="F66" t="str">
        <f t="shared" si="8"/>
        <v>Please check the dates you entered. The dates you entered are valid for the September 2024 billing cycle. If valid, please use AES Indiana's September 2024 monthly bill calculator to calculate your bill for the dates entered.</v>
      </c>
      <c r="G66">
        <f>IF(AND('AES Indiana Bill Calc.'!$D$11&gt;=Inputs!I66,'AES Indiana Bill Calc.'!$D$12&gt;=Inputs!J66,'AES Indiana Bill Calc.'!$D$11&lt;=Inputs!L66,'AES Indiana Bill Calc.'!$D$12&lt;=Inputs!M66,'AES Indiana Bill Calc.'!$D$12-'AES Indiana Bill Calc.'!$D$11&gt;=26,'AES Indiana Bill Calc.'!$D$12-'AES Indiana Bill Calc.'!$D$11&lt;=35),"X",)</f>
        <v>0</v>
      </c>
      <c r="H66" s="164">
        <v>45536</v>
      </c>
      <c r="I66" s="123">
        <f t="shared" si="9"/>
        <v>45504</v>
      </c>
      <c r="J66" s="123">
        <v>45534</v>
      </c>
      <c r="K66" s="59">
        <f t="shared" si="4"/>
        <v>30</v>
      </c>
      <c r="L66" s="123">
        <f t="shared" si="10"/>
        <v>45533</v>
      </c>
      <c r="M66" s="123">
        <v>45562</v>
      </c>
      <c r="N66" s="59">
        <f t="shared" si="3"/>
        <v>29</v>
      </c>
      <c r="O66" s="130" t="str">
        <f>IF(Inputs!B66='Calc. Oct 2025'!$F$3,Inputs!$I$26,Inputs!F66)</f>
        <v>Please check the dates you entered. The dates you entered are valid for the September 2024 billing cycle. If valid, please use AES Indiana's September 2024 monthly bill calculator to calculate your bill for the dates entered.</v>
      </c>
    </row>
    <row r="67" spans="2:15" x14ac:dyDescent="0.2">
      <c r="B67" t="s">
        <v>376</v>
      </c>
      <c r="C67" s="130" t="str">
        <f t="shared" si="5"/>
        <v>Please check the dates you entered. The dates you entered are valid for the October 2024</v>
      </c>
      <c r="D67" s="130" t="str">
        <f t="shared" si="6"/>
        <v xml:space="preserve">Please check the dates you entered. The dates you entered are valid for the October 2024 billing cycle. If valid, please use AES Indiana's </v>
      </c>
      <c r="E67" s="130" t="str">
        <f t="shared" si="7"/>
        <v>Please check the dates you entered. The dates you entered are valid for the October 2024 billing cycle. If valid, please use AES Indiana's October 2024</v>
      </c>
      <c r="F67" t="str">
        <f t="shared" si="8"/>
        <v>Please check the dates you entered. The dates you entered are valid for the October 2024 billing cycle. If valid, please use AES Indiana's October 2024 monthly bill calculator to calculate your bill for the dates entered.</v>
      </c>
      <c r="G67">
        <f>IF(AND('AES Indiana Bill Calc.'!$D$11&gt;=Inputs!I67,'AES Indiana Bill Calc.'!$D$12&gt;=Inputs!J67,'AES Indiana Bill Calc.'!$D$11&lt;=Inputs!L67,'AES Indiana Bill Calc.'!$D$12&lt;=Inputs!M67,'AES Indiana Bill Calc.'!$D$12-'AES Indiana Bill Calc.'!$D$11&gt;=26,'AES Indiana Bill Calc.'!$D$12-'AES Indiana Bill Calc.'!$D$11&lt;=35),"X",)</f>
        <v>0</v>
      </c>
      <c r="H67" s="164">
        <v>45566</v>
      </c>
      <c r="I67" s="123">
        <f t="shared" si="9"/>
        <v>45534</v>
      </c>
      <c r="J67" s="123">
        <v>45565</v>
      </c>
      <c r="K67" s="59">
        <f t="shared" si="4"/>
        <v>31</v>
      </c>
      <c r="L67" s="123">
        <f t="shared" si="10"/>
        <v>45562</v>
      </c>
      <c r="M67" s="123">
        <v>45595</v>
      </c>
      <c r="N67" s="59">
        <f t="shared" si="3"/>
        <v>33</v>
      </c>
      <c r="O67" s="130" t="str">
        <f>IF(Inputs!B67='Calc. Oct 2025'!$F$3,Inputs!$I$26,Inputs!F67)</f>
        <v>Please check the dates you entered. The dates you entered are valid for the October 2024 billing cycle. If valid, please use AES Indiana's October 2024 monthly bill calculator to calculate your bill for the dates entered.</v>
      </c>
    </row>
    <row r="68" spans="2:15" x14ac:dyDescent="0.2">
      <c r="B68" t="s">
        <v>377</v>
      </c>
      <c r="C68" s="130" t="str">
        <f t="shared" si="5"/>
        <v>Please check the dates you entered. The dates you entered are valid for the November 2024</v>
      </c>
      <c r="D68" s="130" t="str">
        <f t="shared" si="6"/>
        <v xml:space="preserve">Please check the dates you entered. The dates you entered are valid for the November 2024 billing cycle. If valid, please use AES Indiana's </v>
      </c>
      <c r="E68" s="130" t="str">
        <f t="shared" si="7"/>
        <v>Please check the dates you entered. The dates you entered are valid for the November 2024 billing cycle. If valid, please use AES Indiana's November 2024</v>
      </c>
      <c r="F68" t="str">
        <f t="shared" si="8"/>
        <v>Please check the dates you entered. The dates you entered are valid for the November 2024 billing cycle. If valid, please use AES Indiana's November 2024 monthly bill calculator to calculate your bill for the dates entered.</v>
      </c>
      <c r="G68">
        <f>IF(AND('AES Indiana Bill Calc.'!$D$11&gt;=Inputs!I68,'AES Indiana Bill Calc.'!$D$12&gt;=Inputs!J68,'AES Indiana Bill Calc.'!$D$11&lt;=Inputs!L68,'AES Indiana Bill Calc.'!$D$12&lt;=Inputs!M68,'AES Indiana Bill Calc.'!$D$12-'AES Indiana Bill Calc.'!$D$11&gt;=26,'AES Indiana Bill Calc.'!$D$12-'AES Indiana Bill Calc.'!$D$11&lt;=35),"X",)</f>
        <v>0</v>
      </c>
      <c r="H68" s="164">
        <v>45597</v>
      </c>
      <c r="I68" s="123">
        <f t="shared" si="9"/>
        <v>45565</v>
      </c>
      <c r="J68" s="123">
        <v>45596</v>
      </c>
      <c r="K68" s="59">
        <f t="shared" si="4"/>
        <v>31</v>
      </c>
      <c r="L68" s="123">
        <f t="shared" si="10"/>
        <v>45595</v>
      </c>
      <c r="M68" s="123">
        <v>45622</v>
      </c>
      <c r="N68" s="59">
        <f t="shared" si="3"/>
        <v>27</v>
      </c>
      <c r="O68" s="130" t="str">
        <f>IF(Inputs!B68='Calc. Oct 2025'!$F$3,Inputs!$I$26,Inputs!F68)</f>
        <v>Please check the dates you entered. The dates you entered are valid for the November 2024 billing cycle. If valid, please use AES Indiana's November 2024 monthly bill calculator to calculate your bill for the dates entered.</v>
      </c>
    </row>
    <row r="69" spans="2:15" x14ac:dyDescent="0.2">
      <c r="B69" t="s">
        <v>378</v>
      </c>
      <c r="C69" s="130" t="str">
        <f t="shared" si="5"/>
        <v>Please check the dates you entered. The dates you entered are valid for the December 2024</v>
      </c>
      <c r="D69" s="130" t="str">
        <f t="shared" si="6"/>
        <v xml:space="preserve">Please check the dates you entered. The dates you entered are valid for the December 2024 billing cycle. If valid, please use AES Indiana's </v>
      </c>
      <c r="E69" s="130" t="str">
        <f t="shared" si="7"/>
        <v>Please check the dates you entered. The dates you entered are valid for the December 2024 billing cycle. If valid, please use AES Indiana's December 2024</v>
      </c>
      <c r="F69" t="str">
        <f t="shared" si="8"/>
        <v>Please check the dates you entered. The dates you entered are valid for the December 2024 billing cycle. If valid, please use AES Indiana's December 2024 monthly bill calculator to calculate your bill for the dates entered.</v>
      </c>
      <c r="G69">
        <f>IF(AND('AES Indiana Bill Calc.'!$D$11&gt;=Inputs!I69,'AES Indiana Bill Calc.'!$D$12&gt;=Inputs!J69,'AES Indiana Bill Calc.'!$D$11&lt;=Inputs!L69,'AES Indiana Bill Calc.'!$D$12&lt;=Inputs!M69,'AES Indiana Bill Calc.'!$D$12-'AES Indiana Bill Calc.'!$D$11&gt;=26,'AES Indiana Bill Calc.'!$D$12-'AES Indiana Bill Calc.'!$D$11&lt;=35),"X",)</f>
        <v>0</v>
      </c>
      <c r="H69" s="164">
        <v>45627</v>
      </c>
      <c r="I69" s="123">
        <f t="shared" si="9"/>
        <v>45596</v>
      </c>
      <c r="J69" s="123">
        <v>45623</v>
      </c>
      <c r="K69" s="59">
        <f t="shared" si="4"/>
        <v>27</v>
      </c>
      <c r="L69" s="123">
        <f t="shared" si="10"/>
        <v>45622</v>
      </c>
      <c r="M69" s="123">
        <v>45656</v>
      </c>
      <c r="N69" s="59">
        <f t="shared" si="3"/>
        <v>34</v>
      </c>
      <c r="O69" s="130" t="str">
        <f>IF(Inputs!B69='Calc. Oct 2025'!$F$3,Inputs!$I$26,Inputs!F69)</f>
        <v>Please check the dates you entered. The dates you entered are valid for the December 2024 billing cycle. If valid, please use AES Indiana's December 2024 monthly bill calculator to calculate your bill for the dates entered.</v>
      </c>
    </row>
    <row r="70" spans="2:15" x14ac:dyDescent="0.2">
      <c r="B70" t="s">
        <v>379</v>
      </c>
      <c r="C70" s="130" t="str">
        <f t="shared" si="5"/>
        <v>Please check the dates you entered. The dates you entered are valid for the January 2025</v>
      </c>
      <c r="D70" s="130" t="str">
        <f t="shared" si="6"/>
        <v xml:space="preserve">Please check the dates you entered. The dates you entered are valid for the January 2025 billing cycle. If valid, please use AES Indiana's </v>
      </c>
      <c r="E70" s="130" t="str">
        <f t="shared" si="7"/>
        <v>Please check the dates you entered. The dates you entered are valid for the January 2025 billing cycle. If valid, please use AES Indiana's January 2025</v>
      </c>
      <c r="F70" t="str">
        <f t="shared" si="8"/>
        <v>Please check the dates you entered. The dates you entered are valid for the January 2025 billing cycle. If valid, please use AES Indiana's January 2025 monthly bill calculator to calculate your bill for the dates entered.</v>
      </c>
      <c r="G70">
        <f>IF(AND('AES Indiana Bill Calc.'!$D$11&gt;=Inputs!I70,'AES Indiana Bill Calc.'!$D$12&gt;=Inputs!J70,'AES Indiana Bill Calc.'!$D$11&lt;=Inputs!L70,'AES Indiana Bill Calc.'!$D$12&lt;=Inputs!M70,'AES Indiana Bill Calc.'!$D$12-'AES Indiana Bill Calc.'!$D$11&gt;=26,'AES Indiana Bill Calc.'!$D$12-'AES Indiana Bill Calc.'!$D$11&lt;=35),"X",)</f>
        <v>0</v>
      </c>
      <c r="H70" s="164">
        <v>45658</v>
      </c>
      <c r="I70" s="123">
        <f>J69</f>
        <v>45623</v>
      </c>
      <c r="J70" s="123">
        <v>45657</v>
      </c>
      <c r="K70" s="59">
        <f t="shared" ref="K70:K81" si="11">J70-I70</f>
        <v>34</v>
      </c>
      <c r="L70" s="123">
        <f>M69</f>
        <v>45656</v>
      </c>
      <c r="M70" s="123">
        <v>45687</v>
      </c>
      <c r="N70" s="59">
        <f t="shared" ref="N70:N71" si="12">M70-L70</f>
        <v>31</v>
      </c>
      <c r="O70" s="130" t="str">
        <f>IF(Inputs!B70='Calc. Oct 2025'!$F$3,Inputs!$I$26,Inputs!F70)</f>
        <v>Please check the dates you entered. The dates you entered are valid for the January 2025 billing cycle. If valid, please use AES Indiana's January 2025 monthly bill calculator to calculate your bill for the dates entered.</v>
      </c>
    </row>
    <row r="71" spans="2:15" x14ac:dyDescent="0.2">
      <c r="B71" t="s">
        <v>380</v>
      </c>
      <c r="C71" s="130" t="str">
        <f t="shared" si="5"/>
        <v>Please check the dates you entered. The dates you entered are valid for the February 2025</v>
      </c>
      <c r="D71" s="130" t="str">
        <f t="shared" si="6"/>
        <v xml:space="preserve">Please check the dates you entered. The dates you entered are valid for the February 2025 billing cycle. If valid, please use AES Indiana's </v>
      </c>
      <c r="E71" s="130" t="str">
        <f t="shared" si="7"/>
        <v>Please check the dates you entered. The dates you entered are valid for the February 2025 billing cycle. If valid, please use AES Indiana's February 2025</v>
      </c>
      <c r="F71" t="str">
        <f t="shared" si="8"/>
        <v>Please check the dates you entered. The dates you entered are valid for the February 2025 billing cycle. If valid, please use AES Indiana's February 2025 monthly bill calculator to calculate your bill for the dates entered.</v>
      </c>
      <c r="G71">
        <f>IF(AND('AES Indiana Bill Calc.'!$D$11&gt;=Inputs!I71,'AES Indiana Bill Calc.'!$D$12&gt;=Inputs!J71,'AES Indiana Bill Calc.'!$D$11&lt;=Inputs!L71,'AES Indiana Bill Calc.'!$D$12&lt;=Inputs!M71,'AES Indiana Bill Calc.'!$D$12-'AES Indiana Bill Calc.'!$D$11&gt;=26,'AES Indiana Bill Calc.'!$D$12-'AES Indiana Bill Calc.'!$D$11&lt;=35),"X",)</f>
        <v>0</v>
      </c>
      <c r="H71" s="164">
        <v>45689</v>
      </c>
      <c r="I71" s="123">
        <f t="shared" ref="I71:I81" si="13">J70</f>
        <v>45657</v>
      </c>
      <c r="J71" s="123">
        <v>45688</v>
      </c>
      <c r="K71" s="59">
        <f t="shared" si="11"/>
        <v>31</v>
      </c>
      <c r="L71" s="123">
        <f>M70</f>
        <v>45687</v>
      </c>
      <c r="M71" s="123">
        <v>45715</v>
      </c>
      <c r="N71" s="59">
        <f t="shared" si="12"/>
        <v>28</v>
      </c>
      <c r="O71" s="130" t="str">
        <f>IF(Inputs!B71='Calc. Oct 2025'!$F$3,Inputs!$I$26,Inputs!F71)</f>
        <v>Please check the dates you entered. The dates you entered are valid for the February 2025 billing cycle. If valid, please use AES Indiana's February 2025 monthly bill calculator to calculate your bill for the dates entered.</v>
      </c>
    </row>
    <row r="72" spans="2:15" x14ac:dyDescent="0.2">
      <c r="B72" t="s">
        <v>381</v>
      </c>
      <c r="C72" s="130" t="str">
        <f t="shared" si="5"/>
        <v>Please check the dates you entered. The dates you entered are valid for the March 2025</v>
      </c>
      <c r="D72" s="130" t="str">
        <f t="shared" si="6"/>
        <v xml:space="preserve">Please check the dates you entered. The dates you entered are valid for the March 2025 billing cycle. If valid, please use AES Indiana's </v>
      </c>
      <c r="E72" s="130" t="str">
        <f t="shared" si="7"/>
        <v>Please check the dates you entered. The dates you entered are valid for the March 2025 billing cycle. If valid, please use AES Indiana's March 2025</v>
      </c>
      <c r="F72" t="str">
        <f t="shared" si="8"/>
        <v>Please check the dates you entered. The dates you entered are valid for the March 2025 billing cycle. If valid, please use AES Indiana's March 2025 monthly bill calculator to calculate your bill for the dates entered.</v>
      </c>
      <c r="G72">
        <f>IF(AND('AES Indiana Bill Calc.'!$D$11&gt;=Inputs!I72,'AES Indiana Bill Calc.'!$D$12&gt;=Inputs!J72,'AES Indiana Bill Calc.'!$D$11&lt;=Inputs!L72,'AES Indiana Bill Calc.'!$D$12&lt;=Inputs!M72,'AES Indiana Bill Calc.'!$D$12-'AES Indiana Bill Calc.'!$D$11&gt;=26,'AES Indiana Bill Calc.'!$D$12-'AES Indiana Bill Calc.'!$D$11&lt;=35),"X",)</f>
        <v>0</v>
      </c>
      <c r="H72" s="164">
        <v>45717</v>
      </c>
      <c r="I72" s="123">
        <f t="shared" si="13"/>
        <v>45688</v>
      </c>
      <c r="J72" s="123">
        <v>45716</v>
      </c>
      <c r="K72" s="59">
        <f t="shared" si="11"/>
        <v>28</v>
      </c>
      <c r="L72" s="123">
        <f>M71</f>
        <v>45715</v>
      </c>
      <c r="M72" s="132">
        <v>45744</v>
      </c>
      <c r="N72" s="59">
        <f>M72-L72</f>
        <v>29</v>
      </c>
      <c r="O72" s="130" t="str">
        <f>IF(Inputs!B72='Calc. Oct 2025'!$F$3,Inputs!$I$26,Inputs!F72)</f>
        <v>Please check the dates you entered. The dates you entered are valid for the March 2025 billing cycle. If valid, please use AES Indiana's March 2025 monthly bill calculator to calculate your bill for the dates entered.</v>
      </c>
    </row>
    <row r="73" spans="2:15" x14ac:dyDescent="0.2">
      <c r="B73" t="s">
        <v>382</v>
      </c>
      <c r="C73" s="130" t="str">
        <f t="shared" si="5"/>
        <v>Please check the dates you entered. The dates you entered are valid for the April 2025</v>
      </c>
      <c r="D73" s="130" t="str">
        <f t="shared" si="6"/>
        <v xml:space="preserve">Please check the dates you entered. The dates you entered are valid for the April 2025 billing cycle. If valid, please use AES Indiana's </v>
      </c>
      <c r="E73" s="130" t="str">
        <f t="shared" si="7"/>
        <v>Please check the dates you entered. The dates you entered are valid for the April 2025 billing cycle. If valid, please use AES Indiana's April 2025</v>
      </c>
      <c r="F73" t="str">
        <f t="shared" si="8"/>
        <v>Please check the dates you entered. The dates you entered are valid for the April 2025 billing cycle. If valid, please use AES Indiana's April 2025 monthly bill calculator to calculate your bill for the dates entered.</v>
      </c>
      <c r="G73">
        <f>IF(AND('AES Indiana Bill Calc.'!$D$11&gt;=Inputs!I73,'AES Indiana Bill Calc.'!$D$12&gt;=Inputs!J73,'AES Indiana Bill Calc.'!$D$11&lt;=Inputs!L73,'AES Indiana Bill Calc.'!$D$12&lt;=Inputs!M73,'AES Indiana Bill Calc.'!$D$12-'AES Indiana Bill Calc.'!$D$11&gt;=26,'AES Indiana Bill Calc.'!$D$12-'AES Indiana Bill Calc.'!$D$11&lt;=35),"X",)</f>
        <v>0</v>
      </c>
      <c r="H73" s="164">
        <v>45748</v>
      </c>
      <c r="I73" s="123">
        <f t="shared" si="13"/>
        <v>45716</v>
      </c>
      <c r="J73" s="123">
        <v>45747</v>
      </c>
      <c r="K73" s="59">
        <f t="shared" si="11"/>
        <v>31</v>
      </c>
      <c r="L73" s="123">
        <f>M72</f>
        <v>45744</v>
      </c>
      <c r="M73" s="123">
        <v>45776</v>
      </c>
      <c r="N73" s="59">
        <f t="shared" ref="N73:N81" si="14">M73-L73</f>
        <v>32</v>
      </c>
      <c r="O73" s="130" t="str">
        <f>IF(Inputs!B73='Calc. Oct 2025'!$F$3,Inputs!$I$26,Inputs!F73)</f>
        <v>Please check the dates you entered. The dates you entered are valid for the April 2025 billing cycle. If valid, please use AES Indiana's April 2025 monthly bill calculator to calculate your bill for the dates entered.</v>
      </c>
    </row>
    <row r="74" spans="2:15" x14ac:dyDescent="0.2">
      <c r="B74" t="s">
        <v>383</v>
      </c>
      <c r="C74" s="130" t="str">
        <f t="shared" si="5"/>
        <v>Please check the dates you entered. The dates you entered are valid for the May 2025</v>
      </c>
      <c r="D74" s="130" t="str">
        <f t="shared" si="6"/>
        <v xml:space="preserve">Please check the dates you entered. The dates you entered are valid for the May 2025 billing cycle. If valid, please use AES Indiana's </v>
      </c>
      <c r="E74" s="130" t="str">
        <f t="shared" si="7"/>
        <v>Please check the dates you entered. The dates you entered are valid for the May 2025 billing cycle. If valid, please use AES Indiana's May 2025</v>
      </c>
      <c r="F74" t="str">
        <f t="shared" si="8"/>
        <v>Please check the dates you entered. The dates you entered are valid for the May 2025 billing cycle. If valid, please use AES Indiana's May 2025 monthly bill calculator to calculate your bill for the dates entered.</v>
      </c>
      <c r="G74">
        <f>IF(AND('AES Indiana Bill Calc.'!$D$11&gt;=Inputs!I74,'AES Indiana Bill Calc.'!$D$12&gt;=Inputs!J74,'AES Indiana Bill Calc.'!$D$11&lt;=Inputs!L74,'AES Indiana Bill Calc.'!$D$12&lt;=Inputs!M74,'AES Indiana Bill Calc.'!$D$12-'AES Indiana Bill Calc.'!$D$11&gt;=26,'AES Indiana Bill Calc.'!$D$12-'AES Indiana Bill Calc.'!$D$11&lt;=35),"X",)</f>
        <v>0</v>
      </c>
      <c r="H74" s="164">
        <v>45778</v>
      </c>
      <c r="I74" s="123">
        <f t="shared" si="13"/>
        <v>45747</v>
      </c>
      <c r="J74" s="123">
        <v>45777</v>
      </c>
      <c r="K74" s="59">
        <f t="shared" si="11"/>
        <v>30</v>
      </c>
      <c r="L74" s="123">
        <f t="shared" ref="L74:L81" si="15">M73</f>
        <v>45776</v>
      </c>
      <c r="M74" s="123">
        <v>45806</v>
      </c>
      <c r="N74" s="59">
        <f t="shared" si="14"/>
        <v>30</v>
      </c>
      <c r="O74" s="130" t="str">
        <f>IF(Inputs!B74='Calc. Oct 2025'!$F$3,Inputs!$I$26,Inputs!F74)</f>
        <v>Please check the dates you entered. The dates you entered are valid for the May 2025 billing cycle. If valid, please use AES Indiana's May 2025 monthly bill calculator to calculate your bill for the dates entered.</v>
      </c>
    </row>
    <row r="75" spans="2:15" x14ac:dyDescent="0.2">
      <c r="B75" t="s">
        <v>384</v>
      </c>
      <c r="C75" s="130" t="str">
        <f t="shared" si="5"/>
        <v>Please check the dates you entered. The dates you entered are valid for the June 2025</v>
      </c>
      <c r="D75" s="130" t="str">
        <f t="shared" si="6"/>
        <v xml:space="preserve">Please check the dates you entered. The dates you entered are valid for the June 2025 billing cycle. If valid, please use AES Indiana's </v>
      </c>
      <c r="E75" s="130" t="str">
        <f t="shared" si="7"/>
        <v>Please check the dates you entered. The dates you entered are valid for the June 2025 billing cycle. If valid, please use AES Indiana's June 2025</v>
      </c>
      <c r="F75" t="str">
        <f t="shared" si="8"/>
        <v>Please check the dates you entered. The dates you entered are valid for the June 2025 billing cycle. If valid, please use AES Indiana's June 2025 monthly bill calculator to calculate your bill for the dates entered.</v>
      </c>
      <c r="G75">
        <f>IF(AND('AES Indiana Bill Calc.'!$D$11&gt;=Inputs!I75,'AES Indiana Bill Calc.'!$D$12&gt;=Inputs!J75,'AES Indiana Bill Calc.'!$D$11&lt;=Inputs!L75,'AES Indiana Bill Calc.'!$D$12&lt;=Inputs!M75,'AES Indiana Bill Calc.'!$D$12-'AES Indiana Bill Calc.'!$D$11&gt;=26,'AES Indiana Bill Calc.'!$D$12-'AES Indiana Bill Calc.'!$D$11&lt;=35),"X",)</f>
        <v>0</v>
      </c>
      <c r="H75" s="164">
        <v>45809</v>
      </c>
      <c r="I75" s="123">
        <f t="shared" si="13"/>
        <v>45777</v>
      </c>
      <c r="J75" s="123">
        <v>45807</v>
      </c>
      <c r="K75" s="59">
        <f t="shared" si="11"/>
        <v>30</v>
      </c>
      <c r="L75" s="123">
        <f t="shared" si="15"/>
        <v>45806</v>
      </c>
      <c r="M75" s="123">
        <v>45835</v>
      </c>
      <c r="N75" s="59">
        <f t="shared" si="14"/>
        <v>29</v>
      </c>
      <c r="O75" s="130" t="str">
        <f>IF(Inputs!B75='Calc. Oct 2025'!$F$3,Inputs!$I$26,Inputs!F75)</f>
        <v>Please check the dates you entered. The dates you entered are valid for the June 2025 billing cycle. If valid, please use AES Indiana's June 2025 monthly bill calculator to calculate your bill for the dates entered.</v>
      </c>
    </row>
    <row r="76" spans="2:15" x14ac:dyDescent="0.2">
      <c r="B76" t="s">
        <v>385</v>
      </c>
      <c r="C76" s="130" t="str">
        <f t="shared" si="5"/>
        <v>Please check the dates you entered. The dates you entered are valid for the July 2025</v>
      </c>
      <c r="D76" s="130" t="str">
        <f t="shared" si="6"/>
        <v xml:space="preserve">Please check the dates you entered. The dates you entered are valid for the July 2025 billing cycle. If valid, please use AES Indiana's </v>
      </c>
      <c r="E76" s="130" t="str">
        <f t="shared" si="7"/>
        <v>Please check the dates you entered. The dates you entered are valid for the July 2025 billing cycle. If valid, please use AES Indiana's July 2025</v>
      </c>
      <c r="F76" t="str">
        <f t="shared" si="8"/>
        <v>Please check the dates you entered. The dates you entered are valid for the July 2025 billing cycle. If valid, please use AES Indiana's July 2025 monthly bill calculator to calculate your bill for the dates entered.</v>
      </c>
      <c r="G76">
        <f>IF(AND('AES Indiana Bill Calc.'!$D$11&gt;=Inputs!I76,'AES Indiana Bill Calc.'!$D$12&gt;=Inputs!J76,'AES Indiana Bill Calc.'!$D$11&lt;=Inputs!L76,'AES Indiana Bill Calc.'!$D$12&lt;=Inputs!M76,'AES Indiana Bill Calc.'!$D$12-'AES Indiana Bill Calc.'!$D$11&gt;=26,'AES Indiana Bill Calc.'!$D$12-'AES Indiana Bill Calc.'!$D$11&lt;=35),"X",)</f>
        <v>0</v>
      </c>
      <c r="H76" s="164">
        <v>45839</v>
      </c>
      <c r="I76" s="123">
        <f t="shared" si="13"/>
        <v>45807</v>
      </c>
      <c r="J76" s="123">
        <v>45838</v>
      </c>
      <c r="K76" s="59">
        <f t="shared" si="11"/>
        <v>31</v>
      </c>
      <c r="L76" s="123">
        <f t="shared" si="15"/>
        <v>45835</v>
      </c>
      <c r="M76" s="123">
        <v>45868</v>
      </c>
      <c r="N76" s="59">
        <f t="shared" si="14"/>
        <v>33</v>
      </c>
      <c r="O76" s="130" t="str">
        <f>IF(Inputs!B76='Calc. Oct 2025'!$F$3,Inputs!$I$26,Inputs!F76)</f>
        <v>Please check the dates you entered. The dates you entered are valid for the July 2025 billing cycle. If valid, please use AES Indiana's July 2025 monthly bill calculator to calculate your bill for the dates entered.</v>
      </c>
    </row>
    <row r="77" spans="2:15" x14ac:dyDescent="0.2">
      <c r="B77" t="s">
        <v>386</v>
      </c>
      <c r="C77" s="130" t="str">
        <f t="shared" si="5"/>
        <v>Please check the dates you entered. The dates you entered are valid for the August 2025</v>
      </c>
      <c r="D77" s="130" t="str">
        <f t="shared" si="6"/>
        <v xml:space="preserve">Please check the dates you entered. The dates you entered are valid for the August 2025 billing cycle. If valid, please use AES Indiana's </v>
      </c>
      <c r="E77" s="130" t="str">
        <f t="shared" si="7"/>
        <v>Please check the dates you entered. The dates you entered are valid for the August 2025 billing cycle. If valid, please use AES Indiana's August 2025</v>
      </c>
      <c r="F77" t="str">
        <f t="shared" si="8"/>
        <v>Please check the dates you entered. The dates you entered are valid for the August 2025 billing cycle. If valid, please use AES Indiana's August 2025 monthly bill calculator to calculate your bill for the dates entered.</v>
      </c>
      <c r="G77">
        <f>IF(AND('AES Indiana Bill Calc.'!$D$11&gt;=Inputs!I77,'AES Indiana Bill Calc.'!$D$12&gt;=Inputs!J77,'AES Indiana Bill Calc.'!$D$11&lt;=Inputs!L77,'AES Indiana Bill Calc.'!$D$12&lt;=Inputs!M77,'AES Indiana Bill Calc.'!$D$12-'AES Indiana Bill Calc.'!$D$11&gt;=26,'AES Indiana Bill Calc.'!$D$12-'AES Indiana Bill Calc.'!$D$11&lt;=35),"X",)</f>
        <v>0</v>
      </c>
      <c r="H77" s="164">
        <v>45870</v>
      </c>
      <c r="I77" s="123">
        <f t="shared" si="13"/>
        <v>45838</v>
      </c>
      <c r="J77" s="123">
        <v>45869</v>
      </c>
      <c r="K77" s="59">
        <f t="shared" si="11"/>
        <v>31</v>
      </c>
      <c r="L77" s="123">
        <f t="shared" si="15"/>
        <v>45868</v>
      </c>
      <c r="M77" s="123">
        <v>45897</v>
      </c>
      <c r="N77" s="59">
        <f t="shared" si="14"/>
        <v>29</v>
      </c>
      <c r="O77" s="130" t="str">
        <f>IF(Inputs!B77='Calc. Oct 2025'!$F$3,Inputs!$I$26,Inputs!F77)</f>
        <v>Please check the dates you entered. The dates you entered are valid for the August 2025 billing cycle. If valid, please use AES Indiana's August 2025 monthly bill calculator to calculate your bill for the dates entered.</v>
      </c>
    </row>
    <row r="78" spans="2:15" x14ac:dyDescent="0.2">
      <c r="B78" t="s">
        <v>387</v>
      </c>
      <c r="C78" s="130" t="str">
        <f t="shared" si="5"/>
        <v>Please check the dates you entered. The dates you entered are valid for the September 2025</v>
      </c>
      <c r="D78" s="130" t="str">
        <f t="shared" si="6"/>
        <v xml:space="preserve">Please check the dates you entered. The dates you entered are valid for the September 2025 billing cycle. If valid, please use AES Indiana's </v>
      </c>
      <c r="E78" s="130" t="str">
        <f t="shared" si="7"/>
        <v>Please check the dates you entered. The dates you entered are valid for the September 2025 billing cycle. If valid, please use AES Indiana's September 2025</v>
      </c>
      <c r="F78" t="str">
        <f t="shared" si="8"/>
        <v>Please check the dates you entered. The dates you entered are valid for the September 2025 billing cycle. If valid, please use AES Indiana's September 2025 monthly bill calculator to calculate your bill for the dates entered.</v>
      </c>
      <c r="G78">
        <f>IF(AND('AES Indiana Bill Calc.'!$D$11&gt;=Inputs!I78,'AES Indiana Bill Calc.'!$D$12&gt;=Inputs!J78,'AES Indiana Bill Calc.'!$D$11&lt;=Inputs!L78,'AES Indiana Bill Calc.'!$D$12&lt;=Inputs!M78,'AES Indiana Bill Calc.'!$D$12-'AES Indiana Bill Calc.'!$D$11&gt;=26,'AES Indiana Bill Calc.'!$D$12-'AES Indiana Bill Calc.'!$D$11&lt;=35),"X",)</f>
        <v>0</v>
      </c>
      <c r="H78" s="164">
        <v>45901</v>
      </c>
      <c r="I78" s="123">
        <f t="shared" si="13"/>
        <v>45869</v>
      </c>
      <c r="J78" s="123">
        <v>45898</v>
      </c>
      <c r="K78" s="59">
        <f t="shared" si="11"/>
        <v>29</v>
      </c>
      <c r="L78" s="123">
        <f t="shared" si="15"/>
        <v>45897</v>
      </c>
      <c r="M78" s="123">
        <v>45929</v>
      </c>
      <c r="N78" s="59">
        <f t="shared" si="14"/>
        <v>32</v>
      </c>
      <c r="O78" s="130" t="str">
        <f>IF(Inputs!B78='Calc. Oct 2025'!$F$3,Inputs!$I$26,Inputs!F78)</f>
        <v>Please check the dates you entered. The dates you entered are valid for the September 2025 billing cycle. If valid, please use AES Indiana's September 2025 monthly bill calculator to calculate your bill for the dates entered.</v>
      </c>
    </row>
    <row r="79" spans="2:15" x14ac:dyDescent="0.2">
      <c r="B79" t="s">
        <v>388</v>
      </c>
      <c r="C79" s="130" t="str">
        <f t="shared" si="5"/>
        <v>Please check the dates you entered. The dates you entered are valid for the October 2025</v>
      </c>
      <c r="D79" s="130" t="str">
        <f t="shared" si="6"/>
        <v xml:space="preserve">Please check the dates you entered. The dates you entered are valid for the October 2025 billing cycle. If valid, please use AES Indiana's </v>
      </c>
      <c r="E79" s="130" t="str">
        <f t="shared" si="7"/>
        <v>Please check the dates you entered. The dates you entered are valid for the October 2025 billing cycle. If valid, please use AES Indiana's October 2025</v>
      </c>
      <c r="F79" t="str">
        <f t="shared" si="8"/>
        <v>Please check the dates you entered. The dates you entered are valid for the October 2025 billing cycle. If valid, please use AES Indiana's October 2025 monthly bill calculator to calculate your bill for the dates entered.</v>
      </c>
      <c r="G79">
        <f>IF(AND('AES Indiana Bill Calc.'!$D$11&gt;=Inputs!I79,'AES Indiana Bill Calc.'!$D$12&gt;=Inputs!J79,'AES Indiana Bill Calc.'!$D$11&lt;=Inputs!L79,'AES Indiana Bill Calc.'!$D$12&lt;=Inputs!M79,'AES Indiana Bill Calc.'!$D$12-'AES Indiana Bill Calc.'!$D$11&gt;=26,'AES Indiana Bill Calc.'!$D$12-'AES Indiana Bill Calc.'!$D$11&lt;=35),"X",)</f>
        <v>0</v>
      </c>
      <c r="H79" s="164">
        <v>45931</v>
      </c>
      <c r="I79" s="123">
        <f t="shared" si="13"/>
        <v>45898</v>
      </c>
      <c r="J79" s="123">
        <v>45930</v>
      </c>
      <c r="K79" s="59">
        <f t="shared" si="11"/>
        <v>32</v>
      </c>
      <c r="L79" s="123">
        <f t="shared" si="15"/>
        <v>45929</v>
      </c>
      <c r="M79" s="123">
        <v>45960</v>
      </c>
      <c r="N79" s="59">
        <f t="shared" si="14"/>
        <v>31</v>
      </c>
      <c r="O79" s="130" t="str">
        <f>IF(Inputs!B79='Calc. Oct 2025'!$F$3,Inputs!$I$26,Inputs!F79)</f>
        <v>You are using the correct bill calculator. Please enter your billing information below.</v>
      </c>
    </row>
    <row r="80" spans="2:15" x14ac:dyDescent="0.2">
      <c r="B80" t="s">
        <v>389</v>
      </c>
      <c r="C80" s="130" t="str">
        <f t="shared" si="5"/>
        <v>Please check the dates you entered. The dates you entered are valid for the November 2025</v>
      </c>
      <c r="D80" s="130" t="str">
        <f t="shared" si="6"/>
        <v xml:space="preserve">Please check the dates you entered. The dates you entered are valid for the November 2025 billing cycle. If valid, please use AES Indiana's </v>
      </c>
      <c r="E80" s="130" t="str">
        <f t="shared" si="7"/>
        <v>Please check the dates you entered. The dates you entered are valid for the November 2025 billing cycle. If valid, please use AES Indiana's November 2025</v>
      </c>
      <c r="F80" t="str">
        <f t="shared" si="8"/>
        <v>Please check the dates you entered. The dates you entered are valid for the November 2025 billing cycle. If valid, please use AES Indiana's November 2025 monthly bill calculator to calculate your bill for the dates entered.</v>
      </c>
      <c r="G80">
        <f>IF(AND('AES Indiana Bill Calc.'!$D$11&gt;=Inputs!I80,'AES Indiana Bill Calc.'!$D$12&gt;=Inputs!J80,'AES Indiana Bill Calc.'!$D$11&lt;=Inputs!L80,'AES Indiana Bill Calc.'!$D$12&lt;=Inputs!M80,'AES Indiana Bill Calc.'!$D$12-'AES Indiana Bill Calc.'!$D$11&gt;=26,'AES Indiana Bill Calc.'!$D$12-'AES Indiana Bill Calc.'!$D$11&lt;=35),"X",)</f>
        <v>0</v>
      </c>
      <c r="H80" s="164">
        <v>45962</v>
      </c>
      <c r="I80" s="123">
        <f t="shared" si="13"/>
        <v>45930</v>
      </c>
      <c r="J80" s="123">
        <v>45961</v>
      </c>
      <c r="K80" s="59">
        <f t="shared" si="11"/>
        <v>31</v>
      </c>
      <c r="L80" s="123">
        <f t="shared" si="15"/>
        <v>45960</v>
      </c>
      <c r="M80" s="123">
        <v>45986</v>
      </c>
      <c r="N80" s="59">
        <f t="shared" si="14"/>
        <v>26</v>
      </c>
      <c r="O80" s="130" t="str">
        <f>IF(Inputs!B80='Calc. Oct 2025'!$F$3,Inputs!$I$26,Inputs!F80)</f>
        <v>Please check the dates you entered. The dates you entered are valid for the November 2025 billing cycle. If valid, please use AES Indiana's November 2025 monthly bill calculator to calculate your bill for the dates entered.</v>
      </c>
    </row>
    <row r="81" spans="2:15" x14ac:dyDescent="0.2">
      <c r="B81" t="s">
        <v>390</v>
      </c>
      <c r="C81" s="130" t="str">
        <f t="shared" si="5"/>
        <v>Please check the dates you entered. The dates you entered are valid for the December 2025</v>
      </c>
      <c r="D81" s="130" t="str">
        <f t="shared" si="6"/>
        <v xml:space="preserve">Please check the dates you entered. The dates you entered are valid for the December 2025 billing cycle. If valid, please use AES Indiana's </v>
      </c>
      <c r="E81" s="130" t="str">
        <f t="shared" si="7"/>
        <v>Please check the dates you entered. The dates you entered are valid for the December 2025 billing cycle. If valid, please use AES Indiana's December 2025</v>
      </c>
      <c r="F81" t="str">
        <f t="shared" si="8"/>
        <v>Please check the dates you entered. The dates you entered are valid for the December 2025 billing cycle. If valid, please use AES Indiana's December 2025 monthly bill calculator to calculate your bill for the dates entered.</v>
      </c>
      <c r="G81">
        <f>IF(AND('AES Indiana Bill Calc.'!$D$11&gt;=Inputs!I81,'AES Indiana Bill Calc.'!$D$12&gt;=Inputs!J81,'AES Indiana Bill Calc.'!$D$11&lt;=Inputs!L81,'AES Indiana Bill Calc.'!$D$12&lt;=Inputs!M81,'AES Indiana Bill Calc.'!$D$12-'AES Indiana Bill Calc.'!$D$11&gt;=26,'AES Indiana Bill Calc.'!$D$12-'AES Indiana Bill Calc.'!$D$11&lt;=35),"X",)</f>
        <v>0</v>
      </c>
      <c r="H81" s="164">
        <v>45992</v>
      </c>
      <c r="I81" s="123">
        <f t="shared" si="13"/>
        <v>45961</v>
      </c>
      <c r="J81" s="123">
        <v>45987</v>
      </c>
      <c r="K81" s="59">
        <f t="shared" si="11"/>
        <v>26</v>
      </c>
      <c r="L81" s="123">
        <f t="shared" si="15"/>
        <v>45986</v>
      </c>
      <c r="M81" s="123">
        <v>46021</v>
      </c>
      <c r="N81" s="59">
        <f t="shared" si="14"/>
        <v>35</v>
      </c>
      <c r="O81" s="130" t="str">
        <f>IF(Inputs!B81='Calc. Oct 2025'!$F$3,Inputs!$I$26,Inputs!F81)</f>
        <v>Please check the dates you entered. The dates you entered are valid for the December 2025 billing cycle. If valid, please use AES Indiana's December 2025 monthly bill calculator to calculate your bill for the dates entered.</v>
      </c>
    </row>
    <row r="82" spans="2:15" x14ac:dyDescent="0.2">
      <c r="B82" t="str">
        <f>C82&amp;" "&amp;F82</f>
        <v xml:space="preserve"> </v>
      </c>
      <c r="G82">
        <f>IF('AES Indiana Bill Calc.'!$D$12&lt;'AES Indiana Bill Calc.'!$D$11,"X",)</f>
        <v>0</v>
      </c>
      <c r="H82" s="130" t="s">
        <v>97</v>
      </c>
      <c r="O82" s="130" t="s">
        <v>98</v>
      </c>
    </row>
    <row r="83" spans="2:15" x14ac:dyDescent="0.2">
      <c r="B83" t="str">
        <f>C83&amp;" "&amp;F83</f>
        <v xml:space="preserve"> </v>
      </c>
      <c r="G83">
        <f>IF(AND('AES Indiana Bill Calc.'!$D$12-'AES Indiana Bill Calc.'!$D$11&lt;26,'AES Indiana Bill Calc.'!$D$11&lt;&gt;"", 'AES Indiana Bill Calc.'!$D$12&lt;&gt;"",'AES Indiana Bill Calc.'!$D$12-'AES Indiana Bill Calc.'!$D$11&gt;=0),"X",)</f>
        <v>0</v>
      </c>
      <c r="H83" s="130" t="s">
        <v>99</v>
      </c>
      <c r="K83">
        <v>26</v>
      </c>
      <c r="O83" s="130" t="s">
        <v>100</v>
      </c>
    </row>
    <row r="84" spans="2:15" x14ac:dyDescent="0.2">
      <c r="B84" t="str">
        <f>C84&amp;" "&amp;F84</f>
        <v xml:space="preserve"> </v>
      </c>
      <c r="G84">
        <f>IF(AND('AES Indiana Bill Calc.'!$D$12-'AES Indiana Bill Calc.'!$D$11&gt;35,'AES Indiana Bill Calc.'!$D$11&lt;&gt;"", 'AES Indiana Bill Calc.'!$D$12&lt;&gt;""),"X",)</f>
        <v>0</v>
      </c>
      <c r="H84" s="130" t="s">
        <v>101</v>
      </c>
      <c r="K84">
        <v>36</v>
      </c>
      <c r="O84" s="130" t="s">
        <v>102</v>
      </c>
    </row>
    <row r="85" spans="2:15" x14ac:dyDescent="0.2">
      <c r="B85" t="str">
        <f>C85&amp;" "&amp;F85</f>
        <v xml:space="preserve"> </v>
      </c>
      <c r="G85" t="str">
        <f>IF(OR('AES Indiana Bill Calc.'!D11="",'AES Indiana Bill Calc.'!D12=""),"X",)</f>
        <v>X</v>
      </c>
      <c r="H85" s="130" t="s">
        <v>103</v>
      </c>
    </row>
    <row r="86" spans="2:15" x14ac:dyDescent="0.2">
      <c r="B86" t="str">
        <f>C86&amp;" "&amp;F86</f>
        <v xml:space="preserve"> </v>
      </c>
      <c r="G86">
        <f>IF(OR(G34="X",G35="X",G36="X",G37="X",G38="X",G39="X",G40="X",G41="X",G42="X",G43="X",G44="X",G45="X",G46="X",G47="X",G48="X",G49="X",G50="X",G51="X",G52="X",G53="X",G54="X",G55="X",G56="X",G57="X",G83="X",G84="X",G82="X",G85="X",G58="X",G59="X",G60="X",G61="X",G62="X",G63="X",G64="X",G65="X",G66="X",G67="X",G68="X",G69="X",G70="X",G71="X",G72="X",G73="X",G74="X",G75="X",G76="X",G77="X",G78="X",G79="X",G80="X",G81="X"),0,"X")</f>
        <v>0</v>
      </c>
      <c r="H86" s="130" t="s">
        <v>104</v>
      </c>
      <c r="O86" s="130" t="s">
        <v>105</v>
      </c>
    </row>
    <row r="90" spans="2:15" x14ac:dyDescent="0.2">
      <c r="H90" s="176"/>
      <c r="I90" s="176"/>
      <c r="J90" s="176"/>
      <c r="K90" s="176"/>
    </row>
  </sheetData>
  <mergeCells count="5">
    <mergeCell ref="I2:J2"/>
    <mergeCell ref="I7:J7"/>
    <mergeCell ref="I32:K32"/>
    <mergeCell ref="G31:O31"/>
    <mergeCell ref="L32:N32"/>
  </mergeCells>
  <phoneticPr fontId="5" type="noConversion"/>
  <hyperlinks>
    <hyperlink ref="J19" r:id="rId1" location="page=2" xr:uid="{00000000-0004-0000-0100-000005000000}"/>
    <hyperlink ref="J21" r:id="rId2" location="page=2" xr:uid="{00000000-0004-0000-0100-000006000000}"/>
    <hyperlink ref="J10" r:id="rId3" location="page=2" xr:uid="{8A76D647-53D6-48EC-B4BD-0D270E7B3BAA}"/>
    <hyperlink ref="J11" r:id="rId4" location="page=2" xr:uid="{CB9BA7A0-7C3D-4748-85D2-9438D8CE3B07}"/>
    <hyperlink ref="J12" r:id="rId5" location="page=2" xr:uid="{CBCB4B91-8BB7-4E96-B040-5F97E99D39DC}"/>
    <hyperlink ref="J15" r:id="rId6" location="page=2" xr:uid="{DBA12F74-8800-4F44-AE3D-39F0C5DFFAA8}"/>
    <hyperlink ref="J17" r:id="rId7" location="page=2" xr:uid="{A5D1FD76-6558-4E49-BA45-C89E77B857B7}"/>
    <hyperlink ref="J18" r:id="rId8" xr:uid="{18D52662-AACA-43D3-B0EE-44B4D1E98CDF}"/>
    <hyperlink ref="J20" r:id="rId9" xr:uid="{4BC5472E-08D8-4313-8926-A2BC341F22B9}"/>
    <hyperlink ref="J3" r:id="rId10" location="page=1" xr:uid="{EC1A95BE-ED06-42AA-886E-2C4A811D43F6}"/>
  </hyperlinks>
  <pageMargins left="0.7" right="0.7" top="0.75" bottom="0.75" header="0.3" footer="0.3"/>
  <pageSetup orientation="portrait" r:id="rId11"/>
  <tableParts count="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9596-538F-4A51-92D9-77C990C7E2F0}">
  <sheetPr>
    <pageSetUpPr fitToPage="1"/>
  </sheetPr>
  <dimension ref="A1:IR1301"/>
  <sheetViews>
    <sheetView zoomScaleNormal="100" workbookViewId="0">
      <selection activeCell="Y6" sqref="Y6"/>
    </sheetView>
  </sheetViews>
  <sheetFormatPr defaultRowHeight="12.75" x14ac:dyDescent="0.2"/>
  <cols>
    <col min="1" max="1" width="16" customWidth="1"/>
    <col min="2" max="2" width="14.140625" style="2" bestFit="1" customWidth="1"/>
    <col min="3" max="3" width="11.140625" style="2" customWidth="1"/>
    <col min="4" max="4" width="11.140625" bestFit="1" customWidth="1"/>
    <col min="5" max="5" width="11.85546875" bestFit="1" customWidth="1"/>
    <col min="6" max="6" width="12.7109375" bestFit="1" customWidth="1"/>
    <col min="7" max="7" width="12.85546875" customWidth="1"/>
    <col min="8" max="8" width="14.5703125" customWidth="1"/>
    <col min="9" max="9" width="16.7109375" bestFit="1" customWidth="1"/>
    <col min="10" max="10" width="14" customWidth="1"/>
    <col min="11" max="11" width="12.85546875" bestFit="1" customWidth="1"/>
    <col min="12" max="12" width="12" bestFit="1" customWidth="1"/>
    <col min="13" max="13" width="11.5703125" bestFit="1" customWidth="1"/>
    <col min="14" max="16" width="11.5703125" customWidth="1"/>
    <col min="17" max="17" width="12.7109375" bestFit="1" customWidth="1"/>
    <col min="18" max="18" width="10.85546875" bestFit="1" customWidth="1"/>
    <col min="19" max="19" width="11.42578125" customWidth="1"/>
    <col min="20" max="20" width="11.28515625" customWidth="1"/>
    <col min="21" max="21" width="10.28515625" bestFit="1" customWidth="1"/>
    <col min="22" max="22" width="12" customWidth="1"/>
    <col min="23" max="23" width="11.42578125" bestFit="1" customWidth="1"/>
    <col min="24" max="24" width="12" bestFit="1" customWidth="1"/>
    <col min="25" max="25" width="12" customWidth="1"/>
    <col min="26" max="26" width="16.140625" bestFit="1" customWidth="1"/>
    <col min="27" max="27" width="12" customWidth="1"/>
    <col min="28" max="29" width="17" bestFit="1" customWidth="1"/>
    <col min="30" max="30" width="10.42578125" bestFit="1" customWidth="1"/>
    <col min="31" max="31" width="10.28515625" customWidth="1"/>
    <col min="32" max="32" width="11.28515625" bestFit="1" customWidth="1"/>
    <col min="33" max="33" width="10.5703125" customWidth="1"/>
    <col min="34" max="34" width="12.7109375" customWidth="1"/>
    <col min="35" max="35" width="13" customWidth="1"/>
    <col min="37" max="37" width="9.85546875" bestFit="1" customWidth="1"/>
  </cols>
  <sheetData>
    <row r="1" spans="1:27" ht="13.5" thickBot="1" x14ac:dyDescent="0.25">
      <c r="A1" s="1"/>
      <c r="C1" s="143"/>
      <c r="D1" s="144"/>
      <c r="J1" s="90"/>
      <c r="M1" s="12">
        <v>21</v>
      </c>
      <c r="N1" s="12"/>
      <c r="O1" s="12"/>
      <c r="P1" s="12"/>
      <c r="Q1" s="12"/>
      <c r="R1" s="12">
        <v>6</v>
      </c>
      <c r="S1" s="12">
        <v>3</v>
      </c>
      <c r="T1" s="12">
        <v>22</v>
      </c>
      <c r="U1" s="12">
        <v>13</v>
      </c>
      <c r="V1" s="12">
        <v>20</v>
      </c>
      <c r="W1" s="12">
        <v>24</v>
      </c>
      <c r="X1" s="12">
        <v>25</v>
      </c>
      <c r="Y1" s="12">
        <v>26</v>
      </c>
      <c r="Z1" s="52"/>
      <c r="AA1" s="84"/>
    </row>
    <row r="2" spans="1:27" ht="13.5" thickBot="1" x14ac:dyDescent="0.25">
      <c r="B2" s="259" t="str">
        <f>F3&amp;" "&amp;F2</f>
        <v>October 2025 Monthly Bill Calculator</v>
      </c>
      <c r="C2" s="260"/>
      <c r="D2" s="260"/>
      <c r="E2" s="261"/>
      <c r="F2" s="178" t="s">
        <v>393</v>
      </c>
      <c r="M2" s="13" t="s">
        <v>106</v>
      </c>
      <c r="N2" s="13"/>
      <c r="O2" s="13"/>
      <c r="P2" s="13"/>
      <c r="Q2" s="13"/>
      <c r="R2" s="13" t="s">
        <v>36</v>
      </c>
      <c r="S2" s="138" t="s">
        <v>38</v>
      </c>
      <c r="T2" s="13" t="s">
        <v>107</v>
      </c>
      <c r="U2" s="13" t="s">
        <v>108</v>
      </c>
      <c r="V2" s="13" t="s">
        <v>109</v>
      </c>
      <c r="W2" s="138" t="s">
        <v>44</v>
      </c>
      <c r="X2" s="138" t="s">
        <v>46</v>
      </c>
      <c r="Y2" s="138" t="s">
        <v>48</v>
      </c>
      <c r="Z2" s="66" t="s">
        <v>110</v>
      </c>
      <c r="AA2" s="85"/>
    </row>
    <row r="3" spans="1:27" x14ac:dyDescent="0.2">
      <c r="A3" s="1"/>
      <c r="B3" s="7"/>
      <c r="C3" s="40"/>
      <c r="D3" s="40"/>
      <c r="F3" s="178" t="str">
        <f>D6&amp;" "&amp;D7</f>
        <v>October 2025</v>
      </c>
      <c r="L3" t="s">
        <v>111</v>
      </c>
      <c r="M3" s="166">
        <v>1.8E-3</v>
      </c>
      <c r="N3" s="119"/>
      <c r="O3" s="119"/>
      <c r="P3" s="119"/>
      <c r="Q3" s="119"/>
      <c r="R3" s="119">
        <v>3.9020000000000001E-3</v>
      </c>
      <c r="S3" s="172">
        <v>1.8929999999999999E-3</v>
      </c>
      <c r="T3" s="119">
        <v>5.4039999999999999E-3</v>
      </c>
      <c r="U3" s="120">
        <v>0</v>
      </c>
      <c r="V3" s="119">
        <v>9.476E-3</v>
      </c>
      <c r="W3" s="119">
        <v>-5.1900000000000004E-4</v>
      </c>
      <c r="X3" s="119">
        <v>4.1159999999999999E-3</v>
      </c>
      <c r="Y3" s="119">
        <v>7.3200000000000001E-4</v>
      </c>
      <c r="Z3" s="19">
        <f>SUM(S3:Y3)</f>
        <v>2.1101999999999999E-2</v>
      </c>
      <c r="AA3" s="19"/>
    </row>
    <row r="4" spans="1:27" x14ac:dyDescent="0.2">
      <c r="B4" s="1"/>
      <c r="C4" s="40"/>
      <c r="D4" s="40"/>
      <c r="F4" s="44"/>
      <c r="L4" t="s">
        <v>112</v>
      </c>
      <c r="M4" s="19">
        <f>+M3</f>
        <v>1.8E-3</v>
      </c>
      <c r="N4" s="19"/>
      <c r="O4" s="19"/>
      <c r="P4" s="19"/>
      <c r="Q4" s="19"/>
      <c r="R4" s="19">
        <f>R3</f>
        <v>3.9020000000000001E-3</v>
      </c>
      <c r="S4" s="172">
        <v>1.523E-3</v>
      </c>
      <c r="T4" s="119">
        <v>1.0000999999999999E-2</v>
      </c>
      <c r="U4" s="120">
        <v>0</v>
      </c>
      <c r="V4" s="119">
        <v>8.8730000000000007E-3</v>
      </c>
      <c r="W4" s="119">
        <v>-8.1800000000000004E-4</v>
      </c>
      <c r="X4" s="119">
        <v>4.2139999999999999E-3</v>
      </c>
      <c r="Y4" s="119">
        <v>7.0699999999999995E-4</v>
      </c>
      <c r="Z4" s="19">
        <f>SUM(S4:Y4)</f>
        <v>2.4499999999999997E-2</v>
      </c>
      <c r="AA4" s="19"/>
    </row>
    <row r="5" spans="1:27" x14ac:dyDescent="0.2">
      <c r="A5" s="44"/>
      <c r="B5" s="1"/>
      <c r="C5" s="40"/>
      <c r="D5" s="40"/>
      <c r="F5" s="44"/>
      <c r="K5" t="s">
        <v>113</v>
      </c>
      <c r="L5" t="s">
        <v>114</v>
      </c>
      <c r="M5" s="19">
        <f>+M4</f>
        <v>1.8E-3</v>
      </c>
      <c r="N5" s="19"/>
      <c r="O5" s="19"/>
      <c r="P5" s="19"/>
      <c r="Q5" s="19"/>
      <c r="R5" s="19">
        <f>+R4</f>
        <v>3.9020000000000001E-3</v>
      </c>
      <c r="S5" s="119">
        <v>6.1300000000000005E-4</v>
      </c>
      <c r="T5" s="119">
        <v>1.3795999999999999E-2</v>
      </c>
      <c r="U5" s="120">
        <v>0</v>
      </c>
      <c r="V5" s="102">
        <v>8.1969999999999994E-3</v>
      </c>
      <c r="W5" s="102">
        <v>-4.8200000000000001E-4</v>
      </c>
      <c r="X5" s="102">
        <v>3.9439999999999996E-3</v>
      </c>
      <c r="Y5" s="102">
        <v>6.6600000000000003E-4</v>
      </c>
      <c r="Z5" s="19">
        <f>SUM(S5:Y5)</f>
        <v>2.6734000000000001E-2</v>
      </c>
      <c r="AA5" s="19"/>
    </row>
    <row r="6" spans="1:27" x14ac:dyDescent="0.2">
      <c r="A6" s="44"/>
      <c r="C6" s="1" t="s">
        <v>82</v>
      </c>
      <c r="D6" s="179" t="s">
        <v>343</v>
      </c>
      <c r="F6" s="44"/>
      <c r="J6" s="130" t="s">
        <v>115</v>
      </c>
      <c r="K6" t="s">
        <v>116</v>
      </c>
      <c r="L6" t="s">
        <v>112</v>
      </c>
      <c r="M6" s="19"/>
      <c r="N6" s="19"/>
      <c r="O6" s="19"/>
      <c r="P6" s="19"/>
      <c r="Q6" s="19"/>
      <c r="R6" s="19"/>
      <c r="S6" s="119"/>
      <c r="T6" s="119">
        <v>0</v>
      </c>
      <c r="U6" s="120">
        <v>0</v>
      </c>
      <c r="V6" s="102"/>
      <c r="W6" s="102"/>
      <c r="X6" s="102"/>
      <c r="Y6" s="69"/>
      <c r="Z6" s="19">
        <f>SUM(S6:Y6)</f>
        <v>0</v>
      </c>
      <c r="AA6" s="19"/>
    </row>
    <row r="7" spans="1:27" x14ac:dyDescent="0.2">
      <c r="A7" s="44"/>
      <c r="C7" s="1" t="s">
        <v>394</v>
      </c>
      <c r="D7" s="180">
        <v>2025</v>
      </c>
      <c r="F7" s="44"/>
      <c r="J7" s="130"/>
      <c r="M7" s="19"/>
      <c r="N7" s="19"/>
      <c r="O7" s="19"/>
      <c r="P7" s="19"/>
      <c r="Q7" s="19"/>
      <c r="R7" s="19"/>
      <c r="S7" s="119"/>
      <c r="T7" s="119"/>
      <c r="U7" s="120"/>
      <c r="V7" s="102"/>
      <c r="W7" s="102"/>
      <c r="X7" s="102"/>
      <c r="Y7" s="69"/>
      <c r="Z7" s="19"/>
      <c r="AA7" s="19"/>
    </row>
    <row r="8" spans="1:27" x14ac:dyDescent="0.2">
      <c r="A8" s="44"/>
      <c r="C8" s="1"/>
      <c r="D8" s="40"/>
      <c r="F8" s="44"/>
      <c r="J8" s="130" t="s">
        <v>115</v>
      </c>
      <c r="K8" t="s">
        <v>116</v>
      </c>
      <c r="L8" t="s">
        <v>114</v>
      </c>
      <c r="M8" s="19"/>
      <c r="N8" s="19"/>
      <c r="O8" s="19"/>
      <c r="P8" s="19"/>
      <c r="Q8" s="19"/>
      <c r="R8" s="19"/>
      <c r="S8" s="119"/>
      <c r="T8" s="119">
        <v>0</v>
      </c>
      <c r="U8" s="120">
        <v>0</v>
      </c>
      <c r="V8" s="102"/>
      <c r="W8" s="102"/>
      <c r="X8" s="102"/>
      <c r="Y8" s="69"/>
      <c r="Z8" s="19">
        <f>SUM(S8:Y8)</f>
        <v>0</v>
      </c>
      <c r="AA8" s="19"/>
    </row>
    <row r="9" spans="1:27" x14ac:dyDescent="0.2">
      <c r="A9" s="44"/>
      <c r="D9" s="40"/>
      <c r="F9" s="44"/>
      <c r="J9" s="130" t="s">
        <v>117</v>
      </c>
      <c r="K9" t="s">
        <v>118</v>
      </c>
      <c r="L9" t="s">
        <v>112</v>
      </c>
      <c r="M9" s="19"/>
      <c r="N9" s="19"/>
      <c r="O9" s="19"/>
      <c r="P9" s="19"/>
      <c r="Q9" s="19"/>
      <c r="R9" s="19"/>
      <c r="S9" s="119"/>
      <c r="T9" s="119">
        <v>0</v>
      </c>
      <c r="U9" s="120">
        <v>0</v>
      </c>
      <c r="V9" s="102"/>
      <c r="W9" s="102"/>
      <c r="X9" s="102"/>
      <c r="Y9" s="69"/>
      <c r="Z9" s="19">
        <f>SUM(S9:Y9)</f>
        <v>0</v>
      </c>
      <c r="AA9" s="19"/>
    </row>
    <row r="10" spans="1:27" x14ac:dyDescent="0.2">
      <c r="A10" s="44"/>
      <c r="D10" s="147"/>
      <c r="F10" s="44"/>
      <c r="J10" s="130" t="s">
        <v>117</v>
      </c>
      <c r="K10" t="s">
        <v>118</v>
      </c>
      <c r="L10" t="s">
        <v>114</v>
      </c>
      <c r="M10" s="19"/>
      <c r="N10" s="19"/>
      <c r="O10" s="19"/>
      <c r="P10" s="19"/>
      <c r="Q10" s="19"/>
      <c r="R10" s="19"/>
      <c r="S10" s="119"/>
      <c r="T10" s="119">
        <v>0</v>
      </c>
      <c r="U10" s="120">
        <v>0</v>
      </c>
      <c r="V10" s="102"/>
      <c r="W10" s="102"/>
      <c r="X10" s="102"/>
      <c r="Y10" s="69"/>
      <c r="Z10" s="19">
        <f>SUM(S10:Y10)</f>
        <v>0</v>
      </c>
      <c r="AA10" s="19"/>
    </row>
    <row r="11" spans="1:27" x14ac:dyDescent="0.2">
      <c r="A11" s="44"/>
      <c r="D11" s="147"/>
      <c r="F11" s="44"/>
      <c r="J11" s="130" t="s">
        <v>119</v>
      </c>
      <c r="K11" s="130" t="s">
        <v>120</v>
      </c>
      <c r="L11" t="s">
        <v>112</v>
      </c>
      <c r="M11" s="19"/>
      <c r="N11" s="19"/>
      <c r="O11" s="19"/>
      <c r="P11" s="19"/>
      <c r="Q11" s="19"/>
      <c r="R11" s="19"/>
      <c r="S11" s="119"/>
      <c r="T11" s="119">
        <v>0</v>
      </c>
      <c r="U11" s="120">
        <v>0</v>
      </c>
      <c r="V11" s="102"/>
      <c r="W11" s="102"/>
      <c r="X11" s="102"/>
      <c r="Y11" s="69"/>
      <c r="Z11" s="19">
        <f>SUM($S$4, T11, $U$4:$Y$4)</f>
        <v>1.4499000000000001E-2</v>
      </c>
      <c r="AA11" s="19"/>
    </row>
    <row r="12" spans="1:27" x14ac:dyDescent="0.2">
      <c r="A12" s="44"/>
      <c r="B12" s="1"/>
      <c r="C12" s="40"/>
      <c r="D12" s="40"/>
      <c r="F12" s="44"/>
      <c r="J12" s="130" t="s">
        <v>119</v>
      </c>
      <c r="K12" s="130" t="s">
        <v>120</v>
      </c>
      <c r="L12" t="s">
        <v>114</v>
      </c>
      <c r="M12" s="19"/>
      <c r="N12" s="19"/>
      <c r="O12" s="19"/>
      <c r="P12" s="19"/>
      <c r="Q12" s="19"/>
      <c r="R12" s="19"/>
      <c r="S12" s="119"/>
      <c r="T12" s="119">
        <v>0</v>
      </c>
      <c r="U12" s="120">
        <v>0</v>
      </c>
      <c r="V12" s="102"/>
      <c r="W12" s="102"/>
      <c r="X12" s="102"/>
      <c r="Y12" s="69"/>
      <c r="Z12" s="19">
        <f>SUM($S$5, T12, $U$5:$Y$5)</f>
        <v>1.2938E-2</v>
      </c>
      <c r="AA12" s="19"/>
    </row>
    <row r="13" spans="1:27" x14ac:dyDescent="0.2">
      <c r="A13" s="44"/>
      <c r="B13" s="1"/>
      <c r="C13" s="40"/>
      <c r="D13" s="40"/>
      <c r="F13" s="44"/>
      <c r="J13" s="130" t="s">
        <v>121</v>
      </c>
      <c r="K13" s="130" t="s">
        <v>122</v>
      </c>
      <c r="L13" t="s">
        <v>112</v>
      </c>
      <c r="M13" s="19"/>
      <c r="N13" s="19"/>
      <c r="O13" s="19"/>
      <c r="P13" s="19"/>
      <c r="Q13" s="19"/>
      <c r="R13" s="19"/>
      <c r="S13" s="119"/>
      <c r="T13" s="119">
        <v>0</v>
      </c>
      <c r="U13" s="120"/>
      <c r="V13" s="102"/>
      <c r="W13" s="102"/>
      <c r="X13" s="102"/>
      <c r="Y13" s="69"/>
      <c r="Z13" s="19">
        <f>SUM($S$4, T13, $U$4:$Y$4)</f>
        <v>1.4499000000000001E-2</v>
      </c>
      <c r="AA13" s="19"/>
    </row>
    <row r="14" spans="1:27" x14ac:dyDescent="0.2">
      <c r="A14" s="44"/>
      <c r="B14" s="143"/>
      <c r="C14" s="40"/>
      <c r="D14" s="40"/>
      <c r="F14" s="44"/>
      <c r="J14" s="130" t="s">
        <v>121</v>
      </c>
      <c r="K14" s="130" t="s">
        <v>122</v>
      </c>
      <c r="L14" t="s">
        <v>114</v>
      </c>
      <c r="M14" s="19"/>
      <c r="N14" s="19"/>
      <c r="O14" s="19"/>
      <c r="P14" s="19"/>
      <c r="Q14" s="19"/>
      <c r="R14" s="19"/>
      <c r="S14" s="119"/>
      <c r="T14" s="119">
        <v>0</v>
      </c>
      <c r="U14" s="120"/>
      <c r="V14" s="102"/>
      <c r="W14" s="102"/>
      <c r="X14" s="102"/>
      <c r="Y14" s="69"/>
      <c r="Z14" s="19">
        <f>SUM($S$5, T14, $U$5:$Y$5)</f>
        <v>1.2938E-2</v>
      </c>
      <c r="AA14" s="19"/>
    </row>
    <row r="15" spans="1:27" x14ac:dyDescent="0.2">
      <c r="A15" s="44"/>
      <c r="B15"/>
      <c r="C15" s="40"/>
      <c r="D15" s="40"/>
      <c r="F15" s="44"/>
      <c r="J15" s="130" t="s">
        <v>123</v>
      </c>
      <c r="K15" s="130" t="s">
        <v>124</v>
      </c>
      <c r="L15" t="s">
        <v>112</v>
      </c>
      <c r="M15" s="19"/>
      <c r="N15" s="19"/>
      <c r="O15" s="19"/>
      <c r="P15" s="19"/>
      <c r="Q15" s="19"/>
      <c r="R15" s="19"/>
      <c r="S15" s="119"/>
      <c r="T15" s="169">
        <v>0</v>
      </c>
      <c r="U15" s="120"/>
      <c r="V15" s="102"/>
      <c r="W15" s="102"/>
      <c r="X15" s="102"/>
      <c r="Y15" s="69"/>
      <c r="Z15" s="19"/>
      <c r="AA15" s="19"/>
    </row>
    <row r="16" spans="1:27" x14ac:dyDescent="0.2">
      <c r="A16" s="44"/>
      <c r="B16"/>
      <c r="C16" s="40"/>
      <c r="D16" s="40"/>
      <c r="F16" s="44"/>
      <c r="J16" s="130" t="s">
        <v>125</v>
      </c>
      <c r="K16" s="130" t="s">
        <v>124</v>
      </c>
      <c r="L16" t="s">
        <v>114</v>
      </c>
      <c r="M16" s="19"/>
      <c r="N16" s="19"/>
      <c r="O16" s="19"/>
      <c r="P16" s="19"/>
      <c r="Q16" s="19"/>
      <c r="R16" s="19"/>
      <c r="S16" s="119"/>
      <c r="T16" s="169">
        <v>1.18E-4</v>
      </c>
      <c r="U16" s="120"/>
      <c r="V16" s="102"/>
      <c r="W16" s="102"/>
      <c r="X16" s="102"/>
      <c r="Y16" s="69"/>
      <c r="Z16" s="19"/>
      <c r="AA16" s="19"/>
    </row>
    <row r="17" spans="1:27" x14ac:dyDescent="0.2">
      <c r="A17" s="44"/>
      <c r="B17"/>
      <c r="C17" s="40"/>
      <c r="F17" s="44"/>
      <c r="J17" s="130" t="s">
        <v>126</v>
      </c>
      <c r="K17" s="130" t="s">
        <v>124</v>
      </c>
      <c r="L17" s="130" t="s">
        <v>127</v>
      </c>
      <c r="M17" s="19"/>
      <c r="N17" s="19"/>
      <c r="O17" s="19"/>
      <c r="P17" s="19"/>
      <c r="Q17" s="19"/>
      <c r="R17" s="19"/>
      <c r="S17" s="119"/>
      <c r="T17" s="169">
        <v>0</v>
      </c>
      <c r="U17" s="120"/>
      <c r="V17" s="102"/>
      <c r="W17" s="102"/>
      <c r="X17" s="102"/>
      <c r="Y17" s="69"/>
      <c r="Z17" s="19"/>
      <c r="AA17" s="19"/>
    </row>
    <row r="18" spans="1:27" x14ac:dyDescent="0.2">
      <c r="A18" s="44"/>
      <c r="B18"/>
      <c r="C18" s="40"/>
      <c r="F18" s="44"/>
      <c r="J18" s="130"/>
      <c r="K18" s="130" t="s">
        <v>128</v>
      </c>
      <c r="L18" s="130" t="s">
        <v>112</v>
      </c>
      <c r="M18" s="19"/>
      <c r="N18" s="19"/>
      <c r="O18" s="19"/>
      <c r="P18" s="19"/>
      <c r="Q18" s="19"/>
      <c r="R18" s="19"/>
      <c r="S18" s="119"/>
      <c r="T18" s="169">
        <v>6.0000000000000002E-6</v>
      </c>
      <c r="U18" s="120"/>
      <c r="V18" s="102"/>
      <c r="W18" s="102"/>
      <c r="X18" s="102"/>
      <c r="Y18" s="69"/>
      <c r="Z18" s="19"/>
      <c r="AA18" s="19"/>
    </row>
    <row r="19" spans="1:27" x14ac:dyDescent="0.2">
      <c r="A19" s="44"/>
      <c r="B19"/>
      <c r="C19" s="40"/>
      <c r="F19" s="44"/>
      <c r="J19" s="130"/>
      <c r="K19" s="130" t="s">
        <v>128</v>
      </c>
      <c r="L19" s="130" t="s">
        <v>114</v>
      </c>
      <c r="M19" s="19"/>
      <c r="N19" s="19"/>
      <c r="O19" s="19"/>
      <c r="P19" s="19"/>
      <c r="Q19" s="19"/>
      <c r="R19" s="19"/>
      <c r="S19" s="119"/>
      <c r="T19" s="169">
        <v>4.55E-4</v>
      </c>
      <c r="U19" s="120"/>
      <c r="V19" s="102"/>
      <c r="W19" s="102"/>
      <c r="X19" s="102"/>
      <c r="Y19" s="69"/>
      <c r="Z19" s="19"/>
      <c r="AA19" s="19"/>
    </row>
    <row r="20" spans="1:27" x14ac:dyDescent="0.2">
      <c r="A20" s="44"/>
      <c r="B20"/>
      <c r="C20" s="40"/>
      <c r="F20" s="44"/>
      <c r="J20" s="130"/>
      <c r="K20" s="130" t="s">
        <v>129</v>
      </c>
      <c r="L20" s="130" t="s">
        <v>112</v>
      </c>
      <c r="M20" s="19"/>
      <c r="N20" s="19"/>
      <c r="O20" s="19"/>
      <c r="P20" s="19"/>
      <c r="Q20" s="19"/>
      <c r="R20" s="19"/>
      <c r="S20" s="119"/>
      <c r="T20" s="169">
        <v>3.4999999999999997E-5</v>
      </c>
      <c r="U20" s="120"/>
      <c r="V20" s="102"/>
      <c r="W20" s="102"/>
      <c r="X20" s="102"/>
      <c r="Y20" s="69"/>
      <c r="Z20" s="19"/>
      <c r="AA20" s="19"/>
    </row>
    <row r="21" spans="1:27" x14ac:dyDescent="0.2">
      <c r="A21" s="44"/>
      <c r="B21"/>
      <c r="C21" s="40"/>
      <c r="F21" s="44"/>
      <c r="I21" s="130"/>
      <c r="J21" s="130"/>
      <c r="K21" s="130" t="s">
        <v>129</v>
      </c>
      <c r="L21" s="130" t="s">
        <v>114</v>
      </c>
      <c r="M21" s="19"/>
      <c r="N21" s="19"/>
      <c r="O21" s="19"/>
      <c r="P21" s="19"/>
      <c r="Q21" s="19"/>
      <c r="R21" s="19"/>
      <c r="S21" s="119"/>
      <c r="T21" s="169">
        <v>9.41E-4</v>
      </c>
      <c r="U21" s="120"/>
      <c r="V21" s="102"/>
      <c r="W21" s="102"/>
      <c r="X21" s="102"/>
      <c r="Y21" s="69"/>
      <c r="Z21" s="19"/>
      <c r="AA21" s="19"/>
    </row>
    <row r="22" spans="1:27" x14ac:dyDescent="0.2">
      <c r="A22" s="44"/>
      <c r="B22"/>
      <c r="C22" s="40"/>
      <c r="F22" s="44"/>
      <c r="I22" s="130"/>
      <c r="J22" s="130"/>
      <c r="K22" s="130" t="s">
        <v>130</v>
      </c>
      <c r="L22" s="130" t="s">
        <v>112</v>
      </c>
      <c r="M22" s="19"/>
      <c r="N22" s="19"/>
      <c r="O22" s="19"/>
      <c r="P22" s="19"/>
      <c r="Q22" s="19"/>
      <c r="R22" s="19"/>
      <c r="S22" s="119"/>
      <c r="T22" s="169">
        <v>-3.9999999999999998E-6</v>
      </c>
      <c r="U22" s="120"/>
      <c r="V22" s="102"/>
      <c r="W22" s="102"/>
      <c r="X22" s="102"/>
      <c r="Y22" s="69"/>
      <c r="Z22" s="19"/>
      <c r="AA22" s="19"/>
    </row>
    <row r="23" spans="1:27" x14ac:dyDescent="0.2">
      <c r="A23" s="44"/>
      <c r="B23"/>
      <c r="C23" s="40"/>
      <c r="F23" s="44"/>
      <c r="J23" s="130"/>
      <c r="K23" s="130" t="s">
        <v>130</v>
      </c>
      <c r="L23" s="130" t="s">
        <v>114</v>
      </c>
      <c r="M23" s="19"/>
      <c r="N23" s="19"/>
      <c r="O23" s="19"/>
      <c r="P23" s="19"/>
      <c r="Q23" s="19"/>
      <c r="R23" s="19"/>
      <c r="S23" s="119"/>
      <c r="T23" s="169">
        <v>-1.0000000000000001E-5</v>
      </c>
      <c r="U23" s="120"/>
      <c r="V23" s="102"/>
      <c r="W23" s="102"/>
      <c r="X23" s="102"/>
      <c r="Y23" s="69"/>
      <c r="Z23" s="19"/>
      <c r="AA23" s="19"/>
    </row>
    <row r="24" spans="1:27" ht="13.5" customHeight="1" x14ac:dyDescent="0.2">
      <c r="A24" s="44"/>
      <c r="B24"/>
      <c r="F24" s="44"/>
      <c r="J24" s="130"/>
      <c r="K24" s="130" t="s">
        <v>131</v>
      </c>
      <c r="L24" s="130" t="s">
        <v>112</v>
      </c>
      <c r="M24" s="19"/>
      <c r="N24" s="19"/>
      <c r="O24" s="19"/>
      <c r="P24" s="19"/>
      <c r="Q24" s="19"/>
      <c r="R24" s="19"/>
      <c r="S24" s="119"/>
      <c r="T24" s="169">
        <v>0</v>
      </c>
      <c r="U24" s="120"/>
      <c r="V24" s="102"/>
      <c r="W24" s="102"/>
      <c r="X24" s="102"/>
      <c r="Y24" s="69"/>
      <c r="Z24" s="19"/>
      <c r="AA24" s="19"/>
    </row>
    <row r="25" spans="1:27" ht="13.5" customHeight="1" x14ac:dyDescent="0.2">
      <c r="A25" s="44"/>
      <c r="B25"/>
      <c r="F25" s="44"/>
      <c r="J25" s="130"/>
      <c r="K25" s="130" t="s">
        <v>131</v>
      </c>
      <c r="L25" s="130" t="s">
        <v>114</v>
      </c>
      <c r="M25" s="19"/>
      <c r="N25" s="19"/>
      <c r="O25" s="19"/>
      <c r="P25" s="19"/>
      <c r="Q25" s="19"/>
      <c r="R25" s="19"/>
      <c r="S25" s="119"/>
      <c r="T25" s="169">
        <v>0</v>
      </c>
      <c r="U25" s="120"/>
      <c r="V25" s="102"/>
      <c r="W25" s="102"/>
      <c r="X25" s="102"/>
      <c r="Y25" s="69"/>
      <c r="Z25" s="19"/>
      <c r="AA25" s="19"/>
    </row>
    <row r="26" spans="1:27" ht="13.5" customHeight="1" x14ac:dyDescent="0.2">
      <c r="A26" s="44"/>
      <c r="B26"/>
      <c r="F26" s="44"/>
      <c r="J26" s="130"/>
      <c r="K26" s="130" t="s">
        <v>132</v>
      </c>
      <c r="L26" s="130" t="s">
        <v>112</v>
      </c>
      <c r="M26" s="19"/>
      <c r="N26" s="19"/>
      <c r="O26" s="19"/>
      <c r="P26" s="19"/>
      <c r="Q26" s="19"/>
      <c r="R26" s="19"/>
      <c r="S26" s="119"/>
      <c r="T26" s="169">
        <v>0</v>
      </c>
      <c r="U26" s="120"/>
      <c r="V26" s="102"/>
      <c r="W26" s="102"/>
      <c r="X26" s="102"/>
      <c r="Y26" s="69"/>
      <c r="Z26" s="19"/>
      <c r="AA26" s="19"/>
    </row>
    <row r="27" spans="1:27" ht="13.5" customHeight="1" x14ac:dyDescent="0.2">
      <c r="A27" s="44"/>
      <c r="B27"/>
      <c r="F27" s="44"/>
      <c r="J27" s="130"/>
      <c r="K27" s="130" t="s">
        <v>132</v>
      </c>
      <c r="L27" s="130" t="s">
        <v>114</v>
      </c>
      <c r="M27" s="19"/>
      <c r="N27" s="19"/>
      <c r="O27" s="19"/>
      <c r="P27" s="19"/>
      <c r="Q27" s="19"/>
      <c r="R27" s="19"/>
      <c r="S27" s="119"/>
      <c r="T27" s="169">
        <v>0</v>
      </c>
      <c r="U27" s="120"/>
      <c r="V27" s="102"/>
      <c r="W27" s="102"/>
      <c r="X27" s="102"/>
      <c r="Y27" s="69"/>
      <c r="Z27" s="19"/>
      <c r="AA27" s="19"/>
    </row>
    <row r="28" spans="1:27" ht="13.5" customHeight="1" x14ac:dyDescent="0.2">
      <c r="A28" s="44"/>
      <c r="B28"/>
      <c r="F28" s="44"/>
      <c r="J28" s="130"/>
      <c r="K28" s="170" t="s">
        <v>293</v>
      </c>
      <c r="L28" s="170" t="s">
        <v>112</v>
      </c>
      <c r="M28" s="19"/>
      <c r="N28" s="19"/>
      <c r="O28" s="19"/>
      <c r="P28" s="19"/>
      <c r="Q28" s="19"/>
      <c r="R28" s="19"/>
      <c r="S28" s="119"/>
      <c r="T28" s="166">
        <v>0</v>
      </c>
      <c r="U28" s="120"/>
      <c r="V28" s="102"/>
      <c r="W28" s="102"/>
      <c r="X28" s="102"/>
      <c r="Y28" s="69"/>
      <c r="Z28" s="19"/>
      <c r="AA28" s="19"/>
    </row>
    <row r="29" spans="1:27" ht="13.5" customHeight="1" x14ac:dyDescent="0.2">
      <c r="A29" s="44"/>
      <c r="B29"/>
      <c r="F29" s="44"/>
      <c r="J29" s="130"/>
      <c r="K29" s="170" t="s">
        <v>293</v>
      </c>
      <c r="L29" s="170" t="s">
        <v>114</v>
      </c>
      <c r="M29" s="19"/>
      <c r="N29" s="19"/>
      <c r="O29" s="19"/>
      <c r="P29" s="19"/>
      <c r="Q29" s="19"/>
      <c r="R29" s="19"/>
      <c r="S29" s="119"/>
      <c r="T29" s="166">
        <v>7.4390000000000003E-3</v>
      </c>
      <c r="U29" s="120"/>
      <c r="V29" s="102"/>
      <c r="W29" s="102"/>
      <c r="X29" s="102"/>
      <c r="Y29" s="69"/>
      <c r="Z29" s="19"/>
      <c r="AA29" s="19"/>
    </row>
    <row r="30" spans="1:27" ht="13.5" customHeight="1" x14ac:dyDescent="0.2">
      <c r="A30" s="44"/>
      <c r="B30"/>
      <c r="F30" s="44"/>
      <c r="J30" s="130"/>
      <c r="K30" s="170" t="s">
        <v>325</v>
      </c>
      <c r="L30" s="170" t="s">
        <v>112</v>
      </c>
      <c r="M30" s="19"/>
      <c r="N30" s="19"/>
      <c r="O30" s="19"/>
      <c r="P30" s="19"/>
      <c r="Q30" s="19"/>
      <c r="R30" s="19"/>
      <c r="S30" s="119"/>
      <c r="T30" s="166">
        <v>4.065E-3</v>
      </c>
      <c r="U30" s="120"/>
      <c r="V30" s="102"/>
      <c r="W30" s="102"/>
      <c r="X30" s="102"/>
      <c r="Y30" s="69"/>
      <c r="Z30" s="19"/>
      <c r="AA30" s="19"/>
    </row>
    <row r="31" spans="1:27" ht="13.5" customHeight="1" x14ac:dyDescent="0.2">
      <c r="A31" s="44"/>
      <c r="B31"/>
      <c r="F31" s="44"/>
      <c r="J31" s="130"/>
      <c r="K31" s="170" t="s">
        <v>325</v>
      </c>
      <c r="L31" s="170" t="s">
        <v>114</v>
      </c>
      <c r="M31" s="19"/>
      <c r="N31" s="19"/>
      <c r="O31" s="19"/>
      <c r="P31" s="19"/>
      <c r="Q31" s="19"/>
      <c r="R31" s="19"/>
      <c r="S31" s="119"/>
      <c r="T31" s="166">
        <v>8.4290000000000007E-3</v>
      </c>
      <c r="U31" s="120"/>
      <c r="V31" s="102"/>
      <c r="W31" s="102"/>
      <c r="X31" s="102"/>
      <c r="Y31" s="69"/>
      <c r="Z31" s="19"/>
      <c r="AA31" s="19"/>
    </row>
    <row r="32" spans="1:27" x14ac:dyDescent="0.2">
      <c r="A32" s="44"/>
      <c r="F32" s="65"/>
      <c r="L32" t="s">
        <v>133</v>
      </c>
      <c r="M32" s="19">
        <f>M3</f>
        <v>1.8E-3</v>
      </c>
      <c r="N32" s="19"/>
      <c r="O32" s="19"/>
      <c r="P32" s="19"/>
      <c r="Q32" s="19"/>
      <c r="R32" s="19"/>
      <c r="S32" s="101">
        <v>1.305E-3</v>
      </c>
      <c r="T32" s="167"/>
      <c r="U32" s="120">
        <v>0</v>
      </c>
      <c r="V32" s="102">
        <v>7.084E-3</v>
      </c>
      <c r="W32" s="102">
        <v>-2.5599999999999999E-4</v>
      </c>
      <c r="X32" s="102">
        <v>3.1589999999999999E-3</v>
      </c>
      <c r="Y32" s="102">
        <v>5.6300000000000002E-4</v>
      </c>
      <c r="Z32" s="19">
        <f>SUM(S32:Y32)</f>
        <v>1.1855000000000001E-2</v>
      </c>
      <c r="AA32" s="19"/>
    </row>
    <row r="33" spans="1:29" x14ac:dyDescent="0.2">
      <c r="A33" s="44"/>
      <c r="C33" s="3"/>
      <c r="F33" s="65"/>
      <c r="L33" t="s">
        <v>134</v>
      </c>
      <c r="M33" s="19"/>
      <c r="N33" s="19"/>
      <c r="O33" s="19"/>
      <c r="P33" s="19"/>
      <c r="Q33" s="19"/>
      <c r="R33" s="19"/>
      <c r="S33" s="101">
        <v>1.305E-3</v>
      </c>
      <c r="T33" s="167"/>
      <c r="U33" s="120"/>
      <c r="V33" s="102">
        <v>7.084E-3</v>
      </c>
      <c r="W33" s="102">
        <f>W32</f>
        <v>-2.5599999999999999E-4</v>
      </c>
      <c r="X33" s="102">
        <f>X32</f>
        <v>3.1589999999999999E-3</v>
      </c>
      <c r="Y33" s="102">
        <v>5.6300000000000002E-4</v>
      </c>
      <c r="Z33" s="19"/>
      <c r="AA33" s="19"/>
    </row>
    <row r="34" spans="1:29" x14ac:dyDescent="0.2">
      <c r="A34" s="44"/>
      <c r="C34" s="4"/>
      <c r="J34" s="130" t="s">
        <v>135</v>
      </c>
      <c r="L34" s="130" t="s">
        <v>127</v>
      </c>
      <c r="R34" s="118"/>
      <c r="S34" s="101"/>
      <c r="T34" s="166"/>
      <c r="U34" s="6"/>
      <c r="V34" s="102"/>
      <c r="W34" s="102"/>
      <c r="X34" s="102"/>
      <c r="Y34" s="102"/>
      <c r="Z34" s="19"/>
      <c r="AA34" s="19"/>
    </row>
    <row r="35" spans="1:29" x14ac:dyDescent="0.2">
      <c r="A35" s="44"/>
      <c r="C35" s="7"/>
      <c r="G35" s="130"/>
      <c r="K35" s="130" t="s">
        <v>116</v>
      </c>
      <c r="L35" s="130" t="s">
        <v>127</v>
      </c>
      <c r="T35" s="93">
        <v>0</v>
      </c>
    </row>
    <row r="36" spans="1:29" x14ac:dyDescent="0.2">
      <c r="A36" s="44"/>
      <c r="C36" s="7"/>
      <c r="K36" s="130" t="s">
        <v>120</v>
      </c>
      <c r="L36" s="130"/>
      <c r="T36" s="93">
        <v>0</v>
      </c>
    </row>
    <row r="37" spans="1:29" x14ac:dyDescent="0.2">
      <c r="A37" s="44"/>
      <c r="C37" s="7"/>
      <c r="K37" s="130" t="s">
        <v>122</v>
      </c>
      <c r="L37" s="130"/>
      <c r="T37" s="93">
        <v>0</v>
      </c>
    </row>
    <row r="38" spans="1:29" x14ac:dyDescent="0.2">
      <c r="A38" s="44"/>
      <c r="C38" s="7"/>
      <c r="K38" s="130" t="s">
        <v>124</v>
      </c>
      <c r="L38" s="130"/>
      <c r="T38" s="93">
        <v>0</v>
      </c>
    </row>
    <row r="39" spans="1:29" x14ac:dyDescent="0.2">
      <c r="A39" s="44"/>
      <c r="C39" s="7"/>
      <c r="K39" s="130" t="s">
        <v>128</v>
      </c>
      <c r="L39" s="130"/>
      <c r="T39" s="93">
        <v>0</v>
      </c>
    </row>
    <row r="40" spans="1:29" x14ac:dyDescent="0.2">
      <c r="A40" s="44"/>
      <c r="C40" s="7"/>
      <c r="K40" s="130" t="s">
        <v>116</v>
      </c>
      <c r="L40" s="130"/>
      <c r="T40" s="93">
        <v>0</v>
      </c>
    </row>
    <row r="41" spans="1:29" x14ac:dyDescent="0.2">
      <c r="A41" s="44"/>
      <c r="C41" s="7"/>
      <c r="K41" s="130" t="s">
        <v>136</v>
      </c>
      <c r="L41" s="130"/>
      <c r="T41" s="93">
        <v>2.892E-3</v>
      </c>
    </row>
    <row r="42" spans="1:29" x14ac:dyDescent="0.2">
      <c r="B42" s="1"/>
      <c r="C42" s="7"/>
      <c r="F42" s="72">
        <v>12.5</v>
      </c>
      <c r="G42" s="72"/>
      <c r="H42" s="72"/>
      <c r="I42" s="72"/>
      <c r="J42" s="159">
        <v>17</v>
      </c>
      <c r="K42" s="160">
        <v>0.125421</v>
      </c>
      <c r="L42" s="160">
        <v>0.11382200000000001</v>
      </c>
      <c r="S42" s="27">
        <f>+M$3</f>
        <v>1.8E-3</v>
      </c>
      <c r="T42" s="27">
        <f t="shared" ref="T42:Z42" si="0">+R$3</f>
        <v>3.9020000000000001E-3</v>
      </c>
      <c r="U42" s="27">
        <f t="shared" si="0"/>
        <v>1.8929999999999999E-3</v>
      </c>
      <c r="V42" s="27">
        <f t="shared" si="0"/>
        <v>5.4039999999999999E-3</v>
      </c>
      <c r="W42" s="27">
        <f t="shared" si="0"/>
        <v>0</v>
      </c>
      <c r="X42" s="27">
        <f t="shared" si="0"/>
        <v>9.476E-3</v>
      </c>
      <c r="Y42" s="27">
        <f t="shared" si="0"/>
        <v>-5.1900000000000004E-4</v>
      </c>
      <c r="Z42" s="27">
        <f t="shared" si="0"/>
        <v>4.1159999999999999E-3</v>
      </c>
      <c r="AA42" s="27">
        <f>Y3</f>
        <v>7.3200000000000001E-4</v>
      </c>
      <c r="AB42" s="19">
        <f>SUM(U42:Z42)</f>
        <v>2.0369999999999999E-2</v>
      </c>
    </row>
    <row r="43" spans="1:29" x14ac:dyDescent="0.2">
      <c r="A43" s="11"/>
      <c r="F43" s="72"/>
      <c r="G43" s="70"/>
      <c r="H43" s="70"/>
      <c r="I43" s="70"/>
      <c r="J43" s="73">
        <v>325</v>
      </c>
      <c r="K43" s="73">
        <v>500</v>
      </c>
      <c r="L43" s="73"/>
      <c r="M43" s="9"/>
      <c r="N43" s="9"/>
      <c r="O43" s="9"/>
      <c r="P43" s="9"/>
      <c r="Q43" s="9"/>
      <c r="R43" s="9"/>
      <c r="S43" s="10"/>
      <c r="T43" s="10"/>
      <c r="W43" s="10"/>
      <c r="X43" s="10"/>
      <c r="Y43" s="10"/>
      <c r="Z43" s="10"/>
      <c r="AA43" s="10"/>
    </row>
    <row r="44" spans="1:29" x14ac:dyDescent="0.2">
      <c r="C44" s="11"/>
      <c r="D44" s="12"/>
      <c r="F44" s="12"/>
      <c r="J44" s="12" t="s">
        <v>137</v>
      </c>
      <c r="K44" s="258" t="s">
        <v>28</v>
      </c>
      <c r="L44" s="258"/>
      <c r="M44" s="12"/>
      <c r="N44" s="142" t="s">
        <v>138</v>
      </c>
      <c r="O44" s="12"/>
      <c r="P44" s="12"/>
      <c r="Q44" s="12"/>
      <c r="R44" s="12"/>
      <c r="S44" s="12">
        <v>21</v>
      </c>
      <c r="T44" s="12">
        <v>6</v>
      </c>
      <c r="U44" s="12">
        <v>3</v>
      </c>
      <c r="V44" s="12">
        <v>22</v>
      </c>
      <c r="W44" s="12">
        <v>13</v>
      </c>
      <c r="X44" s="12">
        <v>20</v>
      </c>
      <c r="Y44" s="12">
        <v>24</v>
      </c>
      <c r="Z44" s="12">
        <v>25</v>
      </c>
      <c r="AA44" s="12">
        <v>26</v>
      </c>
    </row>
    <row r="45" spans="1:29" x14ac:dyDescent="0.2">
      <c r="A45" s="13" t="s">
        <v>139</v>
      </c>
      <c r="B45" s="14" t="s">
        <v>140</v>
      </c>
      <c r="C45" s="14"/>
      <c r="D45" s="138"/>
      <c r="F45" s="13" t="s">
        <v>141</v>
      </c>
      <c r="G45" s="13" t="s">
        <v>142</v>
      </c>
      <c r="H45" s="13" t="s">
        <v>143</v>
      </c>
      <c r="I45" s="12"/>
      <c r="J45" s="13" t="s">
        <v>144</v>
      </c>
      <c r="K45" s="13" t="s">
        <v>145</v>
      </c>
      <c r="L45" s="13" t="s">
        <v>146</v>
      </c>
      <c r="M45" s="15"/>
      <c r="N45" s="15"/>
      <c r="O45" s="15"/>
      <c r="P45" s="15"/>
      <c r="Q45" s="15"/>
      <c r="R45" s="15"/>
      <c r="S45" s="13" t="s">
        <v>106</v>
      </c>
      <c r="T45" s="13" t="s">
        <v>36</v>
      </c>
      <c r="U45" s="138" t="s">
        <v>38</v>
      </c>
      <c r="V45" s="13" t="s">
        <v>107</v>
      </c>
      <c r="W45" s="13" t="s">
        <v>108</v>
      </c>
      <c r="X45" s="13" t="s">
        <v>109</v>
      </c>
      <c r="Y45" s="138" t="s">
        <v>44</v>
      </c>
      <c r="Z45" s="138" t="s">
        <v>46</v>
      </c>
      <c r="AA45" s="138" t="s">
        <v>48</v>
      </c>
      <c r="AB45" s="66" t="s">
        <v>110</v>
      </c>
    </row>
    <row r="46" spans="1:29" x14ac:dyDescent="0.2">
      <c r="A46" s="1"/>
      <c r="B46" s="34">
        <v>-1</v>
      </c>
      <c r="C46" s="34"/>
      <c r="D46" s="12"/>
      <c r="F46" s="12"/>
      <c r="G46" s="12"/>
      <c r="H46" s="19" t="e">
        <f>IF(ISBLANK(B47),0,+#REF!/B47)</f>
        <v>#REF!</v>
      </c>
      <c r="I46" s="12"/>
      <c r="J46" s="12"/>
      <c r="K46" s="12"/>
      <c r="L46" s="12"/>
      <c r="S46" s="50">
        <v>0</v>
      </c>
      <c r="T46" s="12"/>
      <c r="U46" s="12"/>
      <c r="V46" s="12"/>
      <c r="W46" s="12"/>
      <c r="X46" s="12"/>
      <c r="Y46" s="12"/>
      <c r="Z46" s="12"/>
      <c r="AA46" s="12"/>
    </row>
    <row r="47" spans="1:29" x14ac:dyDescent="0.2">
      <c r="B47" s="103">
        <f>IF(AND('AES Indiana Bill Calc.'!$D$17="RS",'AES Indiana Bill Calc.'!$D$18="No"),'AES Indiana Bill Calc.'!$D$19,-1)</f>
        <v>-1</v>
      </c>
      <c r="C47" s="91" t="s">
        <v>147</v>
      </c>
      <c r="F47" s="36" t="s">
        <v>12</v>
      </c>
      <c r="G47" s="17">
        <f>SUM(J47:M47,O47:P47,R47:AA47)</f>
        <v>12.35</v>
      </c>
      <c r="I47" s="86"/>
      <c r="J47" s="16">
        <f>IF(ISBLANK(B47),0,IF(B47&gt;J$43,+J$42,+F$42))</f>
        <v>12.5</v>
      </c>
      <c r="K47" s="16">
        <f>IF($B47&gt;K$43,ROUND(K$43*K$42,2),ROUND($B47*K$42,2))</f>
        <v>-0.13</v>
      </c>
      <c r="L47" s="16">
        <f>IF($B47&gt;K$43,ROUND(($B47-K$43)*L$42,2),0)</f>
        <v>0</v>
      </c>
      <c r="M47" s="17"/>
      <c r="N47" s="17">
        <f>SUM(K47:L47)</f>
        <v>-0.13</v>
      </c>
      <c r="O47" s="17"/>
      <c r="P47" s="17"/>
      <c r="Q47" s="17"/>
      <c r="S47" s="17">
        <f>ROUND($B47*S$42*S46,2)</f>
        <v>0</v>
      </c>
      <c r="T47" s="17">
        <f t="shared" ref="T47:AA47" si="1">ROUND($B47*T$42,2)</f>
        <v>0</v>
      </c>
      <c r="U47" s="17">
        <f t="shared" si="1"/>
        <v>0</v>
      </c>
      <c r="V47" s="17">
        <f t="shared" si="1"/>
        <v>-0.01</v>
      </c>
      <c r="W47" s="17">
        <f t="shared" si="1"/>
        <v>0</v>
      </c>
      <c r="X47" s="17">
        <f t="shared" si="1"/>
        <v>-0.01</v>
      </c>
      <c r="Y47" s="17">
        <f t="shared" si="1"/>
        <v>0</v>
      </c>
      <c r="Z47" s="17">
        <f t="shared" si="1"/>
        <v>0</v>
      </c>
      <c r="AA47" s="17">
        <f t="shared" si="1"/>
        <v>0</v>
      </c>
      <c r="AB47" s="19">
        <f>SUM(U42:AA42)+S42*S46</f>
        <v>2.1101999999999999E-2</v>
      </c>
      <c r="AC47" s="67" t="str">
        <f>+F47</f>
        <v>RS</v>
      </c>
    </row>
    <row r="48" spans="1:29" x14ac:dyDescent="0.2">
      <c r="A48" s="1"/>
      <c r="B48" s="103">
        <v>-1</v>
      </c>
      <c r="F48" s="36"/>
      <c r="G48" s="17"/>
      <c r="H48" s="19"/>
      <c r="I48" s="19"/>
      <c r="J48" s="16"/>
      <c r="K48" s="16"/>
      <c r="L48" s="16"/>
      <c r="M48" s="17"/>
      <c r="N48" s="17"/>
      <c r="O48" s="17"/>
      <c r="P48" s="17"/>
      <c r="Q48" s="17"/>
      <c r="S48" s="50">
        <v>1</v>
      </c>
      <c r="T48" s="17"/>
      <c r="U48" s="17"/>
      <c r="V48" s="17"/>
      <c r="W48" s="17"/>
      <c r="X48" s="17"/>
      <c r="Y48" s="17"/>
      <c r="Z48" s="17"/>
      <c r="AA48" s="17"/>
    </row>
    <row r="49" spans="1:29" x14ac:dyDescent="0.2">
      <c r="A49" s="145"/>
      <c r="B49" s="103">
        <f>IF(AND('AES Indiana Bill Calc.'!$D$17="RS",'AES Indiana Bill Calc.'!$D$18="Yes 100%"),'AES Indiana Bill Calc.'!$D$19,-1)</f>
        <v>-1</v>
      </c>
      <c r="C49" s="1" t="s">
        <v>148</v>
      </c>
      <c r="F49" s="36" t="s">
        <v>12</v>
      </c>
      <c r="G49" s="17">
        <f>SUM(J49:M49,O49:P49,R49:AA49)</f>
        <v>12.35</v>
      </c>
      <c r="H49" s="19" t="e">
        <f>IF(ISBLANK(B49),0,+#REF!/B49)</f>
        <v>#REF!</v>
      </c>
      <c r="I49" s="19"/>
      <c r="J49" s="16">
        <f>IF(ISBLANK(B49),0,IF(B49&gt;J$43,+J$42,+F$42))</f>
        <v>12.5</v>
      </c>
      <c r="K49" s="110">
        <f>IF($B49&gt;K$43,ROUND(K$43*K$42,2),ROUND($B49*K$42,2))</f>
        <v>-0.13</v>
      </c>
      <c r="L49" s="16">
        <f>IF($B49&gt;K$43,ROUND(($B49-K$43)*L$42,2),0)</f>
        <v>0</v>
      </c>
      <c r="M49" s="17"/>
      <c r="N49" s="17">
        <f>SUM(K49:L49)</f>
        <v>-0.13</v>
      </c>
      <c r="O49" s="17"/>
      <c r="P49" s="17"/>
      <c r="Q49" s="17"/>
      <c r="S49" s="17">
        <f>ROUND($B49*S$42*S48,2)</f>
        <v>0</v>
      </c>
      <c r="T49" s="17">
        <f t="shared" ref="T49:AA49" si="2">ROUND($B49*T$42,2)</f>
        <v>0</v>
      </c>
      <c r="U49" s="17">
        <f t="shared" si="2"/>
        <v>0</v>
      </c>
      <c r="V49" s="17">
        <f t="shared" si="2"/>
        <v>-0.01</v>
      </c>
      <c r="W49" s="17">
        <f t="shared" si="2"/>
        <v>0</v>
      </c>
      <c r="X49" s="17">
        <f t="shared" si="2"/>
        <v>-0.01</v>
      </c>
      <c r="Y49" s="17">
        <f t="shared" si="2"/>
        <v>0</v>
      </c>
      <c r="Z49" s="17">
        <f t="shared" si="2"/>
        <v>0</v>
      </c>
      <c r="AA49" s="17">
        <f t="shared" si="2"/>
        <v>0</v>
      </c>
      <c r="AB49" s="19">
        <f>SUM(U42:AA42)+S42*S48</f>
        <v>2.2901999999999999E-2</v>
      </c>
      <c r="AC49" s="67" t="str">
        <f>+F49</f>
        <v>RS</v>
      </c>
    </row>
    <row r="50" spans="1:29" x14ac:dyDescent="0.2">
      <c r="A50" s="1"/>
      <c r="B50" s="103">
        <v>-1</v>
      </c>
      <c r="F50" s="36"/>
      <c r="G50" s="17"/>
      <c r="H50" s="19"/>
      <c r="I50" s="19"/>
      <c r="J50" s="16"/>
      <c r="K50" s="16"/>
      <c r="L50" s="16"/>
      <c r="M50" s="17"/>
      <c r="N50" s="17"/>
      <c r="O50" s="17"/>
      <c r="P50" s="17"/>
      <c r="Q50" s="17"/>
      <c r="S50" s="50">
        <v>0.5</v>
      </c>
      <c r="T50" s="17"/>
      <c r="U50" s="17"/>
      <c r="V50" s="17"/>
      <c r="W50" s="17"/>
      <c r="X50" s="17"/>
      <c r="Y50" s="17"/>
      <c r="Z50" s="17"/>
      <c r="AA50" s="17"/>
    </row>
    <row r="51" spans="1:29" x14ac:dyDescent="0.2">
      <c r="A51" s="145"/>
      <c r="B51" s="103">
        <f>IF(AND('AES Indiana Bill Calc.'!$D$17="RS",'AES Indiana Bill Calc.'!$D$18="Yes 50%"),'AES Indiana Bill Calc.'!$D$19,-1)</f>
        <v>-1</v>
      </c>
      <c r="C51" s="1" t="s">
        <v>149</v>
      </c>
      <c r="F51" s="36" t="s">
        <v>12</v>
      </c>
      <c r="G51" s="17">
        <f>SUM(J51:M51,O51:P51,R51:AA51)</f>
        <v>12.35</v>
      </c>
      <c r="H51" s="19" t="e">
        <f>IF(ISBLANK(B51),0,+#REF!/B51)</f>
        <v>#REF!</v>
      </c>
      <c r="I51" s="19"/>
      <c r="J51" s="16">
        <f>IF(ISBLANK(B51),0,IF(B51&gt;J$43,+J$42,+F$42))</f>
        <v>12.5</v>
      </c>
      <c r="K51" s="110">
        <f>IF($B51&gt;K$43,ROUND(K$43*K$42,2),ROUND($B51*K$42,2))</f>
        <v>-0.13</v>
      </c>
      <c r="L51" s="16">
        <f>IF($B51&gt;K$43,ROUND(($B51-K$43)*L$42,2),0)</f>
        <v>0</v>
      </c>
      <c r="M51" s="17"/>
      <c r="N51" s="17">
        <f>SUM(K51:L51)</f>
        <v>-0.13</v>
      </c>
      <c r="O51" s="17"/>
      <c r="P51" s="17"/>
      <c r="Q51" s="17"/>
      <c r="S51" s="17">
        <f>ROUND($B51*S$42*S50,2)</f>
        <v>0</v>
      </c>
      <c r="T51" s="17">
        <f t="shared" ref="T51:AA51" si="3">ROUND($B51*T$42,2)</f>
        <v>0</v>
      </c>
      <c r="U51" s="17">
        <f t="shared" si="3"/>
        <v>0</v>
      </c>
      <c r="V51" s="17">
        <f t="shared" si="3"/>
        <v>-0.01</v>
      </c>
      <c r="W51" s="17">
        <f t="shared" si="3"/>
        <v>0</v>
      </c>
      <c r="X51" s="17">
        <f t="shared" si="3"/>
        <v>-0.01</v>
      </c>
      <c r="Y51" s="17">
        <f t="shared" si="3"/>
        <v>0</v>
      </c>
      <c r="Z51" s="17">
        <f t="shared" si="3"/>
        <v>0</v>
      </c>
      <c r="AA51" s="17">
        <f t="shared" si="3"/>
        <v>0</v>
      </c>
      <c r="AB51" s="19">
        <f>SUM(U44:AA44)+S44*S50</f>
        <v>143.5</v>
      </c>
      <c r="AC51" s="67" t="str">
        <f>+F51</f>
        <v>RS</v>
      </c>
    </row>
    <row r="52" spans="1:29" x14ac:dyDescent="0.2">
      <c r="A52" s="1"/>
      <c r="B52" s="103">
        <v>-1</v>
      </c>
      <c r="F52" s="36"/>
      <c r="G52" s="17"/>
      <c r="H52" s="19"/>
      <c r="I52" s="19"/>
      <c r="J52" s="16"/>
      <c r="K52" s="16"/>
      <c r="L52" s="16"/>
      <c r="M52" s="17"/>
      <c r="N52" s="17"/>
      <c r="O52" s="17"/>
      <c r="P52" s="17"/>
      <c r="Q52" s="17"/>
      <c r="S52" s="50">
        <v>0.25</v>
      </c>
      <c r="T52" s="17"/>
      <c r="U52" s="17"/>
      <c r="V52" s="17"/>
      <c r="W52" s="17"/>
      <c r="X52" s="17"/>
      <c r="Y52" s="17"/>
      <c r="Z52" s="17"/>
      <c r="AA52" s="17"/>
    </row>
    <row r="53" spans="1:29" x14ac:dyDescent="0.2">
      <c r="A53" s="145"/>
      <c r="B53" s="103">
        <f>IF(AND('AES Indiana Bill Calc.'!$D$17="RS",'AES Indiana Bill Calc.'!$D$18="Yes 25%"),'AES Indiana Bill Calc.'!$D$19,-1)</f>
        <v>-1</v>
      </c>
      <c r="C53" s="1" t="s">
        <v>150</v>
      </c>
      <c r="F53" s="36" t="s">
        <v>12</v>
      </c>
      <c r="G53" s="17">
        <f>SUM(J53:M53,O53:P53,R53:AA53)</f>
        <v>12.35</v>
      </c>
      <c r="H53" s="19" t="e">
        <f>IF(ISBLANK(B53),0,+#REF!/B53)</f>
        <v>#REF!</v>
      </c>
      <c r="I53" s="19"/>
      <c r="J53" s="16">
        <f>IF(ISBLANK(B53),0,IF(B53&gt;J$43,+J$42,+F$42))</f>
        <v>12.5</v>
      </c>
      <c r="K53" s="110">
        <f>IF($B53&gt;K$43,ROUND(K$43*K$42,2),ROUND($B53*K$42,2))</f>
        <v>-0.13</v>
      </c>
      <c r="L53" s="16">
        <f>IF($B53&gt;K$43,ROUND(($B53-K$43)*L$42,2),0)</f>
        <v>0</v>
      </c>
      <c r="M53" s="17"/>
      <c r="N53" s="17">
        <f>SUM(K53:L53)</f>
        <v>-0.13</v>
      </c>
      <c r="O53" s="17"/>
      <c r="P53" s="17"/>
      <c r="Q53" s="17"/>
      <c r="S53" s="17">
        <f>ROUND($B53*S$42*S52,2)</f>
        <v>0</v>
      </c>
      <c r="T53" s="17">
        <f t="shared" ref="T53:AA53" si="4">ROUND($B53*T$42,2)</f>
        <v>0</v>
      </c>
      <c r="U53" s="17">
        <f t="shared" si="4"/>
        <v>0</v>
      </c>
      <c r="V53" s="17">
        <f t="shared" si="4"/>
        <v>-0.01</v>
      </c>
      <c r="W53" s="17">
        <f t="shared" si="4"/>
        <v>0</v>
      </c>
      <c r="X53" s="17">
        <f t="shared" si="4"/>
        <v>-0.01</v>
      </c>
      <c r="Y53" s="17">
        <f t="shared" si="4"/>
        <v>0</v>
      </c>
      <c r="Z53" s="17">
        <f t="shared" si="4"/>
        <v>0</v>
      </c>
      <c r="AA53" s="17">
        <f t="shared" si="4"/>
        <v>0</v>
      </c>
      <c r="AB53" s="19">
        <f>SUM(U46:AA46)+S46*S52</f>
        <v>0</v>
      </c>
      <c r="AC53" s="67" t="str">
        <f>+F53</f>
        <v>RS</v>
      </c>
    </row>
    <row r="54" spans="1:29" x14ac:dyDescent="0.2">
      <c r="B54" s="103">
        <v>-1</v>
      </c>
      <c r="C54" s="78"/>
      <c r="G54" s="17"/>
      <c r="H54" s="19"/>
      <c r="I54" s="19"/>
      <c r="J54" s="16"/>
      <c r="K54" s="16"/>
      <c r="L54" s="16"/>
      <c r="M54" s="17"/>
      <c r="N54" s="17"/>
      <c r="O54" s="17"/>
      <c r="P54" s="17"/>
      <c r="Q54" s="17"/>
      <c r="R54" s="17"/>
      <c r="S54" s="17"/>
      <c r="T54" s="17"/>
      <c r="U54" s="17"/>
      <c r="V54" s="17"/>
      <c r="W54" s="17"/>
      <c r="X54" s="17"/>
      <c r="Y54" s="17"/>
      <c r="Z54" s="17"/>
      <c r="AA54" s="17"/>
    </row>
    <row r="55" spans="1:29" ht="13.5" thickBot="1" x14ac:dyDescent="0.25">
      <c r="A55" s="21"/>
      <c r="B55" s="106">
        <v>-1</v>
      </c>
      <c r="C55" s="28"/>
      <c r="D55" s="21"/>
      <c r="F55" s="21"/>
      <c r="G55" s="23"/>
      <c r="H55" s="25"/>
      <c r="I55" s="19"/>
      <c r="J55" s="22"/>
      <c r="K55" s="22"/>
      <c r="L55" s="22"/>
      <c r="M55" s="23"/>
      <c r="N55" s="23"/>
      <c r="O55" s="23"/>
      <c r="P55" s="23"/>
      <c r="Q55" s="23"/>
      <c r="R55" s="23"/>
      <c r="S55" s="23"/>
      <c r="T55" s="23"/>
      <c r="U55" s="23"/>
      <c r="V55" s="23"/>
      <c r="W55" s="23"/>
      <c r="X55" s="23"/>
      <c r="Y55" s="23"/>
      <c r="Z55" s="23"/>
      <c r="AA55" s="23"/>
      <c r="AB55" s="21"/>
    </row>
    <row r="56" spans="1:29" x14ac:dyDescent="0.2">
      <c r="B56" s="103">
        <v>-1</v>
      </c>
      <c r="C56" s="40"/>
      <c r="G56" s="42"/>
      <c r="H56" s="19"/>
      <c r="I56" s="19"/>
      <c r="J56" s="82"/>
      <c r="K56" s="82"/>
      <c r="L56" s="82"/>
      <c r="M56" s="42"/>
      <c r="N56" s="42"/>
      <c r="O56" s="42"/>
      <c r="P56" s="42"/>
      <c r="Q56" s="42"/>
      <c r="R56" s="42"/>
      <c r="S56" s="42"/>
      <c r="T56" s="42"/>
      <c r="U56" s="42"/>
      <c r="V56" s="42"/>
      <c r="W56" s="42"/>
      <c r="X56" s="42"/>
      <c r="Y56" s="42"/>
      <c r="Z56" s="42"/>
      <c r="AA56" s="42"/>
    </row>
    <row r="57" spans="1:29" x14ac:dyDescent="0.2">
      <c r="B57" s="103">
        <v>-1</v>
      </c>
      <c r="C57" s="7"/>
      <c r="H57" s="19"/>
      <c r="I57" s="19"/>
      <c r="J57" s="16"/>
      <c r="K57" s="16"/>
      <c r="L57" s="16"/>
      <c r="M57" s="17"/>
      <c r="N57" s="17"/>
      <c r="O57" s="17"/>
      <c r="P57" s="17"/>
      <c r="Q57" s="17"/>
      <c r="R57" s="7"/>
      <c r="S57" s="6"/>
      <c r="T57" s="6"/>
      <c r="U57" s="6"/>
      <c r="V57" s="6"/>
      <c r="W57" s="6"/>
      <c r="X57" s="6"/>
      <c r="Y57" s="6"/>
      <c r="Z57" s="6"/>
      <c r="AA57" s="6"/>
    </row>
    <row r="58" spans="1:29" x14ac:dyDescent="0.2">
      <c r="B58" s="103">
        <v>-1</v>
      </c>
      <c r="C58" s="26"/>
      <c r="F58" s="72">
        <v>12.5</v>
      </c>
      <c r="G58" s="72">
        <f t="shared" ref="G58:I58" si="5">G72</f>
        <v>0</v>
      </c>
      <c r="H58" s="72">
        <f t="shared" si="5"/>
        <v>0</v>
      </c>
      <c r="I58" s="72">
        <f t="shared" si="5"/>
        <v>0</v>
      </c>
      <c r="J58" s="159">
        <v>17</v>
      </c>
      <c r="K58" s="160">
        <v>0.125421</v>
      </c>
      <c r="L58" s="160">
        <v>0.11382200000000001</v>
      </c>
      <c r="M58" s="160">
        <v>0.101408</v>
      </c>
      <c r="N58" s="71"/>
      <c r="O58" s="71"/>
      <c r="P58" s="71"/>
      <c r="Q58" s="71"/>
      <c r="S58" s="27">
        <f>+M$3</f>
        <v>1.8E-3</v>
      </c>
      <c r="T58" s="27">
        <f t="shared" ref="T58:AA58" si="6">+R$3</f>
        <v>3.9020000000000001E-3</v>
      </c>
      <c r="U58" s="27">
        <f t="shared" si="6"/>
        <v>1.8929999999999999E-3</v>
      </c>
      <c r="V58" s="27">
        <f t="shared" si="6"/>
        <v>5.4039999999999999E-3</v>
      </c>
      <c r="W58" s="27">
        <f t="shared" si="6"/>
        <v>0</v>
      </c>
      <c r="X58" s="27">
        <f t="shared" si="6"/>
        <v>9.476E-3</v>
      </c>
      <c r="Y58" s="27">
        <f t="shared" si="6"/>
        <v>-5.1900000000000004E-4</v>
      </c>
      <c r="Z58" s="27">
        <f t="shared" si="6"/>
        <v>4.1159999999999999E-3</v>
      </c>
      <c r="AA58" s="27">
        <f t="shared" si="6"/>
        <v>7.3200000000000001E-4</v>
      </c>
      <c r="AB58" s="19">
        <f>SUM(U58:Z58)</f>
        <v>2.0369999999999999E-2</v>
      </c>
    </row>
    <row r="59" spans="1:29" x14ac:dyDescent="0.2">
      <c r="A59" s="11"/>
      <c r="B59" s="103">
        <v>-1</v>
      </c>
      <c r="F59" s="72"/>
      <c r="G59" s="70"/>
      <c r="H59" s="70"/>
      <c r="I59" s="70"/>
      <c r="J59" s="73">
        <v>325</v>
      </c>
      <c r="K59" s="73">
        <v>500</v>
      </c>
      <c r="L59" s="73">
        <v>500</v>
      </c>
      <c r="M59" s="73">
        <v>1000</v>
      </c>
      <c r="N59" s="73"/>
      <c r="O59" s="73"/>
      <c r="P59" s="73"/>
      <c r="Q59" s="73"/>
      <c r="S59" s="27"/>
      <c r="T59" s="27"/>
      <c r="U59" s="27"/>
      <c r="V59" s="27"/>
      <c r="W59" s="27"/>
      <c r="X59" s="27"/>
      <c r="Y59" s="27"/>
      <c r="Z59" s="27"/>
      <c r="AA59" s="27"/>
    </row>
    <row r="60" spans="1:29" x14ac:dyDescent="0.2">
      <c r="B60" s="103">
        <v>-1</v>
      </c>
      <c r="C60" s="11"/>
      <c r="D60" s="12"/>
      <c r="F60" s="12"/>
      <c r="J60" s="12" t="s">
        <v>137</v>
      </c>
      <c r="K60" s="258" t="s">
        <v>28</v>
      </c>
      <c r="L60" s="258"/>
      <c r="M60" s="258"/>
      <c r="N60" s="12"/>
      <c r="O60" s="12"/>
      <c r="P60" s="12"/>
      <c r="Q60" s="12"/>
      <c r="R60" s="12"/>
      <c r="S60" s="12">
        <v>21</v>
      </c>
      <c r="T60" s="12">
        <v>6</v>
      </c>
      <c r="U60" s="12">
        <v>3</v>
      </c>
      <c r="V60" s="12">
        <v>22</v>
      </c>
      <c r="W60" s="12">
        <v>13</v>
      </c>
      <c r="X60" s="12">
        <v>20</v>
      </c>
      <c r="Y60" s="12">
        <v>24</v>
      </c>
      <c r="Z60" s="12">
        <v>25</v>
      </c>
      <c r="AA60" s="12">
        <v>26</v>
      </c>
    </row>
    <row r="61" spans="1:29" x14ac:dyDescent="0.2">
      <c r="A61" s="13"/>
      <c r="B61" s="14">
        <v>-1</v>
      </c>
      <c r="C61" s="14"/>
      <c r="D61" s="13"/>
      <c r="F61" s="13" t="s">
        <v>141</v>
      </c>
      <c r="G61" s="13" t="s">
        <v>142</v>
      </c>
      <c r="H61" s="13" t="s">
        <v>143</v>
      </c>
      <c r="I61" s="12"/>
      <c r="J61" s="13" t="s">
        <v>144</v>
      </c>
      <c r="K61" s="13" t="s">
        <v>145</v>
      </c>
      <c r="L61" s="13" t="s">
        <v>151</v>
      </c>
      <c r="M61" s="13" t="s">
        <v>152</v>
      </c>
      <c r="N61" s="13"/>
      <c r="O61" s="13"/>
      <c r="P61" s="13"/>
      <c r="Q61" s="13"/>
      <c r="R61" s="15"/>
      <c r="S61" s="13" t="s">
        <v>106</v>
      </c>
      <c r="T61" s="13" t="s">
        <v>36</v>
      </c>
      <c r="U61" s="138" t="s">
        <v>38</v>
      </c>
      <c r="V61" s="13" t="s">
        <v>107</v>
      </c>
      <c r="W61" s="13" t="s">
        <v>108</v>
      </c>
      <c r="X61" s="13" t="s">
        <v>109</v>
      </c>
      <c r="Y61" s="138" t="s">
        <v>44</v>
      </c>
      <c r="Z61" s="138" t="s">
        <v>46</v>
      </c>
      <c r="AA61" s="138" t="s">
        <v>48</v>
      </c>
      <c r="AB61" s="66" t="s">
        <v>110</v>
      </c>
    </row>
    <row r="62" spans="1:29" x14ac:dyDescent="0.2">
      <c r="A62" s="1"/>
      <c r="B62" s="103">
        <v>-1</v>
      </c>
      <c r="C62" s="34"/>
      <c r="D62" s="12"/>
      <c r="F62" s="12"/>
      <c r="G62" s="12"/>
      <c r="H62" s="12"/>
      <c r="I62" s="12"/>
      <c r="J62" s="12"/>
      <c r="K62" s="12"/>
      <c r="L62" s="12"/>
      <c r="M62" s="12"/>
      <c r="N62" s="12"/>
      <c r="O62" s="12"/>
      <c r="P62" s="12"/>
      <c r="Q62" s="12"/>
      <c r="S62" s="50">
        <v>0.25</v>
      </c>
      <c r="T62" s="12"/>
      <c r="U62" s="12"/>
      <c r="V62" s="12"/>
      <c r="W62" s="12"/>
      <c r="X62" s="12"/>
      <c r="Y62" s="12"/>
      <c r="Z62" s="12"/>
      <c r="AA62" s="12"/>
    </row>
    <row r="63" spans="1:29" x14ac:dyDescent="0.2">
      <c r="B63" s="103">
        <f>IF(AND('AES Indiana Bill Calc.'!$D$17="RC",'AES Indiana Bill Calc.'!$D$18="Yes 25%"),'AES Indiana Bill Calc.'!$D$19,-1)</f>
        <v>-1</v>
      </c>
      <c r="C63" s="78" t="s">
        <v>150</v>
      </c>
      <c r="F63" s="36" t="s">
        <v>52</v>
      </c>
      <c r="G63" s="17">
        <f>SUM(J63:M63,O63:P63,R63:AA63)</f>
        <v>12.35</v>
      </c>
      <c r="H63" s="19" t="e">
        <f>IF(ISBLANK(B63),0,+#REF!/B63)</f>
        <v>#REF!</v>
      </c>
      <c r="I63" s="19"/>
      <c r="J63" s="16">
        <f>IF(ISBLANK(B63),0,IF(B63&gt;J$59,+J$58,+F$58))</f>
        <v>12.5</v>
      </c>
      <c r="K63" s="16">
        <f>IF($B63&gt;K$59,ROUND(K$59*K$58,2),ROUND($B63*K$58,2))</f>
        <v>-0.13</v>
      </c>
      <c r="L63" s="16">
        <f>IF($B63&lt;K$59,0,IF($B63&gt;SUM(K$59:L$59),ROUND(L$59*L$58,2),ROUND(($B63-K$59)*L$58,2)))</f>
        <v>0</v>
      </c>
      <c r="M63" s="16">
        <f>IF($B63&gt;M$59,ROUND(($B63-M$59)*M$58,2),0)</f>
        <v>0</v>
      </c>
      <c r="N63" s="17">
        <f>SUM(K63:M63)</f>
        <v>-0.13</v>
      </c>
      <c r="O63" s="16"/>
      <c r="P63" s="16"/>
      <c r="Q63" s="16"/>
      <c r="S63" s="17">
        <f>ROUND($B63*S$58*S62,2)</f>
        <v>0</v>
      </c>
      <c r="T63" s="17">
        <f>ROUND($B63*T$58,2)</f>
        <v>0</v>
      </c>
      <c r="U63" s="17">
        <f t="shared" ref="U63:AA69" si="7">ROUND($B63*U$58,2)</f>
        <v>0</v>
      </c>
      <c r="V63" s="17">
        <f t="shared" si="7"/>
        <v>-0.01</v>
      </c>
      <c r="W63" s="17">
        <f t="shared" si="7"/>
        <v>0</v>
      </c>
      <c r="X63" s="17">
        <f t="shared" si="7"/>
        <v>-0.01</v>
      </c>
      <c r="Y63" s="17">
        <f t="shared" si="7"/>
        <v>0</v>
      </c>
      <c r="Z63" s="17">
        <f t="shared" si="7"/>
        <v>0</v>
      </c>
      <c r="AA63" s="17">
        <f t="shared" si="7"/>
        <v>0</v>
      </c>
      <c r="AB63" s="19">
        <f>SUM(U58:AA58)</f>
        <v>2.1101999999999999E-2</v>
      </c>
      <c r="AC63" s="67" t="str">
        <f>+F63</f>
        <v>RC</v>
      </c>
    </row>
    <row r="64" spans="1:29" x14ac:dyDescent="0.2">
      <c r="A64" s="1"/>
      <c r="B64" s="103">
        <v>-1</v>
      </c>
      <c r="F64" s="36"/>
      <c r="G64" s="17"/>
      <c r="H64" s="19"/>
      <c r="I64" s="19"/>
      <c r="J64" s="16"/>
      <c r="K64" s="16"/>
      <c r="L64" s="16"/>
      <c r="M64" s="16"/>
      <c r="N64" s="16"/>
      <c r="O64" s="16"/>
      <c r="P64" s="16"/>
      <c r="Q64" s="16"/>
      <c r="S64" s="50">
        <v>0.5</v>
      </c>
      <c r="T64" s="17"/>
      <c r="U64" s="17"/>
      <c r="V64" s="17"/>
      <c r="W64" s="17"/>
      <c r="X64" s="17"/>
      <c r="Y64" s="17"/>
      <c r="Z64" s="17"/>
      <c r="AA64" s="17"/>
    </row>
    <row r="65" spans="1:29" x14ac:dyDescent="0.2">
      <c r="B65" s="103">
        <f>IF(AND('AES Indiana Bill Calc.'!$D$17="RC",'AES Indiana Bill Calc.'!$D$18="Yes 50%"),'AES Indiana Bill Calc.'!$D$19,-1)</f>
        <v>-1</v>
      </c>
      <c r="C65" s="1" t="s">
        <v>153</v>
      </c>
      <c r="F65" s="36" t="s">
        <v>52</v>
      </c>
      <c r="G65" s="17">
        <f>SUM(J65:M65,O65:P65,R65:AA65)</f>
        <v>12.35</v>
      </c>
      <c r="H65" s="19" t="e">
        <f>IF(ISBLANK(B65),0,+#REF!/B65)</f>
        <v>#REF!</v>
      </c>
      <c r="J65" s="16">
        <f>IF(ISBLANK(B65),0,IF(B65&gt;J$59,+J$58,+F$58))</f>
        <v>12.5</v>
      </c>
      <c r="K65" s="16">
        <f>IF($B65&gt;K$59,ROUND(K$59*K$58,2),ROUND($B65*K$58,2))</f>
        <v>-0.13</v>
      </c>
      <c r="L65" s="16">
        <f>IF($B65&lt;K$59,0,IF($B65&gt;SUM(K$59:L$59),ROUND(L$59*L$58,2),ROUND(($B65-K$59)*L$58,2)))</f>
        <v>0</v>
      </c>
      <c r="M65" s="16">
        <f>IF($B65&gt;M$59,ROUND(($B65-M$59)*M$58,2),0)</f>
        <v>0</v>
      </c>
      <c r="N65" s="17">
        <f>SUM(K65:M65)</f>
        <v>-0.13</v>
      </c>
      <c r="O65" s="16"/>
      <c r="P65" s="16"/>
      <c r="Q65" s="16"/>
      <c r="S65" s="17">
        <f>ROUND($B65*S$58*S64,2)</f>
        <v>0</v>
      </c>
      <c r="T65" s="17">
        <f>ROUND($B65*T$58,2)</f>
        <v>0</v>
      </c>
      <c r="U65" s="17">
        <f t="shared" si="7"/>
        <v>0</v>
      </c>
      <c r="V65" s="17">
        <f t="shared" si="7"/>
        <v>-0.01</v>
      </c>
      <c r="W65" s="17">
        <f t="shared" si="7"/>
        <v>0</v>
      </c>
      <c r="X65" s="17">
        <f t="shared" si="7"/>
        <v>-0.01</v>
      </c>
      <c r="Y65" s="17">
        <f t="shared" si="7"/>
        <v>0</v>
      </c>
      <c r="Z65" s="17">
        <f t="shared" si="7"/>
        <v>0</v>
      </c>
      <c r="AA65" s="17">
        <f t="shared" si="7"/>
        <v>0</v>
      </c>
      <c r="AB65" s="19">
        <f>SUM(U58:AA58)+S58*S64</f>
        <v>2.2002000000000001E-2</v>
      </c>
      <c r="AC65" s="67" t="str">
        <f>+F65</f>
        <v>RC</v>
      </c>
    </row>
    <row r="66" spans="1:29" x14ac:dyDescent="0.2">
      <c r="A66" s="1"/>
      <c r="B66" s="103">
        <v>-1</v>
      </c>
      <c r="F66" s="36"/>
      <c r="G66" s="17"/>
      <c r="H66" s="19"/>
      <c r="I66" s="19"/>
      <c r="J66" s="16"/>
      <c r="K66" s="16"/>
      <c r="L66" s="16"/>
      <c r="M66" s="16"/>
      <c r="N66" s="16"/>
      <c r="O66" s="16"/>
      <c r="P66" s="16"/>
      <c r="Q66" s="16"/>
      <c r="S66" s="50">
        <v>0</v>
      </c>
      <c r="T66" s="17"/>
      <c r="U66" s="17"/>
      <c r="V66" s="17"/>
      <c r="W66" s="17"/>
      <c r="X66" s="17"/>
      <c r="Y66" s="17"/>
      <c r="Z66" s="17"/>
      <c r="AA66" s="17"/>
    </row>
    <row r="67" spans="1:29" x14ac:dyDescent="0.2">
      <c r="B67" s="103">
        <f>IF(AND('AES Indiana Bill Calc.'!$D$17="RC",'AES Indiana Bill Calc.'!$D$18="No"),'AES Indiana Bill Calc.'!$D$19,-1)</f>
        <v>-1</v>
      </c>
      <c r="C67" s="1" t="s">
        <v>147</v>
      </c>
      <c r="F67" s="36" t="s">
        <v>52</v>
      </c>
      <c r="G67" s="17">
        <f>SUM(J67:M67,O67:P67,R67:AA67)</f>
        <v>12.35</v>
      </c>
      <c r="H67" s="19" t="e">
        <f>IF(ISBLANK(B67),0,+#REF!/B67)</f>
        <v>#REF!</v>
      </c>
      <c r="J67" s="16">
        <f>IF(ISBLANK(B67),0,IF(B67&gt;J$59,+J$58,+F$58))</f>
        <v>12.5</v>
      </c>
      <c r="K67" s="16">
        <f>IF($B67&gt;K$59,ROUND(K$59*K$58,2),ROUND($B67*K$58,2))</f>
        <v>-0.13</v>
      </c>
      <c r="L67" s="16">
        <f>IF($B67&lt;K$59,0,IF($B67&gt;SUM(K$59:L$59),ROUND(L$59*L$58,2),ROUND(($B67-K$59)*L$58,2)))</f>
        <v>0</v>
      </c>
      <c r="M67" s="16">
        <f>IF($B67&gt;M$59,ROUND(($B67-M$59)*M$58,2),0)</f>
        <v>0</v>
      </c>
      <c r="N67" s="17">
        <f>SUM(K67:M67)</f>
        <v>-0.13</v>
      </c>
      <c r="O67" s="16"/>
      <c r="P67" s="16"/>
      <c r="Q67" s="16"/>
      <c r="S67" s="17">
        <f>ROUND($B67*S$58*S66,2)</f>
        <v>0</v>
      </c>
      <c r="T67" s="17">
        <f>ROUND($B67*T$58,2)</f>
        <v>0</v>
      </c>
      <c r="U67" s="17">
        <f t="shared" si="7"/>
        <v>0</v>
      </c>
      <c r="V67" s="17">
        <f t="shared" si="7"/>
        <v>-0.01</v>
      </c>
      <c r="W67" s="17">
        <f t="shared" si="7"/>
        <v>0</v>
      </c>
      <c r="X67" s="17">
        <f t="shared" si="7"/>
        <v>-0.01</v>
      </c>
      <c r="Y67" s="17">
        <f t="shared" si="7"/>
        <v>0</v>
      </c>
      <c r="Z67" s="17">
        <f t="shared" si="7"/>
        <v>0</v>
      </c>
      <c r="AA67" s="17">
        <f t="shared" si="7"/>
        <v>0</v>
      </c>
      <c r="AB67" s="19">
        <f>SUM(U60:AA60)+S60*S66</f>
        <v>133</v>
      </c>
      <c r="AC67" s="67" t="str">
        <f>+F67</f>
        <v>RC</v>
      </c>
    </row>
    <row r="68" spans="1:29" x14ac:dyDescent="0.2">
      <c r="A68" s="1"/>
      <c r="B68" s="103">
        <v>-1</v>
      </c>
      <c r="F68" s="36"/>
      <c r="G68" s="17"/>
      <c r="H68" s="19"/>
      <c r="I68" s="19"/>
      <c r="J68" s="16"/>
      <c r="K68" s="16"/>
      <c r="L68" s="16"/>
      <c r="M68" s="16"/>
      <c r="N68" s="16"/>
      <c r="O68" s="16"/>
      <c r="P68" s="16"/>
      <c r="Q68" s="16"/>
      <c r="S68" s="50">
        <v>1</v>
      </c>
      <c r="T68" s="17"/>
      <c r="U68" s="17"/>
      <c r="V68" s="17"/>
      <c r="W68" s="17"/>
      <c r="X68" s="17"/>
      <c r="Y68" s="17"/>
      <c r="Z68" s="17"/>
      <c r="AA68" s="17"/>
    </row>
    <row r="69" spans="1:29" x14ac:dyDescent="0.2">
      <c r="B69" s="103">
        <f>IF(AND('AES Indiana Bill Calc.'!$D$17="RC",'AES Indiana Bill Calc.'!$D$18="Yes 100%"),'AES Indiana Bill Calc.'!$D$19,-1)</f>
        <v>-1</v>
      </c>
      <c r="C69" s="1" t="s">
        <v>148</v>
      </c>
      <c r="F69" s="36" t="s">
        <v>52</v>
      </c>
      <c r="G69" s="17">
        <f>SUM(J69:M69,O69:P69,R69:AA69)</f>
        <v>12.35</v>
      </c>
      <c r="H69" s="19" t="e">
        <f>IF(ISBLANK(B69),0,+#REF!/B69)</f>
        <v>#REF!</v>
      </c>
      <c r="J69" s="16">
        <f>IF(ISBLANK(B69),0,IF(B69&gt;J$59,+J$58,+F$58))</f>
        <v>12.5</v>
      </c>
      <c r="K69" s="16">
        <f>IF($B69&gt;K$59,ROUND(K$59*K$58,2),ROUND($B69*K$58,2))</f>
        <v>-0.13</v>
      </c>
      <c r="L69" s="16">
        <f>IF($B69&lt;K$59,0,IF($B69&gt;SUM(K$59:L$59),ROUND(L$59*L$58,2),ROUND(($B69-K$59)*L$58,2)))</f>
        <v>0</v>
      </c>
      <c r="M69" s="16">
        <f>IF($B69&gt;M$59,ROUND(($B69-M$59)*M$58,2),0)</f>
        <v>0</v>
      </c>
      <c r="N69" s="17">
        <f>SUM(K69:M69)</f>
        <v>-0.13</v>
      </c>
      <c r="O69" s="16"/>
      <c r="P69" s="16"/>
      <c r="Q69" s="16"/>
      <c r="S69" s="17">
        <f>ROUND($B69*S$58*S68,2)</f>
        <v>0</v>
      </c>
      <c r="T69" s="17">
        <f>ROUND($B69*T$58,2)</f>
        <v>0</v>
      </c>
      <c r="U69" s="17">
        <f t="shared" si="7"/>
        <v>0</v>
      </c>
      <c r="V69" s="17">
        <f t="shared" si="7"/>
        <v>-0.01</v>
      </c>
      <c r="W69" s="17">
        <f t="shared" si="7"/>
        <v>0</v>
      </c>
      <c r="X69" s="17">
        <f t="shared" si="7"/>
        <v>-0.01</v>
      </c>
      <c r="Y69" s="17">
        <f t="shared" si="7"/>
        <v>0</v>
      </c>
      <c r="Z69" s="17">
        <f t="shared" si="7"/>
        <v>0</v>
      </c>
      <c r="AA69" s="17">
        <f t="shared" si="7"/>
        <v>0</v>
      </c>
      <c r="AB69" s="19">
        <f>SUM(U62:AA62)+S62*S68</f>
        <v>0.25</v>
      </c>
      <c r="AC69" s="67" t="str">
        <f>+F69</f>
        <v>RC</v>
      </c>
    </row>
    <row r="70" spans="1:29" x14ac:dyDescent="0.2">
      <c r="B70" s="103">
        <v>-1</v>
      </c>
      <c r="G70" s="17"/>
      <c r="H70" s="19"/>
      <c r="I70" s="19"/>
      <c r="J70" s="8"/>
      <c r="K70" s="16"/>
      <c r="L70" s="16"/>
      <c r="M70" s="17"/>
      <c r="N70" s="17"/>
      <c r="O70" s="17"/>
      <c r="P70" s="17"/>
      <c r="Q70" s="17"/>
      <c r="R70" s="17"/>
      <c r="S70" s="17"/>
      <c r="T70" s="17"/>
      <c r="U70" s="17"/>
      <c r="V70" s="17"/>
      <c r="W70" s="17"/>
      <c r="X70" s="17"/>
      <c r="Y70" s="17"/>
      <c r="Z70" s="17"/>
      <c r="AA70" s="17"/>
    </row>
    <row r="71" spans="1:29" x14ac:dyDescent="0.2">
      <c r="B71" s="103">
        <v>-1</v>
      </c>
      <c r="C71" s="4"/>
      <c r="H71" s="19"/>
      <c r="I71" s="19"/>
      <c r="J71" s="8"/>
      <c r="K71" s="16"/>
      <c r="L71" s="16"/>
      <c r="M71" s="17"/>
      <c r="N71" s="17"/>
      <c r="O71" s="17"/>
      <c r="P71" s="17"/>
      <c r="Q71" s="17"/>
      <c r="R71" s="17"/>
      <c r="S71" s="6"/>
      <c r="T71" s="6"/>
      <c r="U71" s="6"/>
      <c r="V71" s="6"/>
      <c r="W71" s="6"/>
      <c r="X71" s="6"/>
      <c r="Y71" s="6"/>
      <c r="Z71" s="6"/>
      <c r="AA71" s="6"/>
    </row>
    <row r="72" spans="1:29" x14ac:dyDescent="0.2">
      <c r="B72" s="103">
        <v>-1</v>
      </c>
      <c r="C72" s="4"/>
      <c r="F72" s="72">
        <f>F58</f>
        <v>12.5</v>
      </c>
      <c r="G72" s="72"/>
      <c r="H72" s="72"/>
      <c r="I72" s="72"/>
      <c r="J72" s="159">
        <f>J58</f>
        <v>17</v>
      </c>
      <c r="K72" s="160">
        <f>K58</f>
        <v>0.125421</v>
      </c>
      <c r="L72" s="160">
        <f>L58</f>
        <v>0.11382200000000001</v>
      </c>
      <c r="M72" s="160">
        <f>M58</f>
        <v>0.101408</v>
      </c>
      <c r="N72" s="71"/>
      <c r="O72" s="71"/>
      <c r="P72" s="71"/>
      <c r="Q72" s="71"/>
      <c r="R72" s="5"/>
      <c r="S72" s="27">
        <f>+M$3</f>
        <v>1.8E-3</v>
      </c>
      <c r="T72" s="27">
        <f t="shared" ref="T72:AA72" si="8">+R$3</f>
        <v>3.9020000000000001E-3</v>
      </c>
      <c r="U72" s="27">
        <f t="shared" si="8"/>
        <v>1.8929999999999999E-3</v>
      </c>
      <c r="V72" s="27">
        <f t="shared" si="8"/>
        <v>5.4039999999999999E-3</v>
      </c>
      <c r="W72" s="27">
        <f t="shared" si="8"/>
        <v>0</v>
      </c>
      <c r="X72" s="27">
        <f t="shared" si="8"/>
        <v>9.476E-3</v>
      </c>
      <c r="Y72" s="27">
        <f t="shared" si="8"/>
        <v>-5.1900000000000004E-4</v>
      </c>
      <c r="Z72" s="27">
        <f t="shared" si="8"/>
        <v>4.1159999999999999E-3</v>
      </c>
      <c r="AA72" s="27">
        <f t="shared" si="8"/>
        <v>7.3200000000000001E-4</v>
      </c>
      <c r="AB72" s="19">
        <f>SUM(U72:Z72)</f>
        <v>2.0369999999999999E-2</v>
      </c>
    </row>
    <row r="73" spans="1:29" x14ac:dyDescent="0.2">
      <c r="A73" s="11"/>
      <c r="B73" s="103">
        <v>-1</v>
      </c>
      <c r="F73" s="72"/>
      <c r="G73" s="74"/>
      <c r="H73" s="75"/>
      <c r="I73" s="75"/>
      <c r="J73" s="73">
        <v>325</v>
      </c>
      <c r="K73" s="73">
        <v>500</v>
      </c>
      <c r="L73" s="73">
        <v>500</v>
      </c>
      <c r="M73" s="73">
        <v>1000</v>
      </c>
      <c r="N73" s="73"/>
      <c r="O73" s="73"/>
      <c r="P73" s="73"/>
      <c r="Q73" s="73"/>
      <c r="R73" s="9"/>
      <c r="S73" s="17"/>
      <c r="T73" s="17"/>
      <c r="U73" s="17"/>
      <c r="V73" s="17"/>
      <c r="W73" s="17"/>
      <c r="X73" s="17"/>
      <c r="Y73" s="17"/>
      <c r="Z73" s="17"/>
      <c r="AA73" s="17"/>
    </row>
    <row r="74" spans="1:29" x14ac:dyDescent="0.2">
      <c r="B74" s="103">
        <v>-1</v>
      </c>
      <c r="C74" s="29"/>
      <c r="F74" s="12"/>
      <c r="J74" s="12" t="s">
        <v>137</v>
      </c>
      <c r="K74" s="258" t="s">
        <v>28</v>
      </c>
      <c r="L74" s="258"/>
      <c r="M74" s="258"/>
      <c r="N74" s="12"/>
      <c r="O74" s="12"/>
      <c r="P74" s="12"/>
      <c r="Q74" s="12"/>
      <c r="R74" s="12"/>
      <c r="S74" s="12">
        <v>21</v>
      </c>
      <c r="T74" s="12">
        <v>6</v>
      </c>
      <c r="U74" s="12">
        <v>3</v>
      </c>
      <c r="V74" s="12">
        <v>22</v>
      </c>
      <c r="W74" s="12">
        <v>13</v>
      </c>
      <c r="X74" s="12">
        <v>20</v>
      </c>
      <c r="Y74" s="12">
        <v>24</v>
      </c>
      <c r="Z74" s="12">
        <v>25</v>
      </c>
      <c r="AA74" s="12">
        <v>26</v>
      </c>
    </row>
    <row r="75" spans="1:29" x14ac:dyDescent="0.2">
      <c r="A75" s="13"/>
      <c r="B75" s="14">
        <v>-1</v>
      </c>
      <c r="C75" s="14"/>
      <c r="D75" s="15"/>
      <c r="F75" s="13" t="s">
        <v>141</v>
      </c>
      <c r="G75" s="13" t="s">
        <v>142</v>
      </c>
      <c r="H75" s="13" t="s">
        <v>143</v>
      </c>
      <c r="I75" s="12"/>
      <c r="J75" s="13" t="s">
        <v>144</v>
      </c>
      <c r="K75" s="13" t="s">
        <v>145</v>
      </c>
      <c r="L75" s="13" t="s">
        <v>151</v>
      </c>
      <c r="M75" s="13" t="s">
        <v>152</v>
      </c>
      <c r="N75" s="13"/>
      <c r="O75" s="13"/>
      <c r="P75" s="13"/>
      <c r="Q75" s="13"/>
      <c r="R75" s="13"/>
      <c r="S75" s="13" t="s">
        <v>106</v>
      </c>
      <c r="T75" s="13" t="s">
        <v>36</v>
      </c>
      <c r="U75" s="138" t="s">
        <v>38</v>
      </c>
      <c r="V75" s="13" t="s">
        <v>107</v>
      </c>
      <c r="W75" s="13" t="s">
        <v>108</v>
      </c>
      <c r="X75" s="13" t="s">
        <v>109</v>
      </c>
      <c r="Y75" s="138" t="s">
        <v>44</v>
      </c>
      <c r="Z75" s="138" t="s">
        <v>46</v>
      </c>
      <c r="AA75" s="138" t="s">
        <v>48</v>
      </c>
      <c r="AB75" s="66" t="s">
        <v>110</v>
      </c>
    </row>
    <row r="76" spans="1:29" x14ac:dyDescent="0.2">
      <c r="A76" s="1"/>
      <c r="B76" s="103">
        <v>-1</v>
      </c>
      <c r="C76" s="34"/>
      <c r="F76" s="12"/>
      <c r="G76" s="12"/>
      <c r="H76" s="12"/>
      <c r="I76" s="12"/>
      <c r="J76" s="12"/>
      <c r="K76" s="12"/>
      <c r="L76" s="12"/>
      <c r="M76" s="12"/>
      <c r="N76" s="12"/>
      <c r="O76" s="12"/>
      <c r="P76" s="12"/>
      <c r="Q76" s="12"/>
      <c r="R76" s="12"/>
      <c r="S76" s="50">
        <v>0</v>
      </c>
      <c r="T76" s="12"/>
      <c r="U76" s="12"/>
      <c r="V76" s="12"/>
      <c r="W76" s="12"/>
      <c r="X76" s="12"/>
      <c r="Y76" s="12"/>
      <c r="Z76" s="12"/>
      <c r="AA76" s="12"/>
    </row>
    <row r="77" spans="1:29" x14ac:dyDescent="0.2">
      <c r="B77" s="103">
        <f>IF(AND('AES Indiana Bill Calc.'!$D$17="RH",'AES Indiana Bill Calc.'!$D$18="No"),'AES Indiana Bill Calc.'!$D$19,-1)</f>
        <v>-1</v>
      </c>
      <c r="C77" s="1" t="s">
        <v>147</v>
      </c>
      <c r="F77" s="36" t="s">
        <v>53</v>
      </c>
      <c r="G77" s="17">
        <f>SUM(J77:M77,O77:P77,R77:AA77)</f>
        <v>12.35</v>
      </c>
      <c r="H77" s="19" t="e">
        <f>IF(ISBLANK(B77),0,+#REF!/B77)</f>
        <v>#REF!</v>
      </c>
      <c r="I77" s="19"/>
      <c r="J77" s="16">
        <f>IF(ISBLANK(B77),0,IF(B77&gt;J$73,+J$72,+F$72))</f>
        <v>12.5</v>
      </c>
      <c r="K77" s="16">
        <f>IF($B77&gt;K$73,ROUND(K$73*K$72,2),ROUND($B77*K$72,2))</f>
        <v>-0.13</v>
      </c>
      <c r="L77" s="16">
        <f>IF($B77&lt;K$73,0,IF($B77&gt;SUM(K$73:L$73),ROUND(L$73*L$72,2),ROUND(($B77-K$73)*L$72,2)))</f>
        <v>0</v>
      </c>
      <c r="M77" s="16">
        <f>IF($B77&gt;M$73,ROUND(($B77-M$73)*M$72,2),0)</f>
        <v>0</v>
      </c>
      <c r="N77" s="17">
        <f>SUM(K77:M77)</f>
        <v>-0.13</v>
      </c>
      <c r="O77" s="16"/>
      <c r="P77" s="16"/>
      <c r="Q77" s="16"/>
      <c r="R77" s="49"/>
      <c r="S77" s="17">
        <f>ROUND($B77*S$72*S76,2)</f>
        <v>0</v>
      </c>
      <c r="T77" s="17">
        <f t="shared" ref="T77:AA77" si="9">ROUND($B77*T$72,2)</f>
        <v>0</v>
      </c>
      <c r="U77" s="17">
        <f t="shared" si="9"/>
        <v>0</v>
      </c>
      <c r="V77" s="17">
        <f t="shared" si="9"/>
        <v>-0.01</v>
      </c>
      <c r="W77" s="17">
        <f t="shared" si="9"/>
        <v>0</v>
      </c>
      <c r="X77" s="17">
        <f t="shared" si="9"/>
        <v>-0.01</v>
      </c>
      <c r="Y77" s="17">
        <f t="shared" si="9"/>
        <v>0</v>
      </c>
      <c r="Z77" s="17">
        <f t="shared" si="9"/>
        <v>0</v>
      </c>
      <c r="AA77" s="17">
        <f t="shared" si="9"/>
        <v>0</v>
      </c>
      <c r="AB77" s="19">
        <f>SUM(U72:AA72)</f>
        <v>2.1101999999999999E-2</v>
      </c>
      <c r="AC77" s="67" t="str">
        <f>+F77</f>
        <v>RH</v>
      </c>
    </row>
    <row r="78" spans="1:29" x14ac:dyDescent="0.2">
      <c r="A78" s="78"/>
      <c r="B78" s="103">
        <v>-1</v>
      </c>
      <c r="F78" s="36"/>
      <c r="G78" s="17"/>
      <c r="H78" s="19"/>
      <c r="I78" s="19"/>
      <c r="J78" s="16"/>
      <c r="K78" s="16"/>
      <c r="L78" s="16"/>
      <c r="M78" s="16"/>
      <c r="N78" s="16"/>
      <c r="O78" s="16"/>
      <c r="P78" s="16"/>
      <c r="Q78" s="16"/>
      <c r="R78" s="16"/>
      <c r="S78" s="50">
        <v>1</v>
      </c>
      <c r="T78" s="17"/>
      <c r="U78" s="17"/>
      <c r="V78" s="17"/>
      <c r="W78" s="17"/>
      <c r="X78" s="17"/>
      <c r="Y78" s="17"/>
      <c r="Z78" s="17"/>
      <c r="AA78" s="17"/>
    </row>
    <row r="79" spans="1:29" x14ac:dyDescent="0.2">
      <c r="B79" s="103">
        <f>IF(AND('AES Indiana Bill Calc.'!$D$17="RH",'AES Indiana Bill Calc.'!$D$18="Yes 100%"),'AES Indiana Bill Calc.'!$D$19,-1)</f>
        <v>-1</v>
      </c>
      <c r="C79" s="1" t="s">
        <v>148</v>
      </c>
      <c r="F79" s="36" t="s">
        <v>53</v>
      </c>
      <c r="G79" s="17">
        <f>SUM(J79:M79,O79:P79,R79:AA79)</f>
        <v>12.35</v>
      </c>
      <c r="H79" s="19" t="e">
        <f>IF(ISBLANK(B79),0,+#REF!/B79)</f>
        <v>#REF!</v>
      </c>
      <c r="I79" s="19"/>
      <c r="J79" s="16">
        <f>IF(ISBLANK(B79),0,IF(B79&gt;J$73,+J$72,+F$72))</f>
        <v>12.5</v>
      </c>
      <c r="K79" s="16">
        <f>IF($B79&gt;K$73,ROUND(K$73*K$72,2),ROUND($B79*K$72,2))</f>
        <v>-0.13</v>
      </c>
      <c r="L79" s="16">
        <f>IF($B79&lt;K$73,0,IF($B79&gt;SUM(K$73:L$73),ROUND(L$73*L$72,2),ROUND(($B79-K$73)*L$72,2)))</f>
        <v>0</v>
      </c>
      <c r="M79" s="16">
        <f>IF($B79&gt;M$73,ROUND(($B79-M$73)*M$72,2),0)</f>
        <v>0</v>
      </c>
      <c r="N79" s="17">
        <f>SUM(K79:M79)</f>
        <v>-0.13</v>
      </c>
      <c r="O79" s="16"/>
      <c r="P79" s="16"/>
      <c r="Q79" s="16"/>
      <c r="R79" s="49"/>
      <c r="S79" s="17">
        <f>ROUND($B79*S$72*S78,2)</f>
        <v>0</v>
      </c>
      <c r="T79" s="17">
        <f>ROUND($B79*T$72,2)</f>
        <v>0</v>
      </c>
      <c r="U79" s="17">
        <f t="shared" ref="U79:AA83" si="10">ROUND($B79*U$72,2)</f>
        <v>0</v>
      </c>
      <c r="V79" s="17">
        <f t="shared" si="10"/>
        <v>-0.01</v>
      </c>
      <c r="W79" s="17">
        <f t="shared" si="10"/>
        <v>0</v>
      </c>
      <c r="X79" s="17">
        <f t="shared" si="10"/>
        <v>-0.01</v>
      </c>
      <c r="Y79" s="17">
        <f t="shared" si="10"/>
        <v>0</v>
      </c>
      <c r="Z79" s="17">
        <f t="shared" si="10"/>
        <v>0</v>
      </c>
      <c r="AA79" s="17">
        <f t="shared" si="10"/>
        <v>0</v>
      </c>
      <c r="AB79" s="19">
        <f>SUM(U72:AA72)+S72*S78</f>
        <v>2.2901999999999999E-2</v>
      </c>
      <c r="AC79" s="67" t="str">
        <f>+F79</f>
        <v>RH</v>
      </c>
    </row>
    <row r="80" spans="1:29" x14ac:dyDescent="0.2">
      <c r="A80" s="78"/>
      <c r="B80" s="103">
        <v>-1</v>
      </c>
      <c r="F80" s="36"/>
      <c r="G80" s="17"/>
      <c r="H80" s="19"/>
      <c r="I80" s="19"/>
      <c r="J80" s="16"/>
      <c r="K80" s="16"/>
      <c r="L80" s="16"/>
      <c r="M80" s="16"/>
      <c r="N80" s="16"/>
      <c r="O80" s="16"/>
      <c r="P80" s="16"/>
      <c r="Q80" s="16"/>
      <c r="R80" s="16"/>
      <c r="S80" s="50">
        <v>0.5</v>
      </c>
      <c r="T80" s="17"/>
      <c r="U80" s="17"/>
      <c r="V80" s="17"/>
      <c r="W80" s="17"/>
      <c r="X80" s="17"/>
      <c r="Y80" s="17"/>
      <c r="Z80" s="17"/>
      <c r="AA80" s="17"/>
    </row>
    <row r="81" spans="1:29" x14ac:dyDescent="0.2">
      <c r="B81" s="103">
        <f>IF(AND('AES Indiana Bill Calc.'!$D$17="RH",'AES Indiana Bill Calc.'!$D$18="Yes 50%"),'AES Indiana Bill Calc.'!$D$19,-1)</f>
        <v>-1</v>
      </c>
      <c r="C81" s="1" t="s">
        <v>149</v>
      </c>
      <c r="F81" s="36" t="s">
        <v>53</v>
      </c>
      <c r="G81" s="17">
        <f>SUM(J81:M81,O81:P81,R81:AA81)</f>
        <v>12.35</v>
      </c>
      <c r="H81" s="19" t="e">
        <f>IF(ISBLANK(B81),0,+#REF!/B81)</f>
        <v>#REF!</v>
      </c>
      <c r="I81" s="19"/>
      <c r="J81" s="16">
        <f>IF(ISBLANK(B81),0,IF(B81&gt;J$73,+J$72,+F$72))</f>
        <v>12.5</v>
      </c>
      <c r="K81" s="16">
        <f>IF($B81&gt;K$73,ROUND(K$73*K$72,2),ROUND($B81*K$72,2))</f>
        <v>-0.13</v>
      </c>
      <c r="L81" s="16">
        <f>IF($B81&lt;K$73,0,IF($B81&gt;SUM(K$73:L$73),ROUND(L$73*L$72,2),ROUND(($B81-K$73)*L$72,2)))</f>
        <v>0</v>
      </c>
      <c r="M81" s="16">
        <f>IF($B81&gt;M$73,ROUND(($B81-M$73)*M$72,2),0)</f>
        <v>0</v>
      </c>
      <c r="N81" s="17">
        <f>SUM(K81:M81)</f>
        <v>-0.13</v>
      </c>
      <c r="O81" s="16"/>
      <c r="P81" s="16"/>
      <c r="Q81" s="16"/>
      <c r="R81" s="49"/>
      <c r="S81" s="17">
        <f>ROUND($B81*S$72*S80,2)</f>
        <v>0</v>
      </c>
      <c r="T81" s="17">
        <f>ROUND($B81*T$72,2)</f>
        <v>0</v>
      </c>
      <c r="U81" s="17">
        <f t="shared" si="10"/>
        <v>0</v>
      </c>
      <c r="V81" s="17">
        <f t="shared" si="10"/>
        <v>-0.01</v>
      </c>
      <c r="W81" s="17">
        <f t="shared" si="10"/>
        <v>0</v>
      </c>
      <c r="X81" s="17">
        <f t="shared" si="10"/>
        <v>-0.01</v>
      </c>
      <c r="Y81" s="17">
        <f t="shared" si="10"/>
        <v>0</v>
      </c>
      <c r="Z81" s="17">
        <f t="shared" si="10"/>
        <v>0</v>
      </c>
      <c r="AA81" s="17">
        <f t="shared" si="10"/>
        <v>0</v>
      </c>
      <c r="AB81" s="19">
        <f>SUM(U74:AA74)+S74*S80</f>
        <v>143.5</v>
      </c>
      <c r="AC81" s="67" t="str">
        <f>+F81</f>
        <v>RH</v>
      </c>
    </row>
    <row r="82" spans="1:29" x14ac:dyDescent="0.2">
      <c r="A82" s="78"/>
      <c r="B82" s="103">
        <v>-1</v>
      </c>
      <c r="F82" s="36"/>
      <c r="G82" s="17"/>
      <c r="H82" s="19"/>
      <c r="I82" s="19"/>
      <c r="J82" s="16"/>
      <c r="K82" s="16"/>
      <c r="L82" s="16"/>
      <c r="M82" s="16"/>
      <c r="N82" s="16"/>
      <c r="O82" s="16"/>
      <c r="P82" s="16"/>
      <c r="Q82" s="16"/>
      <c r="R82" s="16"/>
      <c r="S82" s="50">
        <v>0.25</v>
      </c>
      <c r="T82" s="17"/>
      <c r="U82" s="17"/>
      <c r="V82" s="17"/>
      <c r="W82" s="17"/>
      <c r="X82" s="17"/>
      <c r="Y82" s="17"/>
      <c r="Z82" s="17"/>
      <c r="AA82" s="17"/>
    </row>
    <row r="83" spans="1:29" x14ac:dyDescent="0.2">
      <c r="B83" s="103">
        <f>IF(AND('AES Indiana Bill Calc.'!$D$17="RH",'AES Indiana Bill Calc.'!$D$18="Yes 25%"),'AES Indiana Bill Calc.'!$D$19,-1)</f>
        <v>-1</v>
      </c>
      <c r="C83" s="1" t="s">
        <v>150</v>
      </c>
      <c r="F83" s="36" t="s">
        <v>53</v>
      </c>
      <c r="G83" s="17">
        <f>SUM(J83:M83,O83:P83,R83:AA83)</f>
        <v>12.35</v>
      </c>
      <c r="H83" s="19" t="e">
        <f>IF(ISBLANK(B83),0,+#REF!/B83)</f>
        <v>#REF!</v>
      </c>
      <c r="I83" s="19"/>
      <c r="J83" s="16">
        <f>IF(ISBLANK(B83),0,IF(B83&gt;J$73,+J$72,+F$72))</f>
        <v>12.5</v>
      </c>
      <c r="K83" s="16">
        <f>IF($B83&gt;K$73,ROUND(K$73*K$72,2),ROUND($B83*K$72,2))</f>
        <v>-0.13</v>
      </c>
      <c r="L83" s="16">
        <f>IF($B83&lt;K$73,0,IF($B83&gt;SUM(K$73:L$73),ROUND(L$73*L$72,2),ROUND(($B83-K$73)*L$72,2)))</f>
        <v>0</v>
      </c>
      <c r="M83" s="16">
        <f>IF($B83&gt;M$73,ROUND(($B83-M$73)*M$72,2),0)</f>
        <v>0</v>
      </c>
      <c r="N83" s="17">
        <f>SUM(K83:M83)</f>
        <v>-0.13</v>
      </c>
      <c r="O83" s="16"/>
      <c r="P83" s="16"/>
      <c r="Q83" s="16"/>
      <c r="R83" s="49"/>
      <c r="S83" s="17">
        <f>ROUND($B83*S$72*S82,2)</f>
        <v>0</v>
      </c>
      <c r="T83" s="17">
        <f>ROUND($B83*T$72,2)</f>
        <v>0</v>
      </c>
      <c r="U83" s="17">
        <f t="shared" si="10"/>
        <v>0</v>
      </c>
      <c r="V83" s="17">
        <f t="shared" si="10"/>
        <v>-0.01</v>
      </c>
      <c r="W83" s="17">
        <f t="shared" si="10"/>
        <v>0</v>
      </c>
      <c r="X83" s="17">
        <f t="shared" si="10"/>
        <v>-0.01</v>
      </c>
      <c r="Y83" s="17">
        <f t="shared" si="10"/>
        <v>0</v>
      </c>
      <c r="Z83" s="17">
        <f t="shared" si="10"/>
        <v>0</v>
      </c>
      <c r="AA83" s="17">
        <f t="shared" si="10"/>
        <v>0</v>
      </c>
      <c r="AB83" s="19">
        <f>SUM(U76:AA76)+S76*S82</f>
        <v>0</v>
      </c>
      <c r="AC83" s="67" t="str">
        <f>+F83</f>
        <v>RH</v>
      </c>
    </row>
    <row r="84" spans="1:29" x14ac:dyDescent="0.2">
      <c r="B84" s="103">
        <v>-1</v>
      </c>
      <c r="C84" s="1"/>
      <c r="F84" s="130"/>
      <c r="G84" s="17"/>
      <c r="H84" s="19"/>
      <c r="I84" s="19"/>
      <c r="J84" s="16"/>
      <c r="K84" s="16"/>
      <c r="L84" s="16"/>
      <c r="M84" s="16"/>
      <c r="N84" s="16"/>
      <c r="O84" s="16"/>
      <c r="P84" s="16"/>
      <c r="Q84" s="16"/>
      <c r="R84" s="16"/>
      <c r="S84" s="17"/>
      <c r="T84" s="17"/>
      <c r="U84" s="17"/>
      <c r="V84" s="17"/>
      <c r="W84" s="17"/>
      <c r="X84" s="17"/>
      <c r="Y84" s="17"/>
      <c r="Z84" s="17"/>
      <c r="AA84" s="17"/>
    </row>
    <row r="85" spans="1:29" ht="13.5" thickBot="1" x14ac:dyDescent="0.25">
      <c r="A85" s="20"/>
      <c r="B85" s="106">
        <v>-1</v>
      </c>
      <c r="C85" s="28"/>
      <c r="D85" s="21"/>
      <c r="F85" s="30"/>
      <c r="G85" s="23"/>
      <c r="H85" s="21"/>
      <c r="J85" s="24"/>
      <c r="K85" s="24"/>
      <c r="L85" s="24"/>
      <c r="M85" s="24"/>
      <c r="N85" s="24"/>
      <c r="O85" s="24"/>
      <c r="P85" s="24"/>
      <c r="Q85" s="24"/>
      <c r="R85" s="24"/>
      <c r="S85" s="23"/>
      <c r="T85" s="23"/>
      <c r="U85" s="23"/>
      <c r="V85" s="23"/>
      <c r="W85" s="23"/>
      <c r="X85" s="23"/>
      <c r="Y85" s="23"/>
      <c r="Z85" s="23"/>
      <c r="AA85" s="23"/>
      <c r="AB85" s="21"/>
    </row>
    <row r="86" spans="1:29" x14ac:dyDescent="0.2">
      <c r="B86" s="103">
        <v>-1</v>
      </c>
      <c r="V86" s="27">
        <f>+T9</f>
        <v>0</v>
      </c>
      <c r="W86" s="6" t="s">
        <v>154</v>
      </c>
      <c r="AB86" s="19" t="e">
        <f>+AB$96-V$96+#REF!</f>
        <v>#REF!</v>
      </c>
    </row>
    <row r="87" spans="1:29" x14ac:dyDescent="0.2">
      <c r="B87" s="103">
        <v>-1</v>
      </c>
      <c r="S87" s="6"/>
      <c r="T87" s="6"/>
      <c r="U87" s="6"/>
      <c r="V87" s="27">
        <f>+T11</f>
        <v>0</v>
      </c>
      <c r="W87" s="6" t="s">
        <v>155</v>
      </c>
      <c r="X87" s="6"/>
      <c r="Y87" s="6"/>
      <c r="Z87" s="6"/>
      <c r="AA87" s="6"/>
      <c r="AB87" s="19">
        <f>+AB$96-V$96+V86</f>
        <v>1.3791999999999999E-2</v>
      </c>
    </row>
    <row r="88" spans="1:29" x14ac:dyDescent="0.2">
      <c r="B88" s="103">
        <v>-1</v>
      </c>
      <c r="S88" s="6"/>
      <c r="T88" s="6"/>
      <c r="U88" s="6"/>
      <c r="V88" s="27">
        <f>T15</f>
        <v>0</v>
      </c>
      <c r="W88" s="6" t="s">
        <v>156</v>
      </c>
      <c r="X88" s="6"/>
      <c r="Y88" s="6"/>
      <c r="Z88" s="6"/>
      <c r="AA88" s="6"/>
      <c r="AB88" s="19">
        <f>+AB$96-V$96+V87</f>
        <v>1.3791999999999999E-2</v>
      </c>
    </row>
    <row r="89" spans="1:29" x14ac:dyDescent="0.2">
      <c r="B89" s="103">
        <v>-1</v>
      </c>
      <c r="S89" s="6"/>
      <c r="T89" s="6"/>
      <c r="U89" s="6"/>
      <c r="V89" s="27">
        <f>$T$18</f>
        <v>6.0000000000000002E-6</v>
      </c>
      <c r="W89" s="6" t="s">
        <v>157</v>
      </c>
      <c r="X89" s="6"/>
      <c r="Y89" s="6"/>
      <c r="Z89" s="6"/>
      <c r="AA89" s="6"/>
      <c r="AB89" s="19"/>
    </row>
    <row r="90" spans="1:29" x14ac:dyDescent="0.2">
      <c r="B90" s="103">
        <v>-1</v>
      </c>
      <c r="S90" s="6"/>
      <c r="T90" s="6"/>
      <c r="U90" s="6"/>
      <c r="V90" s="27">
        <f>$T$20</f>
        <v>3.4999999999999997E-5</v>
      </c>
      <c r="W90" s="6" t="s">
        <v>158</v>
      </c>
      <c r="X90" s="6"/>
      <c r="Y90" s="6"/>
      <c r="Z90" s="6"/>
      <c r="AA90" s="6"/>
      <c r="AB90" s="19"/>
    </row>
    <row r="91" spans="1:29" x14ac:dyDescent="0.2">
      <c r="B91" s="103">
        <v>-1</v>
      </c>
      <c r="S91" s="6"/>
      <c r="T91" s="6"/>
      <c r="U91" s="6"/>
      <c r="V91" s="27">
        <f>$T$22</f>
        <v>-3.9999999999999998E-6</v>
      </c>
      <c r="W91" s="6" t="s">
        <v>159</v>
      </c>
      <c r="X91" s="6"/>
      <c r="Y91" s="6"/>
      <c r="Z91" s="6"/>
      <c r="AA91" s="6"/>
      <c r="AB91" s="19"/>
    </row>
    <row r="92" spans="1:29" x14ac:dyDescent="0.2">
      <c r="B92" s="103">
        <v>-1</v>
      </c>
      <c r="S92" s="6"/>
      <c r="T92" s="6"/>
      <c r="U92" s="6"/>
      <c r="V92" s="121">
        <f>T24</f>
        <v>0</v>
      </c>
      <c r="W92" s="6" t="s">
        <v>160</v>
      </c>
      <c r="X92" s="6"/>
      <c r="Y92" s="6"/>
      <c r="Z92" s="6"/>
      <c r="AA92" s="6"/>
      <c r="AB92" s="19"/>
    </row>
    <row r="93" spans="1:29" x14ac:dyDescent="0.2">
      <c r="B93" s="103">
        <v>-1</v>
      </c>
      <c r="S93" s="6"/>
      <c r="T93" s="6"/>
      <c r="U93" s="6"/>
      <c r="V93" s="19">
        <f>T26</f>
        <v>0</v>
      </c>
      <c r="W93" s="6" t="s">
        <v>161</v>
      </c>
      <c r="X93" s="6"/>
      <c r="Y93" s="6"/>
      <c r="Z93" s="6"/>
      <c r="AA93" s="6"/>
      <c r="AB93" s="19"/>
    </row>
    <row r="94" spans="1:29" x14ac:dyDescent="0.2">
      <c r="B94" s="103">
        <v>-1</v>
      </c>
      <c r="S94" s="6"/>
      <c r="T94" s="6"/>
      <c r="U94" s="6"/>
      <c r="V94" s="19">
        <f>T28</f>
        <v>0</v>
      </c>
      <c r="W94" s="6" t="s">
        <v>296</v>
      </c>
      <c r="X94" s="6"/>
      <c r="Y94" s="6"/>
      <c r="Z94" s="6"/>
      <c r="AA94" s="6"/>
      <c r="AB94" s="19"/>
    </row>
    <row r="95" spans="1:29" x14ac:dyDescent="0.2">
      <c r="B95" s="103">
        <v>-1</v>
      </c>
      <c r="S95" s="6"/>
      <c r="T95" s="6"/>
      <c r="U95" s="6"/>
      <c r="V95" s="19">
        <f>T30</f>
        <v>4.065E-3</v>
      </c>
      <c r="W95" s="6" t="s">
        <v>172</v>
      </c>
      <c r="X95" s="6"/>
      <c r="Y95" s="6"/>
      <c r="Z95" s="6"/>
      <c r="AA95" s="6"/>
      <c r="AB95" s="19"/>
    </row>
    <row r="96" spans="1:29" x14ac:dyDescent="0.2">
      <c r="B96" s="103">
        <v>-1</v>
      </c>
      <c r="C96" s="4"/>
      <c r="F96" s="158">
        <v>40</v>
      </c>
      <c r="G96" s="70"/>
      <c r="H96" s="70"/>
      <c r="I96" s="70"/>
      <c r="J96" s="159">
        <v>55</v>
      </c>
      <c r="K96" s="160">
        <v>0.12295200000000001</v>
      </c>
      <c r="L96" s="160">
        <v>0.108472</v>
      </c>
      <c r="M96" s="5"/>
      <c r="N96" s="5"/>
      <c r="O96" s="5"/>
      <c r="P96" s="5"/>
      <c r="Q96" s="5"/>
      <c r="R96" s="5"/>
      <c r="S96" s="27">
        <f>+M$4</f>
        <v>1.8E-3</v>
      </c>
      <c r="T96" s="27">
        <f t="shared" ref="T96:AA96" si="11">+R$4</f>
        <v>3.9020000000000001E-3</v>
      </c>
      <c r="U96" s="117">
        <f>+S$4</f>
        <v>1.523E-3</v>
      </c>
      <c r="V96" s="27">
        <f>+T$4</f>
        <v>1.0000999999999999E-2</v>
      </c>
      <c r="W96" s="27">
        <f t="shared" si="11"/>
        <v>0</v>
      </c>
      <c r="X96" s="27">
        <f t="shared" si="11"/>
        <v>8.8730000000000007E-3</v>
      </c>
      <c r="Y96" s="27">
        <f t="shared" si="11"/>
        <v>-8.1800000000000004E-4</v>
      </c>
      <c r="Z96" s="27">
        <f t="shared" si="11"/>
        <v>4.2139999999999999E-3</v>
      </c>
      <c r="AA96" s="27">
        <f t="shared" si="11"/>
        <v>7.0699999999999995E-4</v>
      </c>
      <c r="AB96" s="19">
        <f>SUM(U96:Z96)</f>
        <v>2.3792999999999998E-2</v>
      </c>
    </row>
    <row r="97" spans="1:29" x14ac:dyDescent="0.2">
      <c r="A97" s="1"/>
      <c r="B97" s="103">
        <v>-1</v>
      </c>
      <c r="F97" s="72"/>
      <c r="G97" s="70"/>
      <c r="H97" s="70"/>
      <c r="I97" s="70"/>
      <c r="J97" s="73">
        <v>5000</v>
      </c>
      <c r="K97" s="73">
        <v>5000</v>
      </c>
      <c r="L97" s="70"/>
    </row>
    <row r="98" spans="1:29" x14ac:dyDescent="0.2">
      <c r="B98" s="103">
        <v>-1</v>
      </c>
      <c r="F98" s="12"/>
      <c r="J98" s="12" t="s">
        <v>137</v>
      </c>
      <c r="K98" s="258" t="s">
        <v>28</v>
      </c>
      <c r="L98" s="258"/>
      <c r="M98" s="12"/>
      <c r="N98" s="12"/>
      <c r="O98" s="12"/>
      <c r="P98" s="12"/>
      <c r="Q98" s="12"/>
      <c r="R98" s="12"/>
      <c r="S98" s="12">
        <v>21</v>
      </c>
      <c r="T98" s="12">
        <v>6</v>
      </c>
      <c r="U98" s="12">
        <v>3</v>
      </c>
      <c r="V98" s="12">
        <v>22</v>
      </c>
      <c r="W98" s="12">
        <v>13</v>
      </c>
      <c r="X98" s="12">
        <v>20</v>
      </c>
      <c r="Y98" s="12">
        <v>24</v>
      </c>
      <c r="Z98" s="12">
        <v>25</v>
      </c>
      <c r="AA98" s="12">
        <v>26</v>
      </c>
    </row>
    <row r="99" spans="1:29" x14ac:dyDescent="0.2">
      <c r="A99" s="13"/>
      <c r="B99" s="14">
        <v>-1</v>
      </c>
      <c r="C99" s="14"/>
      <c r="D99" s="15"/>
      <c r="F99" s="13" t="s">
        <v>141</v>
      </c>
      <c r="G99" s="13" t="s">
        <v>142</v>
      </c>
      <c r="H99" s="13" t="s">
        <v>143</v>
      </c>
      <c r="I99" s="12"/>
      <c r="J99" s="13" t="s">
        <v>144</v>
      </c>
      <c r="K99" s="13" t="s">
        <v>162</v>
      </c>
      <c r="L99" s="13" t="s">
        <v>163</v>
      </c>
      <c r="M99" s="13"/>
      <c r="N99" s="142" t="s">
        <v>138</v>
      </c>
      <c r="O99" s="13"/>
      <c r="P99" s="13"/>
      <c r="Q99" s="13"/>
      <c r="R99" s="13"/>
      <c r="S99" s="13" t="s">
        <v>106</v>
      </c>
      <c r="T99" s="13" t="s">
        <v>36</v>
      </c>
      <c r="U99" s="138" t="s">
        <v>38</v>
      </c>
      <c r="V99" s="13" t="s">
        <v>107</v>
      </c>
      <c r="W99" s="13" t="s">
        <v>108</v>
      </c>
      <c r="X99" s="13" t="s">
        <v>109</v>
      </c>
      <c r="Y99" s="138" t="s">
        <v>44</v>
      </c>
      <c r="Z99" s="138" t="s">
        <v>46</v>
      </c>
      <c r="AA99" s="138" t="s">
        <v>48</v>
      </c>
      <c r="AB99" s="66" t="s">
        <v>110</v>
      </c>
    </row>
    <row r="100" spans="1:29" x14ac:dyDescent="0.2">
      <c r="B100" s="103">
        <v>-1</v>
      </c>
      <c r="C100" s="34"/>
      <c r="F100" s="12"/>
      <c r="G100" s="12"/>
      <c r="H100" s="12"/>
      <c r="I100" s="12"/>
      <c r="J100" s="12"/>
      <c r="K100" s="12"/>
      <c r="L100" s="12"/>
      <c r="M100" s="12"/>
      <c r="N100" s="12"/>
      <c r="O100" s="12"/>
      <c r="P100" s="12"/>
      <c r="Q100" s="12"/>
      <c r="R100" s="12"/>
      <c r="S100" s="50">
        <v>0</v>
      </c>
      <c r="T100" s="12"/>
      <c r="U100" s="12"/>
      <c r="V100" s="12"/>
      <c r="W100" s="12"/>
      <c r="X100" s="12"/>
      <c r="Y100" s="12"/>
      <c r="Z100" s="12"/>
      <c r="AA100" s="12"/>
    </row>
    <row r="101" spans="1:29" x14ac:dyDescent="0.2">
      <c r="B101" s="103">
        <f>IF(AND('AES Indiana Bill Calc.'!$D$17="SS",'AES Indiana Bill Calc.'!$D$18="No",'AES Indiana Bill Calc.'!$D$20="No"),'AES Indiana Bill Calc.'!$D$19,-1)</f>
        <v>-1</v>
      </c>
      <c r="C101" s="1" t="s">
        <v>147</v>
      </c>
      <c r="F101" s="36" t="s">
        <v>54</v>
      </c>
      <c r="G101" s="17">
        <f>SUM(J101:M101,O101:P101,R101:AA101)</f>
        <v>39.860000000000007</v>
      </c>
      <c r="H101" s="19" t="e">
        <f>IF(ISBLANK(B101),0,+#REF!/B101)</f>
        <v>#REF!</v>
      </c>
      <c r="I101" s="19"/>
      <c r="J101" s="16">
        <f>IF(ISBLANK(B101),0,IF(B101&gt;J$97,+J$96,+F$96))</f>
        <v>40</v>
      </c>
      <c r="K101" s="16">
        <f>IF($B101&gt;K$97,ROUND(K$97*K$96,2),ROUND($B101*K$96,2))</f>
        <v>-0.12</v>
      </c>
      <c r="L101" s="16">
        <f>IF($B101&gt;K$97,ROUND(($B101-K$97)*L$96,2),0)</f>
        <v>0</v>
      </c>
      <c r="M101" s="8"/>
      <c r="N101" s="17">
        <f>SUM(K101:L101)</f>
        <v>-0.12</v>
      </c>
      <c r="O101" s="8"/>
      <c r="P101" s="8"/>
      <c r="Q101" s="8"/>
      <c r="R101" s="8"/>
      <c r="S101" s="17">
        <f>ROUND($B101*S$96*S100,2)</f>
        <v>0</v>
      </c>
      <c r="T101" s="17">
        <f t="shared" ref="T101:AA101" si="12">ROUND($B101*T$96,2)</f>
        <v>0</v>
      </c>
      <c r="U101" s="116">
        <f t="shared" si="12"/>
        <v>0</v>
      </c>
      <c r="V101" s="17">
        <f>ROUND($B101*V$96,2)</f>
        <v>-0.01</v>
      </c>
      <c r="W101" s="17">
        <f t="shared" si="12"/>
        <v>0</v>
      </c>
      <c r="X101" s="17">
        <f t="shared" si="12"/>
        <v>-0.01</v>
      </c>
      <c r="Y101" s="17">
        <f t="shared" si="12"/>
        <v>0</v>
      </c>
      <c r="Z101" s="17">
        <f t="shared" si="12"/>
        <v>0</v>
      </c>
      <c r="AA101" s="17">
        <f t="shared" si="12"/>
        <v>0</v>
      </c>
      <c r="AB101" s="19">
        <f>SUM(U96:AA96)</f>
        <v>2.4499999999999997E-2</v>
      </c>
      <c r="AC101" s="67" t="str">
        <f>+F101</f>
        <v>SS</v>
      </c>
    </row>
    <row r="102" spans="1:29" x14ac:dyDescent="0.2">
      <c r="A102" s="70"/>
      <c r="B102" s="103">
        <v>-1</v>
      </c>
      <c r="C102" s="9"/>
      <c r="F102" s="36"/>
      <c r="G102" s="17"/>
      <c r="H102" s="19"/>
      <c r="I102" s="19"/>
      <c r="J102" s="16"/>
      <c r="K102" s="16"/>
      <c r="L102" s="16"/>
      <c r="M102" s="8"/>
      <c r="N102" s="8"/>
      <c r="O102" s="8"/>
      <c r="P102" s="8"/>
      <c r="Q102" s="8"/>
      <c r="R102" s="8"/>
      <c r="S102" s="50">
        <v>1</v>
      </c>
      <c r="T102" s="17"/>
      <c r="U102" s="17"/>
      <c r="V102" s="17"/>
      <c r="W102" s="17"/>
      <c r="X102" s="17"/>
      <c r="Y102" s="17"/>
      <c r="Z102" s="17"/>
      <c r="AA102" s="17"/>
    </row>
    <row r="103" spans="1:29" x14ac:dyDescent="0.2">
      <c r="A103" s="89"/>
      <c r="B103" s="103">
        <f>IF(AND('AES Indiana Bill Calc.'!$D$17="SS",'AES Indiana Bill Calc.'!$D$18="Yes 100%",'AES Indiana Bill Calc.'!$D$20="No"),'AES Indiana Bill Calc.'!$D$19,-1)</f>
        <v>-1</v>
      </c>
      <c r="C103" s="1" t="s">
        <v>148</v>
      </c>
      <c r="F103" s="36" t="s">
        <v>54</v>
      </c>
      <c r="G103" s="17">
        <f>SUM(J103:M103,O103:P103,R103:AA103)</f>
        <v>39.860000000000007</v>
      </c>
      <c r="H103" s="19" t="e">
        <f>IF(ISBLANK(B103),0,+#REF!/B103)</f>
        <v>#REF!</v>
      </c>
      <c r="I103" s="86"/>
      <c r="J103" s="16">
        <f>IF(ISBLANK(B103),0,IF(B103&gt;J$97,+J$96,+F$96))</f>
        <v>40</v>
      </c>
      <c r="K103" s="16">
        <f>IF($B103&gt;K$97,ROUND(K$97*K$96,2),ROUND($B103*K$96,2))</f>
        <v>-0.12</v>
      </c>
      <c r="L103" s="16">
        <f>IF($B103&gt;K$97,ROUND(($B103-K$97)*L$96,2),0)</f>
        <v>0</v>
      </c>
      <c r="M103" s="8"/>
      <c r="N103" s="17">
        <f>SUM(K103:L103)</f>
        <v>-0.12</v>
      </c>
      <c r="O103" s="8"/>
      <c r="P103" s="8"/>
      <c r="Q103" s="8"/>
      <c r="R103" s="8"/>
      <c r="S103" s="17">
        <f>ROUND($B103*S$96*S102,2)</f>
        <v>0</v>
      </c>
      <c r="T103" s="17">
        <f t="shared" ref="T103:AA103" si="13">ROUND($B103*T$96,2)</f>
        <v>0</v>
      </c>
      <c r="U103" s="17">
        <f t="shared" si="13"/>
        <v>0</v>
      </c>
      <c r="V103" s="17">
        <f>ROUND($B103*V$96,2)</f>
        <v>-0.01</v>
      </c>
      <c r="W103" s="17">
        <f t="shared" si="13"/>
        <v>0</v>
      </c>
      <c r="X103" s="17">
        <f t="shared" si="13"/>
        <v>-0.01</v>
      </c>
      <c r="Y103" s="17">
        <f t="shared" si="13"/>
        <v>0</v>
      </c>
      <c r="Z103" s="17">
        <f t="shared" si="13"/>
        <v>0</v>
      </c>
      <c r="AA103" s="17">
        <f t="shared" si="13"/>
        <v>0</v>
      </c>
      <c r="AB103" s="19">
        <f>SUM(U$96:AA$96)</f>
        <v>2.4499999999999997E-2</v>
      </c>
      <c r="AC103" s="67" t="str">
        <f>+F103</f>
        <v>SS</v>
      </c>
    </row>
    <row r="104" spans="1:29" x14ac:dyDescent="0.2">
      <c r="A104" s="70"/>
      <c r="B104" s="103">
        <v>-1</v>
      </c>
      <c r="C104" s="9"/>
      <c r="F104" s="36"/>
      <c r="G104" s="17"/>
      <c r="H104" s="19"/>
      <c r="I104" s="19"/>
      <c r="J104" s="16"/>
      <c r="K104" s="16"/>
      <c r="L104" s="16"/>
      <c r="M104" s="8"/>
      <c r="N104" s="8"/>
      <c r="O104" s="8"/>
      <c r="P104" s="8"/>
      <c r="Q104" s="8"/>
      <c r="R104" s="8"/>
      <c r="S104" s="50">
        <v>0.5</v>
      </c>
      <c r="T104" s="17"/>
      <c r="U104" s="17"/>
      <c r="V104" s="17"/>
      <c r="W104" s="17"/>
      <c r="X104" s="17"/>
      <c r="Y104" s="17"/>
      <c r="Z104" s="17"/>
      <c r="AA104" s="17"/>
    </row>
    <row r="105" spans="1:29" x14ac:dyDescent="0.2">
      <c r="A105" s="89"/>
      <c r="B105" s="103">
        <f>IF(AND('AES Indiana Bill Calc.'!$D$17="SS",'AES Indiana Bill Calc.'!$D$18="Yes 50%",'AES Indiana Bill Calc.'!$D$20="No"),'AES Indiana Bill Calc.'!$D$19,-1)</f>
        <v>-1</v>
      </c>
      <c r="C105" s="1" t="s">
        <v>149</v>
      </c>
      <c r="F105" s="36" t="s">
        <v>54</v>
      </c>
      <c r="G105" s="17">
        <f>SUM(J105:M105,O105:P105,R105:AA105)</f>
        <v>39.860000000000007</v>
      </c>
      <c r="H105" s="19" t="e">
        <f>IF(ISBLANK(B105),0,+#REF!/B105)</f>
        <v>#REF!</v>
      </c>
      <c r="I105" s="86"/>
      <c r="J105" s="16">
        <f>IF(ISBLANK(B105),0,IF(B105&gt;J$97,+J$96,+F$96))</f>
        <v>40</v>
      </c>
      <c r="K105" s="16">
        <f>IF($B105&gt;K$97,ROUND(K$97*K$96,2),ROUND($B105*K$96,2))</f>
        <v>-0.12</v>
      </c>
      <c r="L105" s="16">
        <f>IF($B105&gt;K$97,ROUND(($B105-K$97)*L$96,2),0)</f>
        <v>0</v>
      </c>
      <c r="M105" s="8"/>
      <c r="N105" s="17">
        <f>SUM(K105:L105)</f>
        <v>-0.12</v>
      </c>
      <c r="O105" s="8"/>
      <c r="P105" s="8"/>
      <c r="Q105" s="8"/>
      <c r="R105" s="8"/>
      <c r="S105" s="17">
        <f>ROUND($B105*S$96*S104,2)</f>
        <v>0</v>
      </c>
      <c r="T105" s="17">
        <f t="shared" ref="T105:AA105" si="14">ROUND($B105*T$96,2)</f>
        <v>0</v>
      </c>
      <c r="U105" s="17">
        <f t="shared" si="14"/>
        <v>0</v>
      </c>
      <c r="V105" s="17">
        <f>ROUND($B105*V$96,2)</f>
        <v>-0.01</v>
      </c>
      <c r="W105" s="17">
        <f t="shared" si="14"/>
        <v>0</v>
      </c>
      <c r="X105" s="17">
        <f t="shared" si="14"/>
        <v>-0.01</v>
      </c>
      <c r="Y105" s="17">
        <f t="shared" si="14"/>
        <v>0</v>
      </c>
      <c r="Z105" s="17">
        <f t="shared" si="14"/>
        <v>0</v>
      </c>
      <c r="AA105" s="17">
        <f t="shared" si="14"/>
        <v>0</v>
      </c>
      <c r="AB105" s="19">
        <f>SUM(U$96:AA$96)</f>
        <v>2.4499999999999997E-2</v>
      </c>
      <c r="AC105" s="67" t="str">
        <f>+F105</f>
        <v>SS</v>
      </c>
    </row>
    <row r="106" spans="1:29" x14ac:dyDescent="0.2">
      <c r="A106" s="70"/>
      <c r="B106" s="103">
        <v>-1</v>
      </c>
      <c r="C106" s="9"/>
      <c r="F106" s="36"/>
      <c r="G106" s="17"/>
      <c r="H106" s="19"/>
      <c r="I106" s="19"/>
      <c r="J106" s="16"/>
      <c r="K106" s="16"/>
      <c r="L106" s="16"/>
      <c r="M106" s="8"/>
      <c r="N106" s="8"/>
      <c r="O106" s="8"/>
      <c r="P106" s="8"/>
      <c r="Q106" s="8"/>
      <c r="R106" s="8"/>
      <c r="S106" s="50">
        <v>0.25</v>
      </c>
      <c r="T106" s="17"/>
      <c r="U106" s="17"/>
      <c r="V106" s="17"/>
      <c r="W106" s="17"/>
      <c r="X106" s="17"/>
      <c r="Y106" s="17"/>
      <c r="Z106" s="17"/>
      <c r="AA106" s="17"/>
    </row>
    <row r="107" spans="1:29" x14ac:dyDescent="0.2">
      <c r="A107" s="89"/>
      <c r="B107" s="103">
        <f>IF(AND('AES Indiana Bill Calc.'!$D$17="SS",'AES Indiana Bill Calc.'!$D$18="Yes 25%",'AES Indiana Bill Calc.'!$D$20="No"),'AES Indiana Bill Calc.'!$D$19,-1)</f>
        <v>-1</v>
      </c>
      <c r="C107" s="1" t="s">
        <v>150</v>
      </c>
      <c r="F107" s="36" t="s">
        <v>54</v>
      </c>
      <c r="G107" s="17">
        <f>SUM(J107:M107,O107:P107,R107:AA107)</f>
        <v>39.860000000000007</v>
      </c>
      <c r="H107" s="19" t="e">
        <f>IF(ISBLANK(B107),0,+#REF!/B107)</f>
        <v>#REF!</v>
      </c>
      <c r="I107" s="86"/>
      <c r="J107" s="16">
        <f>IF(ISBLANK(B107),0,IF(B107&gt;J$97,+J$96,+F$96))</f>
        <v>40</v>
      </c>
      <c r="K107" s="16">
        <f>IF($B107&gt;K$97,ROUND(K$97*K$96,2),ROUND($B107*K$96,2))</f>
        <v>-0.12</v>
      </c>
      <c r="L107" s="16">
        <f>IF($B107&gt;K$97,ROUND(($B107-K$97)*L$96,2),0)</f>
        <v>0</v>
      </c>
      <c r="M107" s="8"/>
      <c r="N107" s="17">
        <f>SUM(K107:L107)</f>
        <v>-0.12</v>
      </c>
      <c r="O107" s="8"/>
      <c r="P107" s="8"/>
      <c r="Q107" s="8"/>
      <c r="R107" s="8"/>
      <c r="S107" s="17">
        <f>ROUND($B107*S$96*S106,2)</f>
        <v>0</v>
      </c>
      <c r="T107" s="17">
        <f t="shared" ref="T107:AA109" si="15">ROUND($B107*T$96,2)</f>
        <v>0</v>
      </c>
      <c r="U107" s="17">
        <f t="shared" si="15"/>
        <v>0</v>
      </c>
      <c r="V107" s="17">
        <f>ROUND($B107*V$96,2)</f>
        <v>-0.01</v>
      </c>
      <c r="W107" s="17">
        <f t="shared" si="15"/>
        <v>0</v>
      </c>
      <c r="X107" s="17">
        <f t="shared" si="15"/>
        <v>-0.01</v>
      </c>
      <c r="Y107" s="17">
        <f t="shared" si="15"/>
        <v>0</v>
      </c>
      <c r="Z107" s="17">
        <f t="shared" si="15"/>
        <v>0</v>
      </c>
      <c r="AA107" s="17">
        <f t="shared" si="15"/>
        <v>0</v>
      </c>
      <c r="AB107" s="19">
        <f>SUM(U$96:AA$96)</f>
        <v>2.4499999999999997E-2</v>
      </c>
      <c r="AC107" s="67" t="str">
        <f>+F107</f>
        <v>SS</v>
      </c>
    </row>
    <row r="108" spans="1:29" x14ac:dyDescent="0.2">
      <c r="A108" s="70"/>
      <c r="B108" s="103">
        <v>-1</v>
      </c>
      <c r="C108" s="9"/>
      <c r="F108" s="36"/>
      <c r="G108" s="17"/>
      <c r="H108" s="19"/>
      <c r="I108" s="19"/>
      <c r="J108" s="16"/>
      <c r="K108" s="16"/>
      <c r="L108" s="16"/>
      <c r="M108" s="8"/>
      <c r="N108" s="8"/>
      <c r="O108" s="8"/>
      <c r="P108" s="8"/>
      <c r="Q108" s="8"/>
      <c r="R108" s="8"/>
      <c r="S108" s="50">
        <v>0.1</v>
      </c>
      <c r="T108" s="17"/>
      <c r="U108" s="17"/>
      <c r="V108" s="17"/>
      <c r="W108" s="17"/>
      <c r="X108" s="17"/>
      <c r="Y108" s="17"/>
      <c r="Z108" s="17"/>
      <c r="AA108" s="17"/>
    </row>
    <row r="109" spans="1:29" x14ac:dyDescent="0.2">
      <c r="A109" s="89"/>
      <c r="B109" s="103">
        <f>IF(AND('AES Indiana Bill Calc.'!$D$17="SS",'AES Indiana Bill Calc.'!$D$18="Yes 10%",'AES Indiana Bill Calc.'!$D$20="No"),'AES Indiana Bill Calc.'!$D$19,-1)</f>
        <v>-1</v>
      </c>
      <c r="C109" s="1" t="s">
        <v>164</v>
      </c>
      <c r="F109" s="36" t="s">
        <v>54</v>
      </c>
      <c r="G109" s="17">
        <f>SUM(J109:M109,O109:P109,R109:AA109)</f>
        <v>39.860000000000007</v>
      </c>
      <c r="H109" s="19" t="e">
        <f>IF(ISBLANK(B109),0,+#REF!/B109)</f>
        <v>#REF!</v>
      </c>
      <c r="I109" s="86"/>
      <c r="J109" s="16">
        <f>IF(ISBLANK(B109),0,IF(B109&gt;J$97,+J$96,+F$96))</f>
        <v>40</v>
      </c>
      <c r="K109" s="16">
        <f>IF($B109&gt;K$97,ROUND(K$97*K$96,2),ROUND($B109*K$96,2))</f>
        <v>-0.12</v>
      </c>
      <c r="L109" s="16">
        <f>IF($B109&gt;K$97,ROUND(($B109-K$97)*L$96,2),0)</f>
        <v>0</v>
      </c>
      <c r="M109" s="8"/>
      <c r="N109" s="17">
        <f>SUM(K109:L109)</f>
        <v>-0.12</v>
      </c>
      <c r="O109" s="8"/>
      <c r="P109" s="8"/>
      <c r="Q109" s="8"/>
      <c r="R109" s="8"/>
      <c r="S109" s="17">
        <f>ROUND($B109*S$96*S108,2)</f>
        <v>0</v>
      </c>
      <c r="T109" s="17">
        <f t="shared" si="15"/>
        <v>0</v>
      </c>
      <c r="U109" s="17">
        <f t="shared" si="15"/>
        <v>0</v>
      </c>
      <c r="V109" s="17">
        <f>ROUND($B109*V$96,2)</f>
        <v>-0.01</v>
      </c>
      <c r="W109" s="17">
        <f t="shared" si="15"/>
        <v>0</v>
      </c>
      <c r="X109" s="17">
        <f t="shared" si="15"/>
        <v>-0.01</v>
      </c>
      <c r="Y109" s="17">
        <f t="shared" si="15"/>
        <v>0</v>
      </c>
      <c r="Z109" s="17">
        <f t="shared" si="15"/>
        <v>0</v>
      </c>
      <c r="AA109" s="17">
        <f t="shared" si="15"/>
        <v>0</v>
      </c>
      <c r="AB109" s="19">
        <f>SUM(U$96:AA$96)</f>
        <v>2.4499999999999997E-2</v>
      </c>
      <c r="AC109" s="67" t="str">
        <f>+F109</f>
        <v>SS</v>
      </c>
    </row>
    <row r="110" spans="1:29" x14ac:dyDescent="0.2">
      <c r="B110" s="103">
        <v>-1</v>
      </c>
      <c r="C110" s="9"/>
      <c r="G110" s="17"/>
      <c r="H110" s="19"/>
      <c r="I110" s="19"/>
      <c r="J110" s="16"/>
      <c r="K110" s="16"/>
      <c r="L110" s="16"/>
      <c r="M110" s="8"/>
      <c r="N110" s="8"/>
      <c r="O110" s="8"/>
      <c r="P110" s="8"/>
      <c r="Q110" s="8"/>
      <c r="R110" s="8"/>
      <c r="S110" s="50">
        <v>1</v>
      </c>
      <c r="T110" s="17"/>
      <c r="U110" s="17"/>
      <c r="V110" s="8"/>
      <c r="W110" s="17"/>
      <c r="X110" s="17"/>
      <c r="Y110" s="17"/>
      <c r="Z110" s="17"/>
      <c r="AA110" s="17"/>
      <c r="AB110" s="19"/>
      <c r="AC110" s="67"/>
    </row>
    <row r="111" spans="1:29" x14ac:dyDescent="0.2">
      <c r="A111" s="96"/>
      <c r="B111" s="103">
        <f>IF(AND('AES Indiana Bill Calc.'!$D$17="SS",'AES Indiana Bill Calc.'!$D$18="Yes 100%",'AES Indiana Bill Calc.'!$D$20="Yes Before 2018"),'AES Indiana Bill Calc.'!$D$19,-1)</f>
        <v>-1</v>
      </c>
      <c r="C111" s="1" t="s">
        <v>148</v>
      </c>
      <c r="F111" s="36" t="s">
        <v>165</v>
      </c>
      <c r="G111" s="17">
        <f>SUM(J111:M111,O111:P111,R111:AA111)</f>
        <v>39.870000000000005</v>
      </c>
      <c r="H111" s="19" t="e">
        <f>IF(ISBLANK(B111),0,+#REF!/B111)</f>
        <v>#REF!</v>
      </c>
      <c r="I111" s="19"/>
      <c r="J111" s="82">
        <f>IF(ISBLANK(B111),0,IF(B111&gt;J$97,+J$96,+F$96))</f>
        <v>40</v>
      </c>
      <c r="K111" s="82">
        <f>IF($B111&gt;K$97,ROUND(K$97*K$96,2),ROUND($B111*K$96,2))</f>
        <v>-0.12</v>
      </c>
      <c r="L111" s="82">
        <f>IF($B111&gt;K$97,ROUND(($B111-K$97)*L$96,2),0)</f>
        <v>0</v>
      </c>
      <c r="M111" s="41"/>
      <c r="N111" s="17">
        <f>SUM(K111:L111)</f>
        <v>-0.12</v>
      </c>
      <c r="O111" s="41"/>
      <c r="P111" s="41"/>
      <c r="Q111" s="41"/>
      <c r="R111" s="41"/>
      <c r="S111" s="42">
        <f>ROUND($B111*S$96*S100,2)</f>
        <v>0</v>
      </c>
      <c r="T111" s="42">
        <f>ROUND($B111*T$96,2)</f>
        <v>0</v>
      </c>
      <c r="U111" s="42">
        <f>ROUND($B111*U$96,2)</f>
        <v>0</v>
      </c>
      <c r="V111" s="41">
        <f>ROUND($B111*V87,2)</f>
        <v>0</v>
      </c>
      <c r="W111" s="42">
        <f>ROUND($B111*W$96,2)</f>
        <v>0</v>
      </c>
      <c r="X111" s="42">
        <f>ROUND($B111*X$96,2)</f>
        <v>-0.01</v>
      </c>
      <c r="Y111" s="42">
        <f>ROUND($B111*Y$96,2)</f>
        <v>0</v>
      </c>
      <c r="Z111" s="42">
        <f>ROUND($B111*Z$96,2)</f>
        <v>0</v>
      </c>
      <c r="AA111" s="42">
        <f>ROUND($B111*AA$96,2)</f>
        <v>0</v>
      </c>
      <c r="AB111" s="19">
        <f>SUM(U$96:AA$96)+(-V$96+V79)</f>
        <v>4.4989999999999995E-3</v>
      </c>
      <c r="AC111" s="94" t="str">
        <f>+F111</f>
        <v>SS7</v>
      </c>
    </row>
    <row r="112" spans="1:29" x14ac:dyDescent="0.2">
      <c r="B112" s="103">
        <v>-1</v>
      </c>
      <c r="C112" s="9"/>
      <c r="G112" s="17"/>
      <c r="H112" s="19"/>
      <c r="I112" s="19"/>
      <c r="J112" s="16"/>
      <c r="K112" s="16"/>
      <c r="L112" s="16"/>
      <c r="M112" s="8"/>
      <c r="N112" s="8"/>
      <c r="O112" s="8"/>
      <c r="P112" s="8"/>
      <c r="Q112" s="8"/>
      <c r="R112" s="8"/>
      <c r="S112" s="50">
        <v>0.5</v>
      </c>
      <c r="T112" s="17"/>
      <c r="U112" s="17"/>
      <c r="V112" s="8"/>
      <c r="W112" s="17"/>
      <c r="X112" s="17"/>
      <c r="Y112" s="17"/>
      <c r="Z112" s="17"/>
      <c r="AA112" s="17"/>
      <c r="AB112" s="19"/>
      <c r="AC112" s="67"/>
    </row>
    <row r="113" spans="1:29" x14ac:dyDescent="0.2">
      <c r="A113" s="96"/>
      <c r="B113" s="103">
        <f>IF(AND('AES Indiana Bill Calc.'!$D$17="SS",'AES Indiana Bill Calc.'!$D$18="Yes 50%",'AES Indiana Bill Calc.'!$D$20="Yes Before 2018"),'AES Indiana Bill Calc.'!$D$19,-1)</f>
        <v>-1</v>
      </c>
      <c r="C113" s="1" t="s">
        <v>149</v>
      </c>
      <c r="F113" s="36" t="s">
        <v>165</v>
      </c>
      <c r="G113" s="17">
        <f>SUM(J113:M113,O113:P113,R113:AA113)</f>
        <v>39.870000000000005</v>
      </c>
      <c r="H113" s="19" t="e">
        <f>IF(ISBLANK(B113),0,+#REF!/B113)</f>
        <v>#REF!</v>
      </c>
      <c r="I113" s="19"/>
      <c r="J113" s="82">
        <f>IF(ISBLANK(B113),0,IF(B113&gt;J$97,+J$96,+F$96))</f>
        <v>40</v>
      </c>
      <c r="K113" s="82">
        <f>IF($B113&gt;K$97,ROUND(K$97*K$96,2),ROUND($B113*K$96,2))</f>
        <v>-0.12</v>
      </c>
      <c r="L113" s="82">
        <f>IF($B113&gt;K$97,ROUND(($B113-K$97)*L$96,2),0)</f>
        <v>0</v>
      </c>
      <c r="M113" s="41"/>
      <c r="N113" s="17">
        <f>SUM(K113:L113)</f>
        <v>-0.12</v>
      </c>
      <c r="O113" s="41"/>
      <c r="P113" s="41"/>
      <c r="Q113" s="41"/>
      <c r="R113" s="41"/>
      <c r="S113" s="42">
        <f>ROUND($B113*S$96*S112,2)</f>
        <v>0</v>
      </c>
      <c r="T113" s="42">
        <f>ROUND($B113*T$96,2)</f>
        <v>0</v>
      </c>
      <c r="U113" s="42">
        <f>ROUND($B113*U$96,2)</f>
        <v>0</v>
      </c>
      <c r="V113" s="41">
        <f>ROUND($B113*V87,2)</f>
        <v>0</v>
      </c>
      <c r="W113" s="42">
        <f>ROUND($B113*W$96,2)</f>
        <v>0</v>
      </c>
      <c r="X113" s="42">
        <f>ROUND($B113*X$96,2)</f>
        <v>-0.01</v>
      </c>
      <c r="Y113" s="42">
        <f>ROUND($B113*Y$96,2)</f>
        <v>0</v>
      </c>
      <c r="Z113" s="42">
        <f>ROUND($B113*Z$96,2)</f>
        <v>0</v>
      </c>
      <c r="AA113" s="42">
        <f>ROUND($B113*AA$96,2)</f>
        <v>0</v>
      </c>
      <c r="AB113" s="19">
        <f>SUM(U$96:AA$96)+(-V$96+V81)</f>
        <v>4.4989999999999995E-3</v>
      </c>
      <c r="AC113" s="94" t="str">
        <f>+F113</f>
        <v>SS7</v>
      </c>
    </row>
    <row r="114" spans="1:29" x14ac:dyDescent="0.2">
      <c r="B114" s="103">
        <v>-1</v>
      </c>
      <c r="C114" s="9"/>
      <c r="G114" s="17"/>
      <c r="H114" s="19"/>
      <c r="I114" s="19"/>
      <c r="J114" s="16"/>
      <c r="K114" s="16"/>
      <c r="L114" s="16"/>
      <c r="M114" s="8"/>
      <c r="N114" s="8"/>
      <c r="O114" s="8"/>
      <c r="P114" s="8"/>
      <c r="Q114" s="8"/>
      <c r="R114" s="8"/>
      <c r="S114" s="50">
        <v>0.25</v>
      </c>
      <c r="T114" s="17"/>
      <c r="U114" s="17"/>
      <c r="V114" s="8"/>
      <c r="W114" s="17"/>
      <c r="X114" s="17"/>
      <c r="Y114" s="17"/>
      <c r="Z114" s="17"/>
      <c r="AA114" s="17"/>
      <c r="AB114" s="19"/>
      <c r="AC114" s="67"/>
    </row>
    <row r="115" spans="1:29" x14ac:dyDescent="0.2">
      <c r="A115" s="96"/>
      <c r="B115" s="103">
        <f>IF(AND('AES Indiana Bill Calc.'!$D$17="SS",'AES Indiana Bill Calc.'!$D$18="Yes 25%",'AES Indiana Bill Calc.'!$D$20="Yes Before 2018"),'AES Indiana Bill Calc.'!$D$19,-1)</f>
        <v>-1</v>
      </c>
      <c r="C115" s="1" t="s">
        <v>150</v>
      </c>
      <c r="F115" s="36" t="s">
        <v>165</v>
      </c>
      <c r="G115" s="17">
        <f>SUM(J115:M115,O115:P115,R115:AA115)</f>
        <v>39.870000000000005</v>
      </c>
      <c r="H115" s="19" t="e">
        <f>IF(ISBLANK(B115),0,+#REF!/B115)</f>
        <v>#REF!</v>
      </c>
      <c r="I115" s="19"/>
      <c r="J115" s="82">
        <f>IF(ISBLANK(B115),0,IF(B115&gt;J$97,+J$96,+F$96))</f>
        <v>40</v>
      </c>
      <c r="K115" s="82">
        <f>IF($B115&gt;K$97,ROUND(K$97*K$96,2),ROUND($B115*K$96,2))</f>
        <v>-0.12</v>
      </c>
      <c r="L115" s="82">
        <f>IF($B115&gt;K$97,ROUND(($B115-K$97)*L$96,2),0)</f>
        <v>0</v>
      </c>
      <c r="M115" s="41"/>
      <c r="N115" s="17">
        <f>SUM(K115:L115)</f>
        <v>-0.12</v>
      </c>
      <c r="O115" s="41"/>
      <c r="P115" s="41"/>
      <c r="Q115" s="41"/>
      <c r="R115" s="41"/>
      <c r="S115" s="42">
        <f>ROUND($B115*S$96*S114,2)</f>
        <v>0</v>
      </c>
      <c r="T115" s="42">
        <f>ROUND($B115*T$96,2)</f>
        <v>0</v>
      </c>
      <c r="U115" s="42">
        <f>ROUND($B115*U$96,2)</f>
        <v>0</v>
      </c>
      <c r="V115" s="41">
        <f>ROUND($B115*V87,2)</f>
        <v>0</v>
      </c>
      <c r="W115" s="42">
        <f>ROUND($B115*W$96,2)</f>
        <v>0</v>
      </c>
      <c r="X115" s="42">
        <f>ROUND($B115*X$96,2)</f>
        <v>-0.01</v>
      </c>
      <c r="Y115" s="42">
        <f>ROUND($B115*Y$96,2)</f>
        <v>0</v>
      </c>
      <c r="Z115" s="42">
        <f>ROUND($B115*Z$96,2)</f>
        <v>0</v>
      </c>
      <c r="AA115" s="42">
        <f>ROUND($B115*AA$96,2)</f>
        <v>0</v>
      </c>
      <c r="AB115" s="19">
        <f>SUM(U$96:AA$96)+(-V$96+V83)</f>
        <v>4.4989999999999995E-3</v>
      </c>
      <c r="AC115" s="94" t="str">
        <f>+F115</f>
        <v>SS7</v>
      </c>
    </row>
    <row r="116" spans="1:29" x14ac:dyDescent="0.2">
      <c r="B116" s="103">
        <v>-1</v>
      </c>
      <c r="C116" s="9"/>
      <c r="G116" s="17"/>
      <c r="H116" s="19"/>
      <c r="I116" s="19"/>
      <c r="J116" s="16"/>
      <c r="K116" s="16"/>
      <c r="L116" s="16"/>
      <c r="M116" s="8"/>
      <c r="N116" s="8"/>
      <c r="O116" s="8"/>
      <c r="P116" s="8"/>
      <c r="Q116" s="8"/>
      <c r="R116" s="8"/>
      <c r="S116" s="50">
        <v>0.1</v>
      </c>
      <c r="T116" s="17"/>
      <c r="U116" s="17"/>
      <c r="V116" s="8"/>
      <c r="W116" s="17"/>
      <c r="X116" s="17"/>
      <c r="Y116" s="17"/>
      <c r="Z116" s="17"/>
      <c r="AA116" s="17"/>
      <c r="AB116" s="19"/>
      <c r="AC116" s="67"/>
    </row>
    <row r="117" spans="1:29" x14ac:dyDescent="0.2">
      <c r="A117" s="96"/>
      <c r="B117" s="103">
        <f>IF(AND('AES Indiana Bill Calc.'!$D$17="SS",'AES Indiana Bill Calc.'!$D$18="Yes 10%",'AES Indiana Bill Calc.'!$D$20="Yes Before 2018"),'AES Indiana Bill Calc.'!$D$19,-1)</f>
        <v>-1</v>
      </c>
      <c r="C117" s="1" t="s">
        <v>164</v>
      </c>
      <c r="F117" s="36" t="s">
        <v>165</v>
      </c>
      <c r="G117" s="17">
        <f>SUM(J117:M117,O117:P117,R117:AA117)</f>
        <v>39.870000000000005</v>
      </c>
      <c r="H117" s="19" t="e">
        <f>IF(ISBLANK(B117),0,+#REF!/B117)</f>
        <v>#REF!</v>
      </c>
      <c r="I117" s="19"/>
      <c r="J117" s="82">
        <f>IF(ISBLANK(B117),0,IF(B117&gt;J$97,+J$96,+F$96))</f>
        <v>40</v>
      </c>
      <c r="K117" s="82">
        <f>IF($B117&gt;K$97,ROUND(K$97*K$96,2),ROUND($B117*K$96,2))</f>
        <v>-0.12</v>
      </c>
      <c r="L117" s="82">
        <f>IF($B117&gt;K$97,ROUND(($B117-K$97)*L$96,2),0)</f>
        <v>0</v>
      </c>
      <c r="M117" s="41"/>
      <c r="N117" s="17">
        <f>SUM(K117:L117)</f>
        <v>-0.12</v>
      </c>
      <c r="O117" s="41"/>
      <c r="P117" s="41"/>
      <c r="Q117" s="41"/>
      <c r="R117" s="41"/>
      <c r="S117" s="42">
        <f>ROUND($B117*S$96*S116,2)</f>
        <v>0</v>
      </c>
      <c r="T117" s="42">
        <f>ROUND($B117*T$96,2)</f>
        <v>0</v>
      </c>
      <c r="U117" s="42">
        <f>ROUND($B117*U$96,2)</f>
        <v>0</v>
      </c>
      <c r="V117" s="41">
        <f>ROUND($B117*V87,2)</f>
        <v>0</v>
      </c>
      <c r="W117" s="42">
        <f>ROUND($B117*W$96,2)</f>
        <v>0</v>
      </c>
      <c r="X117" s="42">
        <f>ROUND($B117*X$96,2)</f>
        <v>-0.01</v>
      </c>
      <c r="Y117" s="42">
        <f>ROUND($B117*Y$96,2)</f>
        <v>0</v>
      </c>
      <c r="Z117" s="42">
        <f>ROUND($B117*Z$96,2)</f>
        <v>0</v>
      </c>
      <c r="AA117" s="42">
        <f>ROUND($B117*AA$96,2)</f>
        <v>0</v>
      </c>
      <c r="AB117" s="19">
        <f>SUM(U$96:AA$96)+(-V$96+V85)</f>
        <v>1.4498999999999998E-2</v>
      </c>
      <c r="AC117" s="94" t="str">
        <f>+F117</f>
        <v>SS7</v>
      </c>
    </row>
    <row r="118" spans="1:29" x14ac:dyDescent="0.2">
      <c r="B118" s="103">
        <v>-1</v>
      </c>
      <c r="C118" s="9"/>
      <c r="G118" s="17"/>
      <c r="H118" s="19"/>
      <c r="I118" s="19"/>
      <c r="J118" s="16"/>
      <c r="K118" s="16"/>
      <c r="L118" s="16"/>
      <c r="M118" s="8"/>
      <c r="N118" s="8"/>
      <c r="O118" s="8"/>
      <c r="P118" s="8"/>
      <c r="Q118" s="8"/>
      <c r="R118" s="8"/>
      <c r="S118" s="50">
        <v>0</v>
      </c>
      <c r="T118" s="17"/>
      <c r="U118" s="17"/>
      <c r="V118" s="8"/>
      <c r="W118" s="17"/>
      <c r="X118" s="17"/>
      <c r="Y118" s="17"/>
      <c r="Z118" s="17"/>
      <c r="AA118" s="17"/>
      <c r="AB118" s="19"/>
      <c r="AC118" s="67"/>
    </row>
    <row r="119" spans="1:29" x14ac:dyDescent="0.2">
      <c r="A119" s="96"/>
      <c r="B119" s="103">
        <f>IF(AND('AES Indiana Bill Calc.'!$D$17="SS",'AES Indiana Bill Calc.'!$D$18="No",'AES Indiana Bill Calc.'!$D$20="Yes Before 2018"),'AES Indiana Bill Calc.'!$D$19,-1)</f>
        <v>-1</v>
      </c>
      <c r="C119" s="1" t="s">
        <v>147</v>
      </c>
      <c r="F119" s="36" t="s">
        <v>165</v>
      </c>
      <c r="G119" s="17">
        <f>SUM(J119:M119,O119:P119,R119:AA119)</f>
        <v>39.870000000000005</v>
      </c>
      <c r="H119" s="19" t="e">
        <f>IF(ISBLANK(B119),0,+#REF!/B119)</f>
        <v>#REF!</v>
      </c>
      <c r="I119" s="19"/>
      <c r="J119" s="82">
        <f>IF(ISBLANK(B119),0,IF(B119&gt;J$97,+J$96,+F$96))</f>
        <v>40</v>
      </c>
      <c r="K119" s="82">
        <f>IF($B119&gt;K$97,ROUND(K$97*K$96,2),ROUND($B119*K$96,2))</f>
        <v>-0.12</v>
      </c>
      <c r="L119" s="82">
        <f>IF($B119&gt;K$97,ROUND(($B119-K$97)*L$96,2),0)</f>
        <v>0</v>
      </c>
      <c r="M119" s="41"/>
      <c r="N119" s="17">
        <f>SUM(K119:L119)</f>
        <v>-0.12</v>
      </c>
      <c r="O119" s="41"/>
      <c r="P119" s="41"/>
      <c r="Q119" s="41"/>
      <c r="R119" s="41"/>
      <c r="S119" s="42">
        <f>ROUND($B119*S$96*S118,2)</f>
        <v>0</v>
      </c>
      <c r="T119" s="42">
        <f>ROUND($B119*T$96,2)</f>
        <v>0</v>
      </c>
      <c r="U119" s="42">
        <f>ROUND($B119*U$96,2)</f>
        <v>0</v>
      </c>
      <c r="V119" s="41">
        <f>ROUND($B119*V87,2)</f>
        <v>0</v>
      </c>
      <c r="W119" s="42">
        <f>ROUND($B119*W$96,2)</f>
        <v>0</v>
      </c>
      <c r="X119" s="42">
        <f>ROUND($B119*X$96,2)</f>
        <v>-0.01</v>
      </c>
      <c r="Y119" s="42">
        <f>ROUND($B119*Y$96,2)</f>
        <v>0</v>
      </c>
      <c r="Z119" s="42">
        <f>ROUND($B119*Z$96,2)</f>
        <v>0</v>
      </c>
      <c r="AA119" s="42">
        <f>ROUND($B119*AA$96,2)</f>
        <v>0</v>
      </c>
      <c r="AB119" s="19">
        <f>SUM(U$96:AA$96)+(-V$96+V86)</f>
        <v>1.4498999999999998E-2</v>
      </c>
      <c r="AC119" s="94" t="str">
        <f>+F119</f>
        <v>SS7</v>
      </c>
    </row>
    <row r="120" spans="1:29" x14ac:dyDescent="0.2">
      <c r="B120" s="103">
        <v>-1</v>
      </c>
      <c r="C120" s="9"/>
      <c r="G120" s="17"/>
      <c r="H120" s="19"/>
      <c r="I120" s="19"/>
      <c r="J120" s="16"/>
      <c r="K120" s="16"/>
      <c r="L120" s="16"/>
      <c r="M120" s="8"/>
      <c r="N120" s="8"/>
      <c r="O120" s="8"/>
      <c r="P120" s="8"/>
      <c r="Q120" s="8"/>
      <c r="R120" s="8"/>
      <c r="S120" s="50">
        <v>1</v>
      </c>
      <c r="T120" s="17"/>
      <c r="U120" s="17"/>
      <c r="V120" s="8"/>
      <c r="W120" s="17"/>
      <c r="X120" s="17"/>
      <c r="Y120" s="17"/>
      <c r="Z120" s="17"/>
      <c r="AA120" s="17"/>
      <c r="AB120" s="19"/>
      <c r="AC120" s="67"/>
    </row>
    <row r="121" spans="1:29" x14ac:dyDescent="0.2">
      <c r="A121" s="96"/>
      <c r="B121" s="103">
        <f>IF(AND('AES Indiana Bill Calc.'!$D$17="SS",'AES Indiana Bill Calc.'!$D$18="Yes 100%",'AES Indiana Bill Calc.'!$D$20="Yes 2018"),'AES Indiana Bill Calc.'!$D$19,-1)</f>
        <v>-1</v>
      </c>
      <c r="C121" s="1" t="s">
        <v>148</v>
      </c>
      <c r="F121" s="36" t="s">
        <v>166</v>
      </c>
      <c r="G121" s="17">
        <f>SUM(J121:M121,O121:P121,R121:AA121)</f>
        <v>39.870000000000005</v>
      </c>
      <c r="H121" s="19" t="e">
        <f>IF(ISBLANK(B121),0,+#REF!/B121)</f>
        <v>#REF!</v>
      </c>
      <c r="I121" s="19"/>
      <c r="J121" s="82">
        <f>IF(ISBLANK(B121),0,IF(B121&gt;J$97,+J$96,+F$96))</f>
        <v>40</v>
      </c>
      <c r="K121" s="82">
        <f>IF($B121&gt;K$97,ROUND(K$97*K$96,2),ROUND($B121*K$96,2))</f>
        <v>-0.12</v>
      </c>
      <c r="L121" s="82">
        <f>IF($B121&gt;K$97,ROUND(($B121-K$97)*L$96,2),0)</f>
        <v>0</v>
      </c>
      <c r="M121" s="41"/>
      <c r="N121" s="17">
        <f>SUM(K121:L121)</f>
        <v>-0.12</v>
      </c>
      <c r="O121" s="41"/>
      <c r="P121" s="41"/>
      <c r="Q121" s="41"/>
      <c r="R121" s="41"/>
      <c r="S121" s="42">
        <f>ROUND($B121*S$96*S110,2)</f>
        <v>0</v>
      </c>
      <c r="T121" s="42">
        <f>ROUND($B121*T$96,2)</f>
        <v>0</v>
      </c>
      <c r="U121" s="42">
        <f>ROUND($B121*U$96,2)</f>
        <v>0</v>
      </c>
      <c r="V121" s="41">
        <f>ROUND($B121*V$88,2)</f>
        <v>0</v>
      </c>
      <c r="W121" s="42">
        <f>ROUND($B121*W$96,2)</f>
        <v>0</v>
      </c>
      <c r="X121" s="42">
        <f>ROUND($B121*X$96,2)</f>
        <v>-0.01</v>
      </c>
      <c r="Y121" s="42">
        <f>ROUND($B121*Y$96,2)</f>
        <v>0</v>
      </c>
      <c r="Z121" s="42">
        <f>ROUND($B121*Z$96,2)</f>
        <v>0</v>
      </c>
      <c r="AA121" s="42">
        <f>ROUND($B121*AA$96,2)</f>
        <v>0</v>
      </c>
      <c r="AB121" s="19" t="e">
        <f>SUM(U$96:AA$96)+(-V$96+#REF!)</f>
        <v>#REF!</v>
      </c>
      <c r="AC121" s="94" t="str">
        <f>+F121</f>
        <v>SS8</v>
      </c>
    </row>
    <row r="122" spans="1:29" x14ac:dyDescent="0.2">
      <c r="B122" s="103">
        <v>-1</v>
      </c>
      <c r="C122" s="9"/>
      <c r="G122" s="17"/>
      <c r="H122" s="19"/>
      <c r="I122" s="19"/>
      <c r="J122" s="16"/>
      <c r="K122" s="16"/>
      <c r="L122" s="16"/>
      <c r="M122" s="8"/>
      <c r="N122" s="8"/>
      <c r="O122" s="8"/>
      <c r="P122" s="8"/>
      <c r="Q122" s="8"/>
      <c r="R122" s="8"/>
      <c r="S122" s="50">
        <v>0.5</v>
      </c>
      <c r="T122" s="17"/>
      <c r="U122" s="17"/>
      <c r="V122" s="8"/>
      <c r="W122" s="17"/>
      <c r="X122" s="17"/>
      <c r="Y122" s="17"/>
      <c r="Z122" s="17"/>
      <c r="AA122" s="17"/>
      <c r="AB122" s="19"/>
      <c r="AC122" s="67"/>
    </row>
    <row r="123" spans="1:29" x14ac:dyDescent="0.2">
      <c r="A123" s="96"/>
      <c r="B123" s="103">
        <f>IF(AND('AES Indiana Bill Calc.'!$D$17="SS",'AES Indiana Bill Calc.'!$D$18="Yes 50%",'AES Indiana Bill Calc.'!$D$20="Yes 2018"),'AES Indiana Bill Calc.'!$D$19,-1)</f>
        <v>-1</v>
      </c>
      <c r="C123" s="1" t="s">
        <v>149</v>
      </c>
      <c r="F123" s="36" t="s">
        <v>166</v>
      </c>
      <c r="G123" s="17">
        <f>SUM(J123:M123,O123:P123,R123:AA123)</f>
        <v>39.870000000000005</v>
      </c>
      <c r="H123" s="19" t="e">
        <f>IF(ISBLANK(B123),0,+#REF!/B123)</f>
        <v>#REF!</v>
      </c>
      <c r="I123" s="19"/>
      <c r="J123" s="82">
        <f>IF(ISBLANK(B123),0,IF(B123&gt;J$97,+J$96,+F$96))</f>
        <v>40</v>
      </c>
      <c r="K123" s="82">
        <f>IF($B123&gt;K$97,ROUND(K$97*K$96,2),ROUND($B123*K$96,2))</f>
        <v>-0.12</v>
      </c>
      <c r="L123" s="82">
        <f>IF($B123&gt;K$97,ROUND(($B123-K$97)*L$96,2),0)</f>
        <v>0</v>
      </c>
      <c r="M123" s="41"/>
      <c r="N123" s="17">
        <f>SUM(K123:L123)</f>
        <v>-0.12</v>
      </c>
      <c r="O123" s="41"/>
      <c r="P123" s="41"/>
      <c r="Q123" s="41"/>
      <c r="R123" s="41"/>
      <c r="S123" s="42">
        <f>ROUND($B123*S$96*S122,2)</f>
        <v>0</v>
      </c>
      <c r="T123" s="42">
        <f>ROUND($B123*T$96,2)</f>
        <v>0</v>
      </c>
      <c r="U123" s="42">
        <f>ROUND($B123*U$96,2)</f>
        <v>0</v>
      </c>
      <c r="V123" s="41">
        <f>ROUND($B123*V$88,2)</f>
        <v>0</v>
      </c>
      <c r="W123" s="42">
        <f>ROUND($B123*W$96,2)</f>
        <v>0</v>
      </c>
      <c r="X123" s="42">
        <f>ROUND($B123*X$96,2)</f>
        <v>-0.01</v>
      </c>
      <c r="Y123" s="42">
        <f>ROUND($B123*Y$96,2)</f>
        <v>0</v>
      </c>
      <c r="Z123" s="42">
        <f>ROUND($B123*Z$96,2)</f>
        <v>0</v>
      </c>
      <c r="AA123" s="42">
        <f>ROUND($B123*AA$96,2)</f>
        <v>0</v>
      </c>
      <c r="AB123" s="19">
        <f>SUM(U$96:AA$96)+(-V$96+V89)</f>
        <v>1.4504999999999999E-2</v>
      </c>
      <c r="AC123" s="94" t="str">
        <f>+F123</f>
        <v>SS8</v>
      </c>
    </row>
    <row r="124" spans="1:29" x14ac:dyDescent="0.2">
      <c r="B124" s="103">
        <v>-1</v>
      </c>
      <c r="C124" s="9"/>
      <c r="G124" s="17"/>
      <c r="H124" s="19"/>
      <c r="I124" s="19"/>
      <c r="J124" s="16"/>
      <c r="K124" s="16"/>
      <c r="L124" s="16"/>
      <c r="M124" s="8"/>
      <c r="N124" s="8"/>
      <c r="O124" s="8"/>
      <c r="P124" s="8"/>
      <c r="Q124" s="8"/>
      <c r="R124" s="8"/>
      <c r="S124" s="50">
        <v>0.25</v>
      </c>
      <c r="T124" s="17"/>
      <c r="U124" s="17"/>
      <c r="V124" s="8"/>
      <c r="W124" s="17"/>
      <c r="X124" s="17"/>
      <c r="Y124" s="17"/>
      <c r="Z124" s="17"/>
      <c r="AA124" s="17"/>
      <c r="AB124" s="19"/>
      <c r="AC124" s="67"/>
    </row>
    <row r="125" spans="1:29" x14ac:dyDescent="0.2">
      <c r="A125" s="96"/>
      <c r="B125" s="103">
        <f>IF(AND('AES Indiana Bill Calc.'!$D$17="SS",'AES Indiana Bill Calc.'!$D$18="Yes 25%",'AES Indiana Bill Calc.'!$D$20="Yes 2018"),'AES Indiana Bill Calc.'!$D$19,-1)</f>
        <v>-1</v>
      </c>
      <c r="C125" s="1" t="s">
        <v>150</v>
      </c>
      <c r="F125" s="36" t="s">
        <v>166</v>
      </c>
      <c r="G125" s="17">
        <f>SUM(J125:M125,O125:P125,R125:AA125)</f>
        <v>39.870000000000005</v>
      </c>
      <c r="H125" s="19" t="e">
        <f>IF(ISBLANK(B125),0,+#REF!/B125)</f>
        <v>#REF!</v>
      </c>
      <c r="I125" s="19"/>
      <c r="J125" s="82">
        <f>IF(ISBLANK(B125),0,IF(B125&gt;J$97,+J$96,+F$96))</f>
        <v>40</v>
      </c>
      <c r="K125" s="82">
        <f>IF($B125&gt;K$97,ROUND(K$97*K$96,2),ROUND($B125*K$96,2))</f>
        <v>-0.12</v>
      </c>
      <c r="L125" s="82">
        <f>IF($B125&gt;K$97,ROUND(($B125-K$97)*L$96,2),0)</f>
        <v>0</v>
      </c>
      <c r="M125" s="41"/>
      <c r="N125" s="17">
        <f>SUM(K125:L125)</f>
        <v>-0.12</v>
      </c>
      <c r="O125" s="41"/>
      <c r="P125" s="41"/>
      <c r="Q125" s="41"/>
      <c r="R125" s="41"/>
      <c r="S125" s="42">
        <f>ROUND($B125*S$96*S124,2)</f>
        <v>0</v>
      </c>
      <c r="T125" s="42">
        <f>ROUND($B125*T$96,2)</f>
        <v>0</v>
      </c>
      <c r="U125" s="42">
        <f>ROUND($B125*U$96,2)</f>
        <v>0</v>
      </c>
      <c r="V125" s="41">
        <f>ROUND($B125*V$88,2)</f>
        <v>0</v>
      </c>
      <c r="W125" s="42">
        <f>ROUND($B125*W$96,2)</f>
        <v>0</v>
      </c>
      <c r="X125" s="42">
        <f>ROUND($B125*X$96,2)</f>
        <v>-0.01</v>
      </c>
      <c r="Y125" s="42">
        <f>ROUND($B125*Y$96,2)</f>
        <v>0</v>
      </c>
      <c r="Z125" s="42">
        <f>ROUND($B125*Z$96,2)</f>
        <v>0</v>
      </c>
      <c r="AA125" s="42">
        <f>ROUND($B125*AA$96,2)</f>
        <v>0</v>
      </c>
      <c r="AB125" s="19">
        <f>SUM(U$96:AA$96)+(-V$96+V91)</f>
        <v>1.4494999999999997E-2</v>
      </c>
      <c r="AC125" s="94" t="str">
        <f>+F125</f>
        <v>SS8</v>
      </c>
    </row>
    <row r="126" spans="1:29" x14ac:dyDescent="0.2">
      <c r="B126" s="103">
        <v>-1</v>
      </c>
      <c r="C126" s="9"/>
      <c r="G126" s="17"/>
      <c r="H126" s="19"/>
      <c r="I126" s="19"/>
      <c r="J126" s="16"/>
      <c r="K126" s="16"/>
      <c r="L126" s="16"/>
      <c r="M126" s="8"/>
      <c r="N126" s="8"/>
      <c r="O126" s="8"/>
      <c r="P126" s="8"/>
      <c r="Q126" s="8"/>
      <c r="R126" s="8"/>
      <c r="S126" s="50">
        <v>0.1</v>
      </c>
      <c r="T126" s="17"/>
      <c r="U126" s="17"/>
      <c r="V126" s="8"/>
      <c r="W126" s="17"/>
      <c r="X126" s="17"/>
      <c r="Y126" s="17"/>
      <c r="Z126" s="17"/>
      <c r="AA126" s="17"/>
      <c r="AB126" s="19"/>
      <c r="AC126" s="67"/>
    </row>
    <row r="127" spans="1:29" x14ac:dyDescent="0.2">
      <c r="A127" s="96"/>
      <c r="B127" s="103">
        <f>IF(AND('AES Indiana Bill Calc.'!$D$17="SS",'AES Indiana Bill Calc.'!$D$18="Yes 10%",'AES Indiana Bill Calc.'!$D$20="Yes 2018"),'AES Indiana Bill Calc.'!$D$19,-1)</f>
        <v>-1</v>
      </c>
      <c r="C127" s="1" t="s">
        <v>164</v>
      </c>
      <c r="F127" s="36" t="s">
        <v>166</v>
      </c>
      <c r="G127" s="17">
        <f>SUM(J127:M127,O127:P127,R127:AA127)</f>
        <v>39.870000000000005</v>
      </c>
      <c r="H127" s="19" t="e">
        <f>IF(ISBLANK(B127),0,+#REF!/B127)</f>
        <v>#REF!</v>
      </c>
      <c r="I127" s="19"/>
      <c r="J127" s="82">
        <f>IF(ISBLANK(B127),0,IF(B127&gt;J$97,+J$96,+F$96))</f>
        <v>40</v>
      </c>
      <c r="K127" s="82">
        <f>IF($B127&gt;K$97,ROUND(K$97*K$96,2),ROUND($B127*K$96,2))</f>
        <v>-0.12</v>
      </c>
      <c r="L127" s="82">
        <f>IF($B127&gt;K$97,ROUND(($B127-K$97)*L$96,2),0)</f>
        <v>0</v>
      </c>
      <c r="M127" s="41"/>
      <c r="N127" s="17">
        <f>SUM(K127:L127)</f>
        <v>-0.12</v>
      </c>
      <c r="O127" s="41"/>
      <c r="P127" s="41"/>
      <c r="Q127" s="41"/>
      <c r="R127" s="41"/>
      <c r="S127" s="42">
        <f>ROUND($B127*S$96*S126,2)</f>
        <v>0</v>
      </c>
      <c r="T127" s="42">
        <f>ROUND($B127*T$96,2)</f>
        <v>0</v>
      </c>
      <c r="U127" s="42">
        <f>ROUND($B127*U$96,2)</f>
        <v>0</v>
      </c>
      <c r="V127" s="41">
        <f>ROUND($B127*V$88,2)</f>
        <v>0</v>
      </c>
      <c r="W127" s="42">
        <f>ROUND($B127*W$96,2)</f>
        <v>0</v>
      </c>
      <c r="X127" s="42">
        <f>ROUND($B127*X$96,2)</f>
        <v>-0.01</v>
      </c>
      <c r="Y127" s="42">
        <f>ROUND($B127*Y$96,2)</f>
        <v>0</v>
      </c>
      <c r="Z127" s="42">
        <f>ROUND($B127*Z$96,2)</f>
        <v>0</v>
      </c>
      <c r="AA127" s="42">
        <f>ROUND($B127*AA$96,2)</f>
        <v>0</v>
      </c>
      <c r="AB127" s="19">
        <f>SUM(U$96:AA$96)+(-V$96+V92)</f>
        <v>1.4498999999999998E-2</v>
      </c>
      <c r="AC127" s="94" t="str">
        <f>+F127</f>
        <v>SS8</v>
      </c>
    </row>
    <row r="128" spans="1:29" x14ac:dyDescent="0.2">
      <c r="B128" s="103">
        <v>-1</v>
      </c>
      <c r="C128" s="9"/>
      <c r="G128" s="17"/>
      <c r="H128" s="19"/>
      <c r="I128" s="19"/>
      <c r="J128" s="16"/>
      <c r="K128" s="16"/>
      <c r="L128" s="16"/>
      <c r="M128" s="8"/>
      <c r="N128" s="8"/>
      <c r="O128" s="8"/>
      <c r="P128" s="8"/>
      <c r="Q128" s="8"/>
      <c r="R128" s="8"/>
      <c r="S128" s="50">
        <v>0</v>
      </c>
      <c r="T128" s="17"/>
      <c r="U128" s="17"/>
      <c r="V128" s="8"/>
      <c r="W128" s="17"/>
      <c r="X128" s="17"/>
      <c r="Y128" s="17"/>
      <c r="Z128" s="17"/>
      <c r="AA128" s="17"/>
      <c r="AB128" s="19"/>
      <c r="AC128" s="67"/>
    </row>
    <row r="129" spans="1:29" x14ac:dyDescent="0.2">
      <c r="A129" s="96"/>
      <c r="B129" s="103">
        <f>IF(AND('AES Indiana Bill Calc.'!$D$17="SS",'AES Indiana Bill Calc.'!$D$18="No",'AES Indiana Bill Calc.'!$D$20="Yes 2018"),'AES Indiana Bill Calc.'!$D$19,-1)</f>
        <v>-1</v>
      </c>
      <c r="C129" s="1" t="s">
        <v>147</v>
      </c>
      <c r="F129" s="36" t="s">
        <v>166</v>
      </c>
      <c r="G129" s="17">
        <f>SUM(J129:M129,O129:P129,R129:AA129)</f>
        <v>39.870000000000005</v>
      </c>
      <c r="H129" s="19" t="e">
        <f>IF(ISBLANK(B129),0,+#REF!/B129)</f>
        <v>#REF!</v>
      </c>
      <c r="I129" s="19"/>
      <c r="J129" s="82">
        <f>IF(ISBLANK(B129),0,IF(B129&gt;J$97,+J$96,+F$96))</f>
        <v>40</v>
      </c>
      <c r="K129" s="82">
        <f>IF($B129&gt;K$97,ROUND(K$97*K$96,2),ROUND($B129*K$96,2))</f>
        <v>-0.12</v>
      </c>
      <c r="L129" s="82">
        <f>IF($B129&gt;K$97,ROUND(($B129-K$97)*L$96,2),0)</f>
        <v>0</v>
      </c>
      <c r="M129" s="41"/>
      <c r="N129" s="17">
        <f>SUM(K129:L129)</f>
        <v>-0.12</v>
      </c>
      <c r="O129" s="41"/>
      <c r="P129" s="41"/>
      <c r="Q129" s="41"/>
      <c r="R129" s="41"/>
      <c r="S129" s="42">
        <f>ROUND($B129*S$96*S128,2)</f>
        <v>0</v>
      </c>
      <c r="T129" s="42">
        <f>ROUND($B129*T$96,2)</f>
        <v>0</v>
      </c>
      <c r="U129" s="42">
        <f>ROUND($B129*U$96,2)</f>
        <v>0</v>
      </c>
      <c r="V129" s="41">
        <f>ROUND($B129*V$88,2)</f>
        <v>0</v>
      </c>
      <c r="W129" s="42">
        <f>ROUND($B129*W$96,2)</f>
        <v>0</v>
      </c>
      <c r="X129" s="42">
        <f>ROUND($B129*X$96,2)</f>
        <v>-0.01</v>
      </c>
      <c r="Y129" s="42">
        <f>ROUND($B129*Y$96,2)</f>
        <v>0</v>
      </c>
      <c r="Z129" s="42">
        <f>ROUND($B129*Z$96,2)</f>
        <v>0</v>
      </c>
      <c r="AA129" s="42">
        <f>ROUND($B129*AA$96,2)</f>
        <v>0</v>
      </c>
      <c r="AB129" s="19" t="e">
        <f>SUM(U$96:AA$96)+(-V$96+V99)</f>
        <v>#VALUE!</v>
      </c>
      <c r="AC129" s="94" t="str">
        <f>+F129</f>
        <v>SS8</v>
      </c>
    </row>
    <row r="130" spans="1:29" x14ac:dyDescent="0.2">
      <c r="B130" s="103">
        <v>-1</v>
      </c>
      <c r="C130" s="9"/>
      <c r="G130" s="17"/>
      <c r="H130" s="19"/>
      <c r="I130" s="19"/>
      <c r="J130" s="16"/>
      <c r="K130" s="16"/>
      <c r="L130" s="16"/>
      <c r="M130" s="8"/>
      <c r="N130" s="8"/>
      <c r="O130" s="8"/>
      <c r="P130" s="8"/>
      <c r="Q130" s="8"/>
      <c r="R130" s="8"/>
      <c r="S130" s="50">
        <v>1</v>
      </c>
      <c r="T130" s="17"/>
      <c r="U130" s="17"/>
      <c r="V130" s="8"/>
      <c r="W130" s="17"/>
      <c r="X130" s="17"/>
      <c r="Y130" s="17"/>
      <c r="Z130" s="17"/>
      <c r="AA130" s="17"/>
      <c r="AB130" s="19"/>
      <c r="AC130" s="67"/>
    </row>
    <row r="131" spans="1:29" x14ac:dyDescent="0.2">
      <c r="A131" s="96"/>
      <c r="B131" s="103">
        <f>IF(AND('AES Indiana Bill Calc.'!$D$17="SS",'AES Indiana Bill Calc.'!$D$18="Yes 100%",'AES Indiana Bill Calc.'!$D$20="Yes 2019"),'AES Indiana Bill Calc.'!$D$19,-1)</f>
        <v>-1</v>
      </c>
      <c r="C131" s="1" t="s">
        <v>148</v>
      </c>
      <c r="F131" s="36" t="s">
        <v>167</v>
      </c>
      <c r="G131" s="17">
        <f>SUM(J131:M131,O131:P131,R131:AA131)</f>
        <v>39.870000000000005</v>
      </c>
      <c r="H131" s="19" t="e">
        <f>IF(ISBLANK(B131),0,+#REF!/B131)</f>
        <v>#REF!</v>
      </c>
      <c r="I131" s="19"/>
      <c r="J131" s="82">
        <f>IF(ISBLANK(B131),0,IF(B131&gt;J$97,+J$96,+F$96))</f>
        <v>40</v>
      </c>
      <c r="K131" s="82">
        <f>IF($B131&gt;K$97,ROUND(K$97*K$96,2),ROUND($B131*K$96,2))</f>
        <v>-0.12</v>
      </c>
      <c r="L131" s="82">
        <f>IF($B131&gt;K$97,ROUND(($B131-K$97)*L$96,2),0)</f>
        <v>0</v>
      </c>
      <c r="M131" s="41"/>
      <c r="N131" s="17">
        <f>SUM(K131:L131)</f>
        <v>-0.12</v>
      </c>
      <c r="O131" s="41"/>
      <c r="P131" s="41"/>
      <c r="Q131" s="41"/>
      <c r="R131" s="41"/>
      <c r="S131" s="42">
        <f>ROUND($B131*S$96*S130,2)</f>
        <v>0</v>
      </c>
      <c r="T131" s="42">
        <f>ROUND($B131*T$96,2)</f>
        <v>0</v>
      </c>
      <c r="U131" s="42">
        <f>ROUND($B131*U$96,2)</f>
        <v>0</v>
      </c>
      <c r="V131" s="41">
        <f>ROUND($B131*V$89,2)</f>
        <v>0</v>
      </c>
      <c r="W131" s="42">
        <f>ROUND($B131*W$96,2)</f>
        <v>0</v>
      </c>
      <c r="X131" s="42">
        <f>ROUND($B131*X$96,2)</f>
        <v>-0.01</v>
      </c>
      <c r="Y131" s="42">
        <f>ROUND($B131*Y$96,2)</f>
        <v>0</v>
      </c>
      <c r="Z131" s="42">
        <f>ROUND($B131*Z$96,2)</f>
        <v>0</v>
      </c>
      <c r="AA131" s="42">
        <f>ROUND($B131*AA$96,2)</f>
        <v>0</v>
      </c>
      <c r="AB131" s="19">
        <f>SUM(U$96:AA$96)+(-V$96+V101)</f>
        <v>4.4989999999999995E-3</v>
      </c>
      <c r="AC131" s="94" t="str">
        <f>+F131</f>
        <v>SS9</v>
      </c>
    </row>
    <row r="132" spans="1:29" x14ac:dyDescent="0.2">
      <c r="B132" s="103">
        <v>-1</v>
      </c>
      <c r="C132" s="9"/>
      <c r="G132" s="17"/>
      <c r="H132" s="19"/>
      <c r="I132" s="19"/>
      <c r="J132" s="16"/>
      <c r="K132" s="16"/>
      <c r="L132" s="16"/>
      <c r="M132" s="8"/>
      <c r="N132" s="8"/>
      <c r="O132" s="8"/>
      <c r="P132" s="8"/>
      <c r="Q132" s="8"/>
      <c r="R132" s="8"/>
      <c r="S132" s="50">
        <v>0.5</v>
      </c>
      <c r="T132" s="17"/>
      <c r="U132" s="17"/>
      <c r="V132" s="8"/>
      <c r="W132" s="17"/>
      <c r="X132" s="17"/>
      <c r="Y132" s="17"/>
      <c r="Z132" s="17"/>
      <c r="AA132" s="17"/>
      <c r="AB132" s="19"/>
      <c r="AC132" s="67"/>
    </row>
    <row r="133" spans="1:29" x14ac:dyDescent="0.2">
      <c r="A133" s="96"/>
      <c r="B133" s="103">
        <f>IF(AND('AES Indiana Bill Calc.'!$D$17="SS",'AES Indiana Bill Calc.'!$D$18="Yes 50%",'AES Indiana Bill Calc.'!$D$20="Yes 2019"),'AES Indiana Bill Calc.'!$D$19,-1)</f>
        <v>-1</v>
      </c>
      <c r="C133" s="1" t="s">
        <v>149</v>
      </c>
      <c r="F133" s="36" t="s">
        <v>167</v>
      </c>
      <c r="G133" s="17">
        <f>SUM(J133:M133,O133:P133,R133:AA133)</f>
        <v>39.870000000000005</v>
      </c>
      <c r="H133" s="19" t="e">
        <f>IF(ISBLANK(B133),0,+#REF!/B133)</f>
        <v>#REF!</v>
      </c>
      <c r="I133" s="19"/>
      <c r="J133" s="82">
        <f>IF(ISBLANK(B133),0,IF(B133&gt;J$97,+J$96,+F$96))</f>
        <v>40</v>
      </c>
      <c r="K133" s="82">
        <f>IF($B133&gt;K$97,ROUND(K$97*K$96,2),ROUND($B133*K$96,2))</f>
        <v>-0.12</v>
      </c>
      <c r="L133" s="82">
        <f>IF($B133&gt;K$97,ROUND(($B133-K$97)*L$96,2),0)</f>
        <v>0</v>
      </c>
      <c r="M133" s="41"/>
      <c r="N133" s="17">
        <f>SUM(K133:L133)</f>
        <v>-0.12</v>
      </c>
      <c r="O133" s="41"/>
      <c r="P133" s="41"/>
      <c r="Q133" s="41"/>
      <c r="R133" s="41"/>
      <c r="S133" s="42">
        <f>ROUND($B133*S$96*S132,2)</f>
        <v>0</v>
      </c>
      <c r="T133" s="42">
        <f>ROUND($B133*T$96,2)</f>
        <v>0</v>
      </c>
      <c r="U133" s="42">
        <f>ROUND($B133*U$96,2)</f>
        <v>0</v>
      </c>
      <c r="V133" s="41">
        <f>ROUND($B133*V$89,2)</f>
        <v>0</v>
      </c>
      <c r="W133" s="42">
        <f>ROUND($B133*W$96,2)</f>
        <v>0</v>
      </c>
      <c r="X133" s="42">
        <f>ROUND($B133*X$96,2)</f>
        <v>-0.01</v>
      </c>
      <c r="Y133" s="42">
        <f>ROUND($B133*Y$96,2)</f>
        <v>0</v>
      </c>
      <c r="Z133" s="42">
        <f>ROUND($B133*Z$96,2)</f>
        <v>0</v>
      </c>
      <c r="AA133" s="42">
        <f>ROUND($B133*AA$96,2)</f>
        <v>0</v>
      </c>
      <c r="AB133" s="19">
        <f>SUM(U$96:AA$96)+(-V$96+V103)</f>
        <v>4.4989999999999995E-3</v>
      </c>
      <c r="AC133" s="94" t="str">
        <f>+F133</f>
        <v>SS9</v>
      </c>
    </row>
    <row r="134" spans="1:29" x14ac:dyDescent="0.2">
      <c r="B134" s="103">
        <v>-1</v>
      </c>
      <c r="C134" s="9"/>
      <c r="G134" s="17"/>
      <c r="H134" s="19"/>
      <c r="I134" s="19"/>
      <c r="J134" s="16"/>
      <c r="K134" s="16"/>
      <c r="L134" s="16"/>
      <c r="M134" s="8"/>
      <c r="N134" s="8"/>
      <c r="O134" s="8"/>
      <c r="P134" s="8"/>
      <c r="Q134" s="8"/>
      <c r="R134" s="8"/>
      <c r="S134" s="50">
        <v>0.25</v>
      </c>
      <c r="T134" s="17"/>
      <c r="U134" s="17"/>
      <c r="V134" s="8"/>
      <c r="W134" s="17"/>
      <c r="X134" s="17"/>
      <c r="Y134" s="17"/>
      <c r="Z134" s="17"/>
      <c r="AA134" s="17"/>
      <c r="AB134" s="19"/>
      <c r="AC134" s="67"/>
    </row>
    <row r="135" spans="1:29" x14ac:dyDescent="0.2">
      <c r="A135" s="96"/>
      <c r="B135" s="103">
        <f>IF(AND('AES Indiana Bill Calc.'!$D$17="SS",'AES Indiana Bill Calc.'!$D$18="Yes 25%",'AES Indiana Bill Calc.'!$D$20="Yes 2019"),'AES Indiana Bill Calc.'!$D$19,-1)</f>
        <v>-1</v>
      </c>
      <c r="C135" s="1" t="s">
        <v>150</v>
      </c>
      <c r="F135" s="36" t="s">
        <v>167</v>
      </c>
      <c r="G135" s="17">
        <f>SUM(J135:M135,O135:P135,R135:AA135)</f>
        <v>39.870000000000005</v>
      </c>
      <c r="H135" s="19" t="e">
        <f>IF(ISBLANK(B135),0,+#REF!/B135)</f>
        <v>#REF!</v>
      </c>
      <c r="I135" s="19"/>
      <c r="J135" s="82">
        <f>IF(ISBLANK(B135),0,IF(B135&gt;J$97,+J$96,+F$96))</f>
        <v>40</v>
      </c>
      <c r="K135" s="82">
        <f>IF($B135&gt;K$97,ROUND(K$97*K$96,2),ROUND($B135*K$96,2))</f>
        <v>-0.12</v>
      </c>
      <c r="L135" s="82">
        <f>IF($B135&gt;K$97,ROUND(($B135-K$97)*L$96,2),0)</f>
        <v>0</v>
      </c>
      <c r="M135" s="41"/>
      <c r="N135" s="17">
        <f>SUM(K135:L135)</f>
        <v>-0.12</v>
      </c>
      <c r="O135" s="41"/>
      <c r="P135" s="41"/>
      <c r="Q135" s="41"/>
      <c r="R135" s="41"/>
      <c r="S135" s="42">
        <f>ROUND($B135*S$96*S134,2)</f>
        <v>0</v>
      </c>
      <c r="T135" s="42">
        <f>ROUND($B135*T$96,2)</f>
        <v>0</v>
      </c>
      <c r="U135" s="42">
        <f>ROUND($B135*U$96,2)</f>
        <v>0</v>
      </c>
      <c r="V135" s="41">
        <f>ROUND($B135*V$89,2)</f>
        <v>0</v>
      </c>
      <c r="W135" s="42">
        <f>ROUND($B135*W$96,2)</f>
        <v>0</v>
      </c>
      <c r="X135" s="42">
        <f>ROUND($B135*X$96,2)</f>
        <v>-0.01</v>
      </c>
      <c r="Y135" s="42">
        <f>ROUND($B135*Y$96,2)</f>
        <v>0</v>
      </c>
      <c r="Z135" s="42">
        <f>ROUND($B135*Z$96,2)</f>
        <v>0</v>
      </c>
      <c r="AA135" s="42">
        <f>ROUND($B135*AA$96,2)</f>
        <v>0</v>
      </c>
      <c r="AB135" s="19">
        <f>SUM(U$96:AA$96)+(-V$96+V105)</f>
        <v>4.4989999999999995E-3</v>
      </c>
      <c r="AC135" s="94" t="str">
        <f>+F135</f>
        <v>SS9</v>
      </c>
    </row>
    <row r="136" spans="1:29" x14ac:dyDescent="0.2">
      <c r="B136" s="103">
        <v>-1</v>
      </c>
      <c r="C136" s="9"/>
      <c r="G136" s="17"/>
      <c r="H136" s="19"/>
      <c r="I136" s="19"/>
      <c r="J136" s="16"/>
      <c r="K136" s="16"/>
      <c r="L136" s="16"/>
      <c r="M136" s="8"/>
      <c r="N136" s="8"/>
      <c r="O136" s="8"/>
      <c r="P136" s="8"/>
      <c r="Q136" s="8"/>
      <c r="R136" s="8"/>
      <c r="S136" s="50">
        <v>0.1</v>
      </c>
      <c r="T136" s="17"/>
      <c r="U136" s="17"/>
      <c r="V136" s="8"/>
      <c r="W136" s="17"/>
      <c r="X136" s="17"/>
      <c r="Y136" s="17"/>
      <c r="Z136" s="17"/>
      <c r="AA136" s="17"/>
      <c r="AB136" s="19"/>
      <c r="AC136" s="67"/>
    </row>
    <row r="137" spans="1:29" x14ac:dyDescent="0.2">
      <c r="A137" s="96"/>
      <c r="B137" s="103">
        <f>IF(AND('AES Indiana Bill Calc.'!$D$17="SS",'AES Indiana Bill Calc.'!$D$18="Yes 10%",'AES Indiana Bill Calc.'!$D$20="Yes 2019"),'AES Indiana Bill Calc.'!$D$19,-1)</f>
        <v>-1</v>
      </c>
      <c r="C137" s="1" t="s">
        <v>164</v>
      </c>
      <c r="F137" s="36" t="s">
        <v>167</v>
      </c>
      <c r="G137" s="17">
        <f>SUM(J137:M137,O137:P137,R137:AA137)</f>
        <v>39.870000000000005</v>
      </c>
      <c r="H137" s="19" t="e">
        <f>IF(ISBLANK(B137),0,+#REF!/B137)</f>
        <v>#REF!</v>
      </c>
      <c r="I137" s="19"/>
      <c r="J137" s="82">
        <f>IF(ISBLANK(B137),0,IF(B137&gt;J$97,+J$96,+F$96))</f>
        <v>40</v>
      </c>
      <c r="K137" s="82">
        <f>IF($B137&gt;K$97,ROUND(K$97*K$96,2),ROUND($B137*K$96,2))</f>
        <v>-0.12</v>
      </c>
      <c r="L137" s="82">
        <f>IF($B137&gt;K$97,ROUND(($B137-K$97)*L$96,2),0)</f>
        <v>0</v>
      </c>
      <c r="M137" s="41"/>
      <c r="N137" s="17">
        <f>SUM(K137:L137)</f>
        <v>-0.12</v>
      </c>
      <c r="O137" s="41"/>
      <c r="P137" s="41"/>
      <c r="Q137" s="41"/>
      <c r="R137" s="41"/>
      <c r="S137" s="42">
        <f>ROUND($B137*S$96*S136,2)</f>
        <v>0</v>
      </c>
      <c r="T137" s="42">
        <f>ROUND($B137*T$96,2)</f>
        <v>0</v>
      </c>
      <c r="U137" s="42">
        <f>ROUND($B137*U$96,2)</f>
        <v>0</v>
      </c>
      <c r="V137" s="41">
        <f>ROUND($B137*V$89,2)</f>
        <v>0</v>
      </c>
      <c r="W137" s="42">
        <f>ROUND($B137*W$96,2)</f>
        <v>0</v>
      </c>
      <c r="X137" s="42">
        <f>ROUND($B137*X$96,2)</f>
        <v>-0.01</v>
      </c>
      <c r="Y137" s="42">
        <f>ROUND($B137*Y$96,2)</f>
        <v>0</v>
      </c>
      <c r="Z137" s="42">
        <f>ROUND($B137*Z$96,2)</f>
        <v>0</v>
      </c>
      <c r="AA137" s="42">
        <f>ROUND($B137*AA$96,2)</f>
        <v>0</v>
      </c>
      <c r="AB137" s="19">
        <f>SUM(U$96:AA$96)+(-V$96+V107)</f>
        <v>4.4989999999999995E-3</v>
      </c>
      <c r="AC137" s="94" t="str">
        <f>+F137</f>
        <v>SS9</v>
      </c>
    </row>
    <row r="138" spans="1:29" x14ac:dyDescent="0.2">
      <c r="B138" s="2">
        <v>-1</v>
      </c>
      <c r="G138" s="17"/>
      <c r="H138" s="19"/>
      <c r="I138" s="19"/>
      <c r="J138" s="16"/>
      <c r="K138" s="16"/>
      <c r="L138" s="16"/>
      <c r="M138" s="8"/>
      <c r="N138" s="8"/>
      <c r="O138" s="8"/>
      <c r="P138" s="8"/>
      <c r="Q138" s="8"/>
      <c r="R138" s="8"/>
      <c r="S138" s="50">
        <v>0</v>
      </c>
      <c r="T138" s="17"/>
      <c r="U138" s="17"/>
      <c r="V138" s="8"/>
      <c r="W138" s="17"/>
      <c r="X138" s="17"/>
      <c r="Y138" s="17"/>
      <c r="Z138" s="17"/>
      <c r="AA138" s="17"/>
      <c r="AB138" s="19"/>
      <c r="AC138" s="67"/>
    </row>
    <row r="139" spans="1:29" x14ac:dyDescent="0.2">
      <c r="B139" s="103">
        <f>IF(AND('AES Indiana Bill Calc.'!$D$17="SS",'AES Indiana Bill Calc.'!$D$18="No",'AES Indiana Bill Calc.'!$D$20="Yes 2019"),'AES Indiana Bill Calc.'!$D$19,-1)</f>
        <v>-1</v>
      </c>
      <c r="C139" s="1" t="s">
        <v>147</v>
      </c>
      <c r="F139" s="36" t="s">
        <v>167</v>
      </c>
      <c r="G139" s="17">
        <f>SUM(J139:M139,O139:P139,R139:AA139)</f>
        <v>39.870000000000005</v>
      </c>
      <c r="H139" s="19" t="e">
        <f>IF(ISBLANK(B139),0,+#REF!/B139)</f>
        <v>#REF!</v>
      </c>
      <c r="I139" s="19"/>
      <c r="J139" s="82">
        <f>IF(ISBLANK(B139),0,IF(B139&gt;J$97,+J$96,+F$96))</f>
        <v>40</v>
      </c>
      <c r="K139" s="82">
        <f>IF($B139&gt;K$97,ROUND(K$97*K$96,2),ROUND($B139*K$96,2))</f>
        <v>-0.12</v>
      </c>
      <c r="L139" s="82">
        <f>IF($B139&gt;K$97,ROUND(($B139-K$97)*L$96,2),0)</f>
        <v>0</v>
      </c>
      <c r="M139" s="41"/>
      <c r="N139" s="17">
        <f>SUM(K139:L139)</f>
        <v>-0.12</v>
      </c>
      <c r="O139" s="41"/>
      <c r="P139" s="41"/>
      <c r="Q139" s="41"/>
      <c r="R139" s="41"/>
      <c r="S139" s="42">
        <f>ROUND($B139*S$96*S138,2)</f>
        <v>0</v>
      </c>
      <c r="T139" s="42">
        <f>ROUND($B139*T$96,2)</f>
        <v>0</v>
      </c>
      <c r="U139" s="42">
        <f>ROUND($B139*U$96,2)</f>
        <v>0</v>
      </c>
      <c r="V139" s="41">
        <f>ROUND($B139*V$89,2)</f>
        <v>0</v>
      </c>
      <c r="W139" s="42">
        <f>ROUND($B139*W$96,2)</f>
        <v>0</v>
      </c>
      <c r="X139" s="42">
        <f>ROUND($B139*X$96,2)</f>
        <v>-0.01</v>
      </c>
      <c r="Y139" s="42">
        <f>ROUND($B139*Y$96,2)</f>
        <v>0</v>
      </c>
      <c r="Z139" s="42">
        <f>ROUND($B139*Z$96,2)</f>
        <v>0</v>
      </c>
      <c r="AA139" s="42">
        <f>ROUND($B139*AA$96,2)</f>
        <v>0</v>
      </c>
      <c r="AB139" s="19">
        <f>SUM(U$96:AA$96)+(-V$96+V101)</f>
        <v>4.4989999999999995E-3</v>
      </c>
      <c r="AC139" s="94" t="str">
        <f>+F139</f>
        <v>SS9</v>
      </c>
    </row>
    <row r="140" spans="1:29" x14ac:dyDescent="0.2">
      <c r="B140" s="103">
        <v>-1</v>
      </c>
      <c r="C140" s="9"/>
      <c r="F140" s="36"/>
      <c r="S140" s="50">
        <v>1</v>
      </c>
    </row>
    <row r="141" spans="1:29" x14ac:dyDescent="0.2">
      <c r="B141" s="103">
        <f>IF(AND('AES Indiana Bill Calc.'!$D$17="SS",'AES Indiana Bill Calc.'!$D$18="Yes 100%",'AES Indiana Bill Calc.'!$D$20="Yes 2020"),'AES Indiana Bill Calc.'!$D$19,-1)</f>
        <v>-1</v>
      </c>
      <c r="C141" s="1" t="s">
        <v>148</v>
      </c>
      <c r="F141" s="36" t="s">
        <v>168</v>
      </c>
      <c r="G141" s="17">
        <f>SUM(J141:M141,O141:P141,R141:AA141)</f>
        <v>39.870000000000005</v>
      </c>
      <c r="H141" s="19" t="e">
        <f>IF(ISBLANK(B141),0,+#REF!/B141)</f>
        <v>#REF!</v>
      </c>
      <c r="I141" s="19"/>
      <c r="J141" s="82">
        <f>IF(ISBLANK(B141),0,IF(B141&gt;J$97,+J$96,+F$96))</f>
        <v>40</v>
      </c>
      <c r="K141" s="82">
        <f>IF($B141&gt;K$97,ROUND(K$97*K$96,2),ROUND($B141*K$96,2))</f>
        <v>-0.12</v>
      </c>
      <c r="L141" s="82">
        <f>IF($B141&gt;K$97,ROUND(($B141-K$97)*L$96,2),0)</f>
        <v>0</v>
      </c>
      <c r="M141" s="41"/>
      <c r="N141" s="17">
        <f>SUM(K141:L141)</f>
        <v>-0.12</v>
      </c>
      <c r="O141" s="41"/>
      <c r="P141" s="41"/>
      <c r="Q141" s="41"/>
      <c r="R141" s="41"/>
      <c r="S141" s="42">
        <f>ROUND($B141*S$96*S140,2)</f>
        <v>0</v>
      </c>
      <c r="T141" s="42">
        <f>ROUND($B141*T$96,2)</f>
        <v>0</v>
      </c>
      <c r="U141" s="42">
        <f>ROUND($B141*U$96,2)</f>
        <v>0</v>
      </c>
      <c r="V141" s="41">
        <f>ROUND($B141*V$90,2)</f>
        <v>0</v>
      </c>
      <c r="W141" s="42">
        <f>ROUND($B141*W$96,2)</f>
        <v>0</v>
      </c>
      <c r="X141" s="42">
        <f>ROUND($B141*X$96,2)</f>
        <v>-0.01</v>
      </c>
      <c r="Y141" s="42">
        <f>ROUND($B141*Y$96,2)</f>
        <v>0</v>
      </c>
      <c r="Z141" s="42">
        <f>ROUND($B141*Z$96,2)</f>
        <v>0</v>
      </c>
      <c r="AA141" s="42">
        <f>ROUND($B141*AA$96,2)</f>
        <v>0</v>
      </c>
      <c r="AB141" s="19">
        <f>SUM(U$96:AA$96)+(-V$96+V101)</f>
        <v>4.4989999999999995E-3</v>
      </c>
      <c r="AC141" s="94" t="str">
        <f>+F141</f>
        <v>SS0</v>
      </c>
    </row>
    <row r="142" spans="1:29" x14ac:dyDescent="0.2">
      <c r="B142" s="103">
        <v>-1</v>
      </c>
      <c r="C142" s="9"/>
      <c r="F142" s="36"/>
      <c r="S142" s="50">
        <v>0.5</v>
      </c>
    </row>
    <row r="143" spans="1:29" x14ac:dyDescent="0.2">
      <c r="B143" s="103">
        <f>IF(AND('AES Indiana Bill Calc.'!$D$17="SS",'AES Indiana Bill Calc.'!$D$18="Yes 50%",'AES Indiana Bill Calc.'!$D$20="Yes 2020"),'AES Indiana Bill Calc.'!$D$19,-1)</f>
        <v>-1</v>
      </c>
      <c r="C143" s="1" t="s">
        <v>149</v>
      </c>
      <c r="F143" s="36" t="s">
        <v>168</v>
      </c>
      <c r="G143" s="17">
        <f>SUM(J143:M143,O143:P143,R143:AA143)</f>
        <v>39.870000000000005</v>
      </c>
      <c r="H143" s="19" t="e">
        <f>IF(ISBLANK(B143),0,+#REF!/B143)</f>
        <v>#REF!</v>
      </c>
      <c r="I143" s="19"/>
      <c r="J143" s="82">
        <f>IF(ISBLANK(B143),0,IF(B143&gt;J$97,+J$96,+F$96))</f>
        <v>40</v>
      </c>
      <c r="K143" s="82">
        <f>IF($B143&gt;K$97,ROUND(K$97*K$96,2),ROUND($B143*K$96,2))</f>
        <v>-0.12</v>
      </c>
      <c r="L143" s="82">
        <f>IF($B143&gt;K$97,ROUND(($B143-K$97)*L$96,2),0)</f>
        <v>0</v>
      </c>
      <c r="M143" s="41"/>
      <c r="N143" s="17">
        <f>SUM(K143:L143)</f>
        <v>-0.12</v>
      </c>
      <c r="O143" s="41"/>
      <c r="P143" s="41"/>
      <c r="Q143" s="41"/>
      <c r="R143" s="41"/>
      <c r="S143" s="42">
        <f>ROUND($B143*S$96*S142,2)</f>
        <v>0</v>
      </c>
      <c r="T143" s="42">
        <f>ROUND($B143*T$96,2)</f>
        <v>0</v>
      </c>
      <c r="U143" s="42">
        <f>ROUND($B143*U$96,2)</f>
        <v>0</v>
      </c>
      <c r="V143" s="41">
        <f>ROUND($B143*V$90,2)</f>
        <v>0</v>
      </c>
      <c r="W143" s="42">
        <f>ROUND($B143*W$96,2)</f>
        <v>0</v>
      </c>
      <c r="X143" s="42">
        <f>ROUND($B143*X$96,2)</f>
        <v>-0.01</v>
      </c>
      <c r="Y143" s="42">
        <f>ROUND($B143*Y$96,2)</f>
        <v>0</v>
      </c>
      <c r="Z143" s="42">
        <f>ROUND($B143*Z$96,2)</f>
        <v>0</v>
      </c>
      <c r="AA143" s="42">
        <f>ROUND($B143*AA$96,2)</f>
        <v>0</v>
      </c>
      <c r="AB143" s="19">
        <f>SUM(U$96:AA$96)+(-V$96+V103)</f>
        <v>4.4989999999999995E-3</v>
      </c>
      <c r="AC143" s="94" t="str">
        <f>+F143</f>
        <v>SS0</v>
      </c>
    </row>
    <row r="144" spans="1:29" x14ac:dyDescent="0.2">
      <c r="B144" s="103">
        <v>-1</v>
      </c>
      <c r="C144" s="9"/>
      <c r="F144" s="36"/>
      <c r="S144" s="50">
        <v>0.25</v>
      </c>
    </row>
    <row r="145" spans="2:123" x14ac:dyDescent="0.2">
      <c r="B145" s="103">
        <f>IF(AND('AES Indiana Bill Calc.'!$D$17="SS",'AES Indiana Bill Calc.'!$D$18="Yes 25%",'AES Indiana Bill Calc.'!$D$20="Yes 2020"),'AES Indiana Bill Calc.'!$D$19,-1)</f>
        <v>-1</v>
      </c>
      <c r="C145" s="1" t="s">
        <v>150</v>
      </c>
      <c r="F145" s="36" t="s">
        <v>168</v>
      </c>
      <c r="G145" s="17">
        <f>SUM(J145:M145,O145:P145,R145:AA145)</f>
        <v>39.870000000000005</v>
      </c>
      <c r="H145" s="19" t="e">
        <f>IF(ISBLANK(B145),0,+#REF!/B145)</f>
        <v>#REF!</v>
      </c>
      <c r="I145" s="19"/>
      <c r="J145" s="82">
        <f>IF(ISBLANK(B145),0,IF(B145&gt;J$97,+J$96,+F$96))</f>
        <v>40</v>
      </c>
      <c r="K145" s="82">
        <f>IF($B145&gt;K$97,ROUND(K$97*K$96,2),ROUND($B145*K$96,2))</f>
        <v>-0.12</v>
      </c>
      <c r="L145" s="82">
        <f>IF($B145&gt;K$97,ROUND(($B145-K$97)*L$96,2),0)</f>
        <v>0</v>
      </c>
      <c r="M145" s="41"/>
      <c r="N145" s="17">
        <f>SUM(K145:L145)</f>
        <v>-0.12</v>
      </c>
      <c r="O145" s="41"/>
      <c r="P145" s="41"/>
      <c r="Q145" s="41"/>
      <c r="R145" s="41"/>
      <c r="S145" s="42">
        <f>ROUND($B145*S$96*S144,2)</f>
        <v>0</v>
      </c>
      <c r="T145" s="42">
        <f>ROUND($B145*T$96,2)</f>
        <v>0</v>
      </c>
      <c r="U145" s="42">
        <f>ROUND($B145*U$96,2)</f>
        <v>0</v>
      </c>
      <c r="V145" s="41">
        <f>ROUND($B145*V$90,2)</f>
        <v>0</v>
      </c>
      <c r="W145" s="42">
        <f>ROUND($B145*W$96,2)</f>
        <v>0</v>
      </c>
      <c r="X145" s="42">
        <f>ROUND($B145*X$96,2)</f>
        <v>-0.01</v>
      </c>
      <c r="Y145" s="42">
        <f>ROUND($B145*Y$96,2)</f>
        <v>0</v>
      </c>
      <c r="Z145" s="42">
        <f>ROUND($B145*Z$96,2)</f>
        <v>0</v>
      </c>
      <c r="AA145" s="42">
        <f>ROUND($B145*AA$96,2)</f>
        <v>0</v>
      </c>
      <c r="AB145" s="19">
        <f>SUM(U$96:AA$96)+(-V$96+V105)</f>
        <v>4.4989999999999995E-3</v>
      </c>
      <c r="AC145" s="94" t="str">
        <f>+F145</f>
        <v>SS0</v>
      </c>
    </row>
    <row r="146" spans="2:123" x14ac:dyDescent="0.2">
      <c r="B146" s="103">
        <v>-1</v>
      </c>
      <c r="C146" s="9"/>
      <c r="F146" s="36"/>
      <c r="S146" s="50">
        <v>0.1</v>
      </c>
    </row>
    <row r="147" spans="2:123" x14ac:dyDescent="0.2">
      <c r="B147" s="103">
        <f>IF(AND('AES Indiana Bill Calc.'!$D$17="SS",'AES Indiana Bill Calc.'!$D$18="Yes 10%",'AES Indiana Bill Calc.'!$D$20="Yes 2020"),'AES Indiana Bill Calc.'!$D$19,-1)</f>
        <v>-1</v>
      </c>
      <c r="C147" s="1" t="s">
        <v>164</v>
      </c>
      <c r="F147" s="36" t="s">
        <v>168</v>
      </c>
      <c r="G147" s="17">
        <f>SUM(J147:M147,O147:P147,R147:AA147)</f>
        <v>39.870000000000005</v>
      </c>
      <c r="H147" s="19" t="e">
        <f>IF(ISBLANK(B147),0,+#REF!/B147)</f>
        <v>#REF!</v>
      </c>
      <c r="I147" s="19"/>
      <c r="J147" s="82">
        <f>IF(ISBLANK(B147),0,IF(B147&gt;J$97,+J$96,+F$96))</f>
        <v>40</v>
      </c>
      <c r="K147" s="82">
        <f>IF($B147&gt;K$97,ROUND(K$97*K$96,2),ROUND($B147*K$96,2))</f>
        <v>-0.12</v>
      </c>
      <c r="L147" s="82">
        <f>IF($B147&gt;K$97,ROUND(($B147-K$97)*L$96,2),0)</f>
        <v>0</v>
      </c>
      <c r="M147" s="41"/>
      <c r="N147" s="17">
        <f>SUM(K147:L147)</f>
        <v>-0.12</v>
      </c>
      <c r="O147" s="41"/>
      <c r="P147" s="41"/>
      <c r="Q147" s="41"/>
      <c r="R147" s="41"/>
      <c r="S147" s="42">
        <f>ROUND($B147*S$96*S146,2)</f>
        <v>0</v>
      </c>
      <c r="T147" s="42">
        <f>ROUND($B147*T$96,2)</f>
        <v>0</v>
      </c>
      <c r="U147" s="42">
        <f>ROUND($B147*U$96,2)</f>
        <v>0</v>
      </c>
      <c r="V147" s="41">
        <f>ROUND($B147*V$90,2)</f>
        <v>0</v>
      </c>
      <c r="W147" s="42">
        <f>ROUND($B147*W$96,2)</f>
        <v>0</v>
      </c>
      <c r="X147" s="42">
        <f>ROUND($B147*X$96,2)</f>
        <v>-0.01</v>
      </c>
      <c r="Y147" s="42">
        <f>ROUND($B147*Y$96,2)</f>
        <v>0</v>
      </c>
      <c r="Z147" s="42">
        <f>ROUND($B147*Z$96,2)</f>
        <v>0</v>
      </c>
      <c r="AA147" s="42">
        <f>ROUND($B147*AA$96,2)</f>
        <v>0</v>
      </c>
      <c r="AB147" s="19">
        <f>SUM(U$96:AA$96)+(-V$96+V107)</f>
        <v>4.4989999999999995E-3</v>
      </c>
      <c r="AC147" s="94" t="str">
        <f>+F147</f>
        <v>SS0</v>
      </c>
    </row>
    <row r="148" spans="2:123" x14ac:dyDescent="0.2">
      <c r="B148" s="103">
        <v>-1</v>
      </c>
      <c r="F148" s="36"/>
      <c r="S148" s="50">
        <v>0</v>
      </c>
    </row>
    <row r="149" spans="2:123" x14ac:dyDescent="0.2">
      <c r="B149" s="103">
        <f>IF(AND('AES Indiana Bill Calc.'!$D$17="SS",'AES Indiana Bill Calc.'!$D$18="No",'AES Indiana Bill Calc.'!$D$20="Yes 2020"),'AES Indiana Bill Calc.'!$D$19,-1)</f>
        <v>-1</v>
      </c>
      <c r="C149" s="1" t="s">
        <v>147</v>
      </c>
      <c r="F149" s="36" t="s">
        <v>168</v>
      </c>
      <c r="G149" s="17">
        <f>SUM(J149:M149,O149:P149,R149:AA149)</f>
        <v>39.870000000000005</v>
      </c>
      <c r="H149" s="19" t="e">
        <f>IF(ISBLANK(B149),0,+#REF!/B149)</f>
        <v>#REF!</v>
      </c>
      <c r="I149" s="19"/>
      <c r="J149" s="82">
        <f>IF(ISBLANK(B149),0,IF(B149&gt;J$97,+J$96,+F$96))</f>
        <v>40</v>
      </c>
      <c r="K149" s="82">
        <f>IF($B149&gt;K$97,ROUND(K$97*K$96,2),ROUND($B149*K$96,2))</f>
        <v>-0.12</v>
      </c>
      <c r="L149" s="82">
        <f>IF($B149&gt;K$97,ROUND(($B149-K$97)*L$96,2),0)</f>
        <v>0</v>
      </c>
      <c r="M149" s="41"/>
      <c r="N149" s="17">
        <f>SUM(K149:L149)</f>
        <v>-0.12</v>
      </c>
      <c r="O149" s="41"/>
      <c r="P149" s="41"/>
      <c r="Q149" s="41"/>
      <c r="R149" s="41"/>
      <c r="S149" s="42">
        <f>ROUND($B149*S$96*S148,2)</f>
        <v>0</v>
      </c>
      <c r="T149" s="42">
        <f>ROUND($B149*T$96,2)</f>
        <v>0</v>
      </c>
      <c r="U149" s="42">
        <f>ROUND($B149*U$96,2)</f>
        <v>0</v>
      </c>
      <c r="V149" s="41">
        <f>ROUND($B149*V$90,2)</f>
        <v>0</v>
      </c>
      <c r="W149" s="42">
        <f>ROUND($B149*W$96,2)</f>
        <v>0</v>
      </c>
      <c r="X149" s="42">
        <f>ROUND($B149*X$96,2)</f>
        <v>-0.01</v>
      </c>
      <c r="Y149" s="42">
        <f>ROUND($B149*Y$96,2)</f>
        <v>0</v>
      </c>
      <c r="Z149" s="42">
        <f>ROUND($B149*Z$96,2)</f>
        <v>0</v>
      </c>
      <c r="AA149" s="42">
        <f>ROUND($B149*AA$96,2)</f>
        <v>0</v>
      </c>
      <c r="AB149" s="19">
        <f>SUM(U$96:AA$96)+(-V$96+V109)</f>
        <v>4.4989999999999995E-3</v>
      </c>
      <c r="AC149" s="94" t="str">
        <f>+F149</f>
        <v>SS0</v>
      </c>
    </row>
    <row r="150" spans="2:123" x14ac:dyDescent="0.2">
      <c r="B150" s="97">
        <v>-1</v>
      </c>
      <c r="C150" s="80"/>
      <c r="F150" s="36"/>
      <c r="G150" s="42"/>
      <c r="H150" s="19"/>
      <c r="I150" s="19"/>
      <c r="J150" s="82"/>
      <c r="K150" s="82"/>
      <c r="L150" s="82"/>
      <c r="M150" s="41"/>
      <c r="N150" s="41"/>
      <c r="O150" s="41"/>
      <c r="P150" s="41"/>
      <c r="Q150" s="41"/>
      <c r="R150" s="41"/>
      <c r="S150" s="50">
        <v>1</v>
      </c>
      <c r="T150" s="42"/>
      <c r="U150" s="42"/>
      <c r="V150" s="41"/>
      <c r="W150" s="42"/>
      <c r="X150" s="42"/>
      <c r="Y150" s="42"/>
      <c r="Z150" s="42"/>
      <c r="AA150" s="42"/>
      <c r="AB150" s="19"/>
      <c r="AC150" s="94"/>
    </row>
    <row r="151" spans="2:123" x14ac:dyDescent="0.2">
      <c r="B151" s="103">
        <f>IF(AND('AES Indiana Bill Calc.'!$D$17="SS",'AES Indiana Bill Calc.'!$D$18="Yes 100%",'AES Indiana Bill Calc.'!$D$20="Yes 2021"),'AES Indiana Bill Calc.'!$D$19,-1)</f>
        <v>-1</v>
      </c>
      <c r="C151" s="1" t="s">
        <v>148</v>
      </c>
      <c r="D151" s="146"/>
      <c r="F151" s="36" t="s">
        <v>169</v>
      </c>
      <c r="G151" s="42">
        <f>SUM(J151:M151,O151:P151,R151:AA151)</f>
        <v>39.870000000000005</v>
      </c>
      <c r="H151" s="19" t="e">
        <f>IF(ISBLANK(B151),0,+#REF!/B151)</f>
        <v>#REF!</v>
      </c>
      <c r="I151" s="146"/>
      <c r="J151" s="82">
        <f>IF(ISBLANK(B151),0,IF(B151&gt;J$97,+J$96,+F$96))</f>
        <v>40</v>
      </c>
      <c r="K151" s="82">
        <f>IF($B151&gt;K$97,ROUND(K$97*K$96,2),ROUND($B151*K$96,2))</f>
        <v>-0.12</v>
      </c>
      <c r="L151" s="82">
        <f>IF($B151&gt;K$97,ROUND(($B151-K$97)*L$96,2),0)</f>
        <v>0</v>
      </c>
      <c r="M151" s="146"/>
      <c r="N151" s="42">
        <f>SUM(K151:L151)</f>
        <v>-0.12</v>
      </c>
      <c r="O151" s="146"/>
      <c r="P151" s="146"/>
      <c r="Q151" s="146"/>
      <c r="S151" s="42">
        <f>ROUND($B151*S$96*S150,2)</f>
        <v>0</v>
      </c>
      <c r="T151" s="42">
        <f>ROUND($B151*T$96,2)</f>
        <v>0</v>
      </c>
      <c r="U151" s="42">
        <f>ROUND($B151*U$96,2)</f>
        <v>0</v>
      </c>
      <c r="V151" s="41">
        <f>ROUND($B151*V$91,2)</f>
        <v>0</v>
      </c>
      <c r="W151" s="146"/>
      <c r="X151" s="42">
        <f>ROUND($B151*X$96,2)</f>
        <v>-0.01</v>
      </c>
      <c r="Y151" s="42">
        <f>ROUND($B151*Y$96,2)</f>
        <v>0</v>
      </c>
      <c r="Z151" s="42">
        <f>ROUND($B151*Z$96,2)</f>
        <v>0</v>
      </c>
      <c r="AA151" s="42">
        <f>ROUND($B151*AA$96,2)</f>
        <v>0</v>
      </c>
      <c r="AB151" s="19">
        <f>SUM(U$96:AA$96)+(-V$96+V113)</f>
        <v>1.4498999999999998E-2</v>
      </c>
      <c r="AC151" s="146"/>
    </row>
    <row r="152" spans="2:123" x14ac:dyDescent="0.2">
      <c r="B152" s="97">
        <v>-1</v>
      </c>
      <c r="C152" s="9"/>
      <c r="F152" s="36"/>
      <c r="G152" s="42"/>
      <c r="H152" s="19"/>
      <c r="I152" s="19"/>
      <c r="J152" s="82"/>
      <c r="K152" s="82"/>
      <c r="L152" s="82"/>
      <c r="M152" s="41"/>
      <c r="N152" s="41"/>
      <c r="O152" s="41"/>
      <c r="P152" s="41"/>
      <c r="Q152" s="41"/>
      <c r="R152" s="41"/>
      <c r="S152" s="50">
        <v>0.5</v>
      </c>
      <c r="T152" s="42"/>
      <c r="U152" s="42"/>
      <c r="V152" s="41"/>
      <c r="W152" s="42"/>
      <c r="X152" s="42"/>
      <c r="Y152" s="42"/>
      <c r="Z152" s="42"/>
      <c r="AA152" s="42"/>
      <c r="AB152" s="19"/>
      <c r="AC152" s="94"/>
    </row>
    <row r="153" spans="2:123" x14ac:dyDescent="0.2">
      <c r="B153" s="103">
        <f>IF(AND('AES Indiana Bill Calc.'!$D$17="SS",'AES Indiana Bill Calc.'!$D$18="Yes 50%",'AES Indiana Bill Calc.'!$D$20="Yes 2021"),'AES Indiana Bill Calc.'!$D$19,-1)</f>
        <v>-1</v>
      </c>
      <c r="C153" s="1" t="s">
        <v>149</v>
      </c>
      <c r="D153" s="146"/>
      <c r="F153" s="36" t="s">
        <v>169</v>
      </c>
      <c r="G153" s="42">
        <f>SUM(J153:M153,O153:P153,R153:AA153)</f>
        <v>39.870000000000005</v>
      </c>
      <c r="H153" s="19" t="e">
        <f>IF(ISBLANK(B153),0,+#REF!/B153)</f>
        <v>#REF!</v>
      </c>
      <c r="I153" s="146"/>
      <c r="J153" s="82">
        <f>IF(ISBLANK(B153),0,IF(B153&gt;J$97,+J$96,+F$96))</f>
        <v>40</v>
      </c>
      <c r="K153" s="82">
        <f>IF($B153&gt;K$97,ROUND(K$97*K$96,2),ROUND($B153*K$96,2))</f>
        <v>-0.12</v>
      </c>
      <c r="L153" s="82">
        <f>IF($B153&gt;K$97,ROUND(($B153-K$97)*L$96,2),0)</f>
        <v>0</v>
      </c>
      <c r="M153" s="146"/>
      <c r="N153" s="42">
        <f>SUM(K153:L153)</f>
        <v>-0.12</v>
      </c>
      <c r="O153" s="146"/>
      <c r="P153" s="146"/>
      <c r="Q153" s="146"/>
      <c r="S153" s="42">
        <f>ROUND($B153*S$96*S152,2)</f>
        <v>0</v>
      </c>
      <c r="T153" s="42">
        <f>ROUND($B153*T$96,2)</f>
        <v>0</v>
      </c>
      <c r="U153" s="42">
        <f>ROUND($B153*U$96,2)</f>
        <v>0</v>
      </c>
      <c r="V153" s="41">
        <f>ROUND($B153*V$91,2)</f>
        <v>0</v>
      </c>
      <c r="W153" s="146"/>
      <c r="X153" s="42">
        <f>ROUND($B153*X$96,2)</f>
        <v>-0.01</v>
      </c>
      <c r="Y153" s="42">
        <f>ROUND($B153*Y$96,2)</f>
        <v>0</v>
      </c>
      <c r="Z153" s="42">
        <f>ROUND($B153*Z$96,2)</f>
        <v>0</v>
      </c>
      <c r="AA153" s="42">
        <f>ROUND($B153*AA$96,2)</f>
        <v>0</v>
      </c>
      <c r="AB153" s="19">
        <f>SUM(U$96:AA$96)+(-V$96+V115)</f>
        <v>1.4498999999999998E-2</v>
      </c>
      <c r="AC153" s="146"/>
    </row>
    <row r="154" spans="2:123" x14ac:dyDescent="0.2">
      <c r="B154" s="97">
        <v>-1</v>
      </c>
      <c r="C154" s="9"/>
      <c r="F154" s="36"/>
      <c r="G154" s="42"/>
      <c r="H154" s="19"/>
      <c r="I154" s="19"/>
      <c r="J154" s="82"/>
      <c r="K154" s="82"/>
      <c r="L154" s="82"/>
      <c r="M154" s="41"/>
      <c r="N154" s="41"/>
      <c r="O154" s="41"/>
      <c r="P154" s="41"/>
      <c r="Q154" s="41"/>
      <c r="R154" s="41"/>
      <c r="S154" s="50">
        <v>0.25</v>
      </c>
      <c r="T154" s="42"/>
      <c r="U154" s="42"/>
      <c r="V154" s="41"/>
      <c r="W154" s="42"/>
      <c r="X154" s="42"/>
      <c r="Y154" s="42"/>
      <c r="Z154" s="42"/>
      <c r="AA154" s="42"/>
      <c r="AB154" s="19"/>
      <c r="AC154" s="94"/>
    </row>
    <row r="155" spans="2:123" x14ac:dyDescent="0.2">
      <c r="B155" s="103">
        <f>IF(AND('AES Indiana Bill Calc.'!$D$17="SS",'AES Indiana Bill Calc.'!$D$18="Yes 25%",'AES Indiana Bill Calc.'!$D$20="Yes 2021"),'AES Indiana Bill Calc.'!$D$19,-1)</f>
        <v>-1</v>
      </c>
      <c r="C155" s="1" t="s">
        <v>150</v>
      </c>
      <c r="D155" s="146"/>
      <c r="F155" s="36" t="s">
        <v>169</v>
      </c>
      <c r="G155" s="42">
        <f>SUM(J155:M155,O155:P155,R155:AA155)</f>
        <v>39.870000000000005</v>
      </c>
      <c r="H155" s="19" t="e">
        <f>IF(ISBLANK(B155),0,+#REF!/B155)</f>
        <v>#REF!</v>
      </c>
      <c r="I155" s="146"/>
      <c r="J155" s="82">
        <f>IF(ISBLANK(B155),0,IF(B155&gt;J$97,+J$96,+F$96))</f>
        <v>40</v>
      </c>
      <c r="K155" s="82">
        <f>IF($B155&gt;K$97,ROUND(K$97*K$96,2),ROUND($B155*K$96,2))</f>
        <v>-0.12</v>
      </c>
      <c r="L155" s="82">
        <f>IF($B155&gt;K$97,ROUND(($B155-K$97)*L$96,2),0)</f>
        <v>0</v>
      </c>
      <c r="M155" s="146"/>
      <c r="N155" s="42">
        <f>SUM(K155:L155)</f>
        <v>-0.12</v>
      </c>
      <c r="O155" s="146"/>
      <c r="P155" s="146"/>
      <c r="Q155" s="146"/>
      <c r="S155" s="42">
        <f>ROUND($B155*S$96*S154,2)</f>
        <v>0</v>
      </c>
      <c r="T155" s="42">
        <f>ROUND($B155*T$96,2)</f>
        <v>0</v>
      </c>
      <c r="U155" s="42">
        <f>ROUND($B155*U$96,2)</f>
        <v>0</v>
      </c>
      <c r="V155" s="41">
        <f>ROUND($B155*V$91,2)</f>
        <v>0</v>
      </c>
      <c r="W155" s="146"/>
      <c r="X155" s="42">
        <f>ROUND($B155*X$96,2)</f>
        <v>-0.01</v>
      </c>
      <c r="Y155" s="42">
        <f>ROUND($B155*Y$96,2)</f>
        <v>0</v>
      </c>
      <c r="Z155" s="42">
        <f>ROUND($B155*Z$96,2)</f>
        <v>0</v>
      </c>
      <c r="AA155" s="42">
        <f>ROUND($B155*AA$96,2)</f>
        <v>0</v>
      </c>
      <c r="AB155" s="19">
        <f>SUM(U$96:AA$96)+(-V$96+V117)</f>
        <v>1.4498999999999998E-2</v>
      </c>
      <c r="AC155" s="146"/>
    </row>
    <row r="156" spans="2:123" x14ac:dyDescent="0.2">
      <c r="B156" s="97">
        <v>-1</v>
      </c>
      <c r="C156" s="9"/>
      <c r="F156" s="36"/>
      <c r="G156" s="42"/>
      <c r="H156" s="19"/>
      <c r="I156" s="19"/>
      <c r="J156" s="82"/>
      <c r="K156" s="82"/>
      <c r="L156" s="82"/>
      <c r="M156" s="41"/>
      <c r="N156" s="41"/>
      <c r="O156" s="41"/>
      <c r="P156" s="41"/>
      <c r="Q156" s="41"/>
      <c r="R156" s="41"/>
      <c r="S156" s="50">
        <v>0.1</v>
      </c>
      <c r="T156" s="42"/>
      <c r="U156" s="42"/>
      <c r="V156" s="41"/>
      <c r="W156" s="42"/>
      <c r="X156" s="42"/>
      <c r="Y156" s="42"/>
      <c r="Z156" s="42"/>
      <c r="AA156" s="42"/>
      <c r="AB156" s="19"/>
      <c r="AC156" s="94"/>
    </row>
    <row r="157" spans="2:123" x14ac:dyDescent="0.2">
      <c r="B157" s="103">
        <f>IF(AND('AES Indiana Bill Calc.'!$D$17="SS",'AES Indiana Bill Calc.'!$D$18="Yes 10%",'AES Indiana Bill Calc.'!$D$20="Yes 2021"),'AES Indiana Bill Calc.'!$D$19,-1)</f>
        <v>-1</v>
      </c>
      <c r="C157" s="1" t="s">
        <v>164</v>
      </c>
      <c r="D157" s="146"/>
      <c r="F157" s="36" t="s">
        <v>169</v>
      </c>
      <c r="G157" s="42">
        <f>SUM(J157:M157,O157:P157,R157:AA157)</f>
        <v>39.870000000000005</v>
      </c>
      <c r="H157" s="19" t="e">
        <f>IF(ISBLANK(B157),0,+#REF!/B157)</f>
        <v>#REF!</v>
      </c>
      <c r="I157" s="146"/>
      <c r="J157" s="82">
        <f>IF(ISBLANK(B157),0,IF(B157&gt;J$97,+J$96,+F$96))</f>
        <v>40</v>
      </c>
      <c r="K157" s="82">
        <f>IF($B157&gt;K$97,ROUND(K$97*K$96,2),ROUND($B157*K$96,2))</f>
        <v>-0.12</v>
      </c>
      <c r="L157" s="82">
        <f>IF($B157&gt;K$97,ROUND(($B157-K$97)*L$96,2),0)</f>
        <v>0</v>
      </c>
      <c r="M157" s="146"/>
      <c r="N157" s="42">
        <f>SUM(K157:L157)</f>
        <v>-0.12</v>
      </c>
      <c r="O157" s="146"/>
      <c r="P157" s="146"/>
      <c r="Q157" s="146"/>
      <c r="S157" s="42">
        <f>ROUND($B157*S$96*S156,2)</f>
        <v>0</v>
      </c>
      <c r="T157" s="42">
        <f>ROUND($B157*T$96,2)</f>
        <v>0</v>
      </c>
      <c r="U157" s="42">
        <f>ROUND($B157*U$96,2)</f>
        <v>0</v>
      </c>
      <c r="V157" s="41">
        <f>ROUND($B157*V$91,2)</f>
        <v>0</v>
      </c>
      <c r="W157" s="146"/>
      <c r="X157" s="42">
        <f>ROUND($B157*X$96,2)</f>
        <v>-0.01</v>
      </c>
      <c r="Y157" s="42">
        <f>ROUND($B157*Y$96,2)</f>
        <v>0</v>
      </c>
      <c r="Z157" s="42">
        <f>ROUND($B157*Z$96,2)</f>
        <v>0</v>
      </c>
      <c r="AA157" s="42">
        <f>ROUND($B157*AA$96,2)</f>
        <v>0</v>
      </c>
      <c r="AB157" s="19">
        <f>SUM(U$96:AA$96)+(-V$96+V119)</f>
        <v>1.4498999999999998E-2</v>
      </c>
      <c r="AC157" s="146"/>
    </row>
    <row r="158" spans="2:123" x14ac:dyDescent="0.2">
      <c r="B158" s="97">
        <v>-1</v>
      </c>
      <c r="F158" s="36"/>
      <c r="G158" s="42"/>
      <c r="H158" s="19"/>
      <c r="I158" s="19"/>
      <c r="J158" s="82"/>
      <c r="K158" s="82"/>
      <c r="L158" s="82"/>
      <c r="M158" s="41"/>
      <c r="N158" s="41"/>
      <c r="O158" s="41"/>
      <c r="P158" s="41"/>
      <c r="Q158" s="41"/>
      <c r="R158" s="41"/>
      <c r="S158" s="50">
        <v>0</v>
      </c>
      <c r="T158" s="42"/>
      <c r="U158" s="42"/>
      <c r="V158" s="41"/>
      <c r="W158" s="42"/>
      <c r="X158" s="42"/>
      <c r="Y158" s="42"/>
      <c r="Z158" s="42"/>
      <c r="AA158" s="42"/>
      <c r="AB158" s="19"/>
      <c r="AC158" s="94"/>
    </row>
    <row r="159" spans="2:123" ht="13.5" thickBot="1" x14ac:dyDescent="0.25">
      <c r="B159" s="97">
        <f>IF(AND('AES Indiana Bill Calc.'!$D$17="SS",'AES Indiana Bill Calc.'!$D$18="No",'AES Indiana Bill Calc.'!$D$20="Yes 2021"),'AES Indiana Bill Calc.'!$D$19,-1)</f>
        <v>-1</v>
      </c>
      <c r="C159" s="147" t="s">
        <v>147</v>
      </c>
      <c r="D159" s="146"/>
      <c r="F159" s="36" t="s">
        <v>169</v>
      </c>
      <c r="G159" s="42">
        <f>SUM(J159:M159,O159:P159,R159:AA159)</f>
        <v>39.870000000000005</v>
      </c>
      <c r="H159" s="19" t="e">
        <f>IF(ISBLANK(B159),0,+#REF!/B159)</f>
        <v>#REF!</v>
      </c>
      <c r="I159" s="146"/>
      <c r="J159" s="82">
        <f>IF(ISBLANK(B159),0,IF(B159&gt;J$97,+J$96,+F$96))</f>
        <v>40</v>
      </c>
      <c r="K159" s="82">
        <f>IF($B159&gt;K$97,ROUND(K$97*K$96,2),ROUND($B159*K$96,2))</f>
        <v>-0.12</v>
      </c>
      <c r="L159" s="82">
        <f>IF($B159&gt;K$97,ROUND(($B159-K$97)*L$96,2),0)</f>
        <v>0</v>
      </c>
      <c r="M159" s="146"/>
      <c r="N159" s="42">
        <f>SUM(K159:L159)</f>
        <v>-0.12</v>
      </c>
      <c r="O159" s="146"/>
      <c r="P159" s="146"/>
      <c r="Q159" s="146"/>
      <c r="S159" s="42">
        <f>ROUND($B159*S$96*S158,2)</f>
        <v>0</v>
      </c>
      <c r="T159" s="42">
        <f>ROUND($B159*T$96,2)</f>
        <v>0</v>
      </c>
      <c r="U159" s="42">
        <f>ROUND($B159*U$96,2)</f>
        <v>0</v>
      </c>
      <c r="V159" s="41">
        <f>ROUND($B159*V$91,2)</f>
        <v>0</v>
      </c>
      <c r="W159" s="146"/>
      <c r="X159" s="42">
        <f>ROUND($B159*X$96,2)</f>
        <v>-0.01</v>
      </c>
      <c r="Y159" s="42">
        <f>ROUND($B159*Y$96,2)</f>
        <v>0</v>
      </c>
      <c r="Z159" s="42">
        <f>ROUND($B159*Z$96,2)</f>
        <v>0</v>
      </c>
      <c r="AA159" s="42">
        <f>ROUND($B159*AA$96,2)</f>
        <v>0</v>
      </c>
      <c r="AB159" s="19">
        <f>SUM(U$96:AA$96)+(-V$96+V121)</f>
        <v>1.4498999999999998E-2</v>
      </c>
      <c r="AC159" s="146"/>
      <c r="AE159" s="146"/>
      <c r="AG159" s="146"/>
      <c r="AI159" s="146"/>
      <c r="AK159" s="146"/>
      <c r="AM159" s="146"/>
      <c r="AO159" s="146"/>
      <c r="AQ159" s="146"/>
      <c r="AS159" s="146"/>
      <c r="AU159" s="146"/>
      <c r="AW159" s="146"/>
      <c r="AY159" s="146"/>
      <c r="BA159" s="146"/>
      <c r="BC159" s="146"/>
      <c r="BE159" s="146"/>
      <c r="BG159" s="146"/>
      <c r="BI159" s="125"/>
      <c r="BJ159" s="21"/>
      <c r="BK159" s="125"/>
      <c r="BL159" s="21"/>
      <c r="BM159" s="125"/>
      <c r="BN159" s="21"/>
      <c r="BO159" s="125"/>
      <c r="BP159" s="21"/>
      <c r="BQ159" s="125"/>
      <c r="BR159" s="21"/>
      <c r="BS159" s="125"/>
      <c r="BT159" s="21"/>
      <c r="BU159" s="125"/>
      <c r="BV159" s="21"/>
      <c r="BW159" s="125"/>
      <c r="BX159" s="21"/>
      <c r="BY159" s="125"/>
      <c r="BZ159" s="21"/>
      <c r="CA159" s="125"/>
      <c r="CB159" s="21"/>
      <c r="CC159" s="125"/>
      <c r="CD159" s="21"/>
      <c r="CE159" s="125"/>
      <c r="CF159" s="21"/>
      <c r="CG159" s="125"/>
      <c r="CH159" s="21"/>
      <c r="CI159" s="125"/>
      <c r="CJ159" s="21"/>
      <c r="CK159" s="125"/>
      <c r="CL159" s="21"/>
      <c r="CM159" s="125"/>
      <c r="CN159" s="21"/>
      <c r="CO159" s="125"/>
      <c r="CP159" s="21"/>
      <c r="CQ159" s="125"/>
      <c r="CR159" s="21"/>
      <c r="CS159" s="125"/>
      <c r="CT159" s="21"/>
      <c r="CU159" s="125"/>
      <c r="CV159" s="21"/>
      <c r="CW159" s="125"/>
      <c r="CX159" s="21"/>
      <c r="CY159" s="125"/>
      <c r="CZ159" s="21"/>
      <c r="DA159" s="125"/>
      <c r="DB159" s="21"/>
      <c r="DC159" s="125"/>
      <c r="DD159" s="21"/>
      <c r="DE159" s="125"/>
      <c r="DF159" s="21"/>
      <c r="DG159" s="125"/>
      <c r="DH159" s="21"/>
      <c r="DI159" s="125"/>
      <c r="DJ159" s="21"/>
      <c r="DK159" s="125"/>
      <c r="DL159" s="21"/>
      <c r="DM159" s="125"/>
      <c r="DN159" s="21"/>
      <c r="DO159" s="125"/>
      <c r="DP159" s="21"/>
      <c r="DQ159" s="125"/>
      <c r="DR159" s="21"/>
      <c r="DS159" s="125"/>
    </row>
    <row r="160" spans="2:123" x14ac:dyDescent="0.2">
      <c r="B160" s="97">
        <v>-1</v>
      </c>
      <c r="C160" s="80"/>
      <c r="F160" s="36"/>
      <c r="G160" s="42"/>
      <c r="H160" s="19"/>
      <c r="I160" s="19"/>
      <c r="J160" s="82"/>
      <c r="K160" s="82"/>
      <c r="L160" s="82"/>
      <c r="M160" s="41"/>
      <c r="N160" s="41"/>
      <c r="O160" s="41"/>
      <c r="P160" s="41"/>
      <c r="Q160" s="41"/>
      <c r="R160" s="41"/>
      <c r="S160" s="50">
        <v>1</v>
      </c>
      <c r="T160" s="42"/>
      <c r="U160" s="42"/>
      <c r="V160" s="41"/>
      <c r="W160" s="42"/>
      <c r="X160" s="42"/>
      <c r="Y160" s="42"/>
      <c r="Z160" s="42"/>
      <c r="AA160" s="42"/>
      <c r="AB160" s="19"/>
      <c r="AC160" s="94"/>
      <c r="AE160" s="146"/>
      <c r="AG160" s="146"/>
      <c r="AI160" s="146"/>
      <c r="AK160" s="146"/>
      <c r="AM160" s="146"/>
      <c r="AO160" s="146"/>
      <c r="AQ160" s="146"/>
      <c r="AS160" s="146"/>
      <c r="AU160" s="146"/>
      <c r="AW160" s="146"/>
      <c r="AY160" s="146"/>
      <c r="BA160" s="146"/>
      <c r="BC160" s="146"/>
      <c r="BE160" s="146"/>
      <c r="BG160" s="146"/>
      <c r="BI160" s="146"/>
      <c r="BK160" s="146"/>
      <c r="BM160" s="146"/>
      <c r="BO160" s="146"/>
      <c r="BQ160" s="146"/>
      <c r="BS160" s="146"/>
      <c r="BU160" s="146"/>
      <c r="BW160" s="146"/>
      <c r="BY160" s="146"/>
      <c r="CA160" s="146"/>
      <c r="CC160" s="146"/>
      <c r="CE160" s="146"/>
      <c r="CG160" s="146"/>
      <c r="CI160" s="146"/>
      <c r="CK160" s="146"/>
      <c r="CM160" s="146"/>
      <c r="CO160" s="146"/>
      <c r="CQ160" s="146"/>
      <c r="CS160" s="146"/>
      <c r="CU160" s="146"/>
      <c r="CW160" s="146"/>
      <c r="CY160" s="146"/>
      <c r="DA160" s="146"/>
      <c r="DC160" s="146"/>
      <c r="DE160" s="146"/>
      <c r="DG160" s="146"/>
      <c r="DI160" s="146"/>
      <c r="DK160" s="146"/>
      <c r="DM160" s="146"/>
      <c r="DO160" s="146"/>
      <c r="DQ160" s="146"/>
      <c r="DS160" s="146"/>
    </row>
    <row r="161" spans="2:123" x14ac:dyDescent="0.2">
      <c r="B161" s="97">
        <f>IF(AND('AES Indiana Bill Calc.'!$D$17="SS",'AES Indiana Bill Calc.'!$D$18="Yes 100%",'AES Indiana Bill Calc.'!$D$20="Yes 2022"),'AES Indiana Bill Calc.'!$D$19,-1)</f>
        <v>-1</v>
      </c>
      <c r="C161" s="147" t="s">
        <v>148</v>
      </c>
      <c r="D161" s="146"/>
      <c r="F161" s="36" t="s">
        <v>170</v>
      </c>
      <c r="G161" s="42">
        <f>SUM(J161:M161,O161:P161,R161:AA161)</f>
        <v>39.870000000000005</v>
      </c>
      <c r="H161" s="19" t="e">
        <f>IF(ISBLANK(B161),0,+#REF!/B161)</f>
        <v>#REF!</v>
      </c>
      <c r="I161" s="146"/>
      <c r="J161" s="82">
        <f>IF(ISBLANK(B161),0,IF(B161&gt;J$97,+J$96,+F$96))</f>
        <v>40</v>
      </c>
      <c r="K161" s="82">
        <f>IF($B161&gt;K$97,ROUND(K$97*K$96,2),ROUND($B161*K$96,2))</f>
        <v>-0.12</v>
      </c>
      <c r="L161" s="82">
        <f>IF($B161&gt;K$97,ROUND(($B161-K$97)*L$96,2),0)</f>
        <v>0</v>
      </c>
      <c r="M161" s="146"/>
      <c r="N161" s="42">
        <f>SUM(K161:L161)</f>
        <v>-0.12</v>
      </c>
      <c r="O161" s="146"/>
      <c r="P161" s="146"/>
      <c r="Q161" s="146"/>
      <c r="S161" s="42">
        <f>ROUND($B161*S$96*S160,2)</f>
        <v>0</v>
      </c>
      <c r="T161" s="42">
        <f>ROUND($B161*T$96,2)</f>
        <v>0</v>
      </c>
      <c r="U161" s="42">
        <f>ROUND($B161*U$96,2)</f>
        <v>0</v>
      </c>
      <c r="V161" s="41">
        <f>ROUND($B161*V$92,2)</f>
        <v>0</v>
      </c>
      <c r="W161" s="146"/>
      <c r="X161" s="42">
        <f>ROUND($B161*X$96,2)</f>
        <v>-0.01</v>
      </c>
      <c r="Y161" s="42">
        <f>ROUND($B161*Y$96,2)</f>
        <v>0</v>
      </c>
      <c r="Z161" s="42">
        <f>ROUND($B161*Z$96,2)</f>
        <v>0</v>
      </c>
      <c r="AA161" s="42">
        <f>ROUND($B161*AA$96,2)</f>
        <v>0</v>
      </c>
      <c r="AB161" s="19">
        <f>SUM(U$96:AA$96)+(-V$96+V123)</f>
        <v>1.4498999999999998E-2</v>
      </c>
      <c r="AC161" s="146"/>
      <c r="AE161" s="146"/>
      <c r="AG161" s="146"/>
      <c r="AI161" s="146"/>
      <c r="AK161" s="146"/>
      <c r="AM161" s="146"/>
      <c r="AO161" s="146"/>
      <c r="AQ161" s="146"/>
      <c r="AS161" s="146"/>
      <c r="AU161" s="146"/>
      <c r="AW161" s="146"/>
      <c r="AY161" s="146"/>
      <c r="BA161" s="146"/>
      <c r="BC161" s="146"/>
      <c r="BE161" s="146"/>
      <c r="BG161" s="146"/>
      <c r="BI161" s="146"/>
      <c r="BK161" s="146"/>
      <c r="BM161" s="146"/>
      <c r="BO161" s="146"/>
      <c r="BQ161" s="146"/>
      <c r="BS161" s="146"/>
      <c r="BU161" s="146"/>
      <c r="BW161" s="146"/>
      <c r="BY161" s="146"/>
      <c r="CA161" s="146"/>
      <c r="CC161" s="146"/>
      <c r="CE161" s="146"/>
      <c r="CG161" s="146"/>
      <c r="CI161" s="146"/>
      <c r="CK161" s="146"/>
      <c r="CM161" s="146"/>
      <c r="CO161" s="146"/>
      <c r="CQ161" s="146"/>
      <c r="CS161" s="146"/>
      <c r="CU161" s="146"/>
      <c r="CW161" s="146"/>
      <c r="CY161" s="146"/>
      <c r="DA161" s="146"/>
      <c r="DC161" s="146"/>
      <c r="DE161" s="146"/>
      <c r="DG161" s="146"/>
      <c r="DI161" s="146"/>
      <c r="DK161" s="146"/>
      <c r="DM161" s="146"/>
      <c r="DO161" s="146"/>
      <c r="DQ161" s="146"/>
      <c r="DS161" s="146"/>
    </row>
    <row r="162" spans="2:123" x14ac:dyDescent="0.2">
      <c r="B162" s="97">
        <v>-1</v>
      </c>
      <c r="C162" s="80"/>
      <c r="F162" s="36"/>
      <c r="G162" s="42"/>
      <c r="H162" s="19"/>
      <c r="I162" s="19"/>
      <c r="J162" s="82"/>
      <c r="K162" s="82"/>
      <c r="L162" s="82"/>
      <c r="M162" s="41"/>
      <c r="N162" s="41"/>
      <c r="O162" s="41"/>
      <c r="P162" s="41"/>
      <c r="Q162" s="41"/>
      <c r="R162" s="41"/>
      <c r="S162" s="50">
        <v>0.5</v>
      </c>
      <c r="T162" s="42"/>
      <c r="U162" s="42"/>
      <c r="V162" s="41"/>
      <c r="W162" s="42"/>
      <c r="X162" s="42"/>
      <c r="Y162" s="42"/>
      <c r="Z162" s="42"/>
      <c r="AA162" s="42"/>
      <c r="AB162" s="19"/>
      <c r="AC162" s="94"/>
      <c r="AE162" s="146"/>
      <c r="AG162" s="146"/>
      <c r="AI162" s="146"/>
      <c r="AK162" s="146"/>
      <c r="AM162" s="146"/>
      <c r="AO162" s="146"/>
      <c r="AQ162" s="146"/>
      <c r="AS162" s="146"/>
      <c r="AU162" s="146"/>
      <c r="AW162" s="146"/>
      <c r="AY162" s="146"/>
      <c r="BA162" s="146"/>
      <c r="BC162" s="146"/>
      <c r="BE162" s="146"/>
      <c r="BG162" s="146"/>
      <c r="BI162" s="146"/>
      <c r="BK162" s="146"/>
      <c r="BM162" s="146"/>
      <c r="BO162" s="146"/>
      <c r="BQ162" s="146"/>
      <c r="BS162" s="146"/>
      <c r="BU162" s="146"/>
      <c r="BW162" s="146"/>
      <c r="BY162" s="146"/>
      <c r="CA162" s="146"/>
      <c r="CC162" s="146"/>
      <c r="CE162" s="146"/>
      <c r="CG162" s="146"/>
      <c r="CI162" s="146"/>
      <c r="CK162" s="146"/>
      <c r="CM162" s="146"/>
      <c r="CO162" s="146"/>
      <c r="CQ162" s="146"/>
      <c r="CS162" s="146"/>
      <c r="CU162" s="146"/>
      <c r="CW162" s="146"/>
      <c r="CY162" s="146"/>
      <c r="DA162" s="146"/>
      <c r="DC162" s="146"/>
      <c r="DE162" s="146"/>
      <c r="DG162" s="146"/>
      <c r="DI162" s="146"/>
      <c r="DK162" s="146"/>
      <c r="DM162" s="146"/>
      <c r="DO162" s="146"/>
      <c r="DQ162" s="146"/>
      <c r="DS162" s="146"/>
    </row>
    <row r="163" spans="2:123" x14ac:dyDescent="0.2">
      <c r="B163" s="97">
        <f>IF(AND('AES Indiana Bill Calc.'!$D$17="SS",'AES Indiana Bill Calc.'!$D$18="Yes 50%",'AES Indiana Bill Calc.'!$D$20="Yes 2022"),'AES Indiana Bill Calc.'!$D$19,-1)</f>
        <v>-1</v>
      </c>
      <c r="C163" s="147" t="s">
        <v>149</v>
      </c>
      <c r="D163" s="146"/>
      <c r="F163" s="36" t="s">
        <v>170</v>
      </c>
      <c r="G163" s="42">
        <f>SUM(J163:M163,O163:P163,R163:AA163)</f>
        <v>39.870000000000005</v>
      </c>
      <c r="H163" s="19" t="e">
        <f>IF(ISBLANK(B163),0,+#REF!/B163)</f>
        <v>#REF!</v>
      </c>
      <c r="I163" s="146"/>
      <c r="J163" s="82">
        <f>IF(ISBLANK(B163),0,IF(B163&gt;J$97,+J$96,+F$96))</f>
        <v>40</v>
      </c>
      <c r="K163" s="82">
        <f>IF($B163&gt;K$97,ROUND(K$97*K$96,2),ROUND($B163*K$96,2))</f>
        <v>-0.12</v>
      </c>
      <c r="L163" s="82">
        <f>IF($B163&gt;K$97,ROUND(($B163-K$97)*L$96,2),0)</f>
        <v>0</v>
      </c>
      <c r="M163" s="146"/>
      <c r="N163" s="42">
        <f>SUM(K163:L163)</f>
        <v>-0.12</v>
      </c>
      <c r="O163" s="146"/>
      <c r="P163" s="146"/>
      <c r="Q163" s="146"/>
      <c r="S163" s="42">
        <f>ROUND($B163*S$96*S162,2)</f>
        <v>0</v>
      </c>
      <c r="T163" s="42">
        <f>ROUND($B163*T$96,2)</f>
        <v>0</v>
      </c>
      <c r="U163" s="42">
        <f>ROUND($B163*U$96,2)</f>
        <v>0</v>
      </c>
      <c r="V163" s="41">
        <f>ROUND($B163*V$92,2)</f>
        <v>0</v>
      </c>
      <c r="W163" s="146"/>
      <c r="X163" s="42">
        <f>ROUND($B163*X$96,2)</f>
        <v>-0.01</v>
      </c>
      <c r="Y163" s="42">
        <f>ROUND($B163*Y$96,2)</f>
        <v>0</v>
      </c>
      <c r="Z163" s="42">
        <f>ROUND($B163*Z$96,2)</f>
        <v>0</v>
      </c>
      <c r="AA163" s="42">
        <f>ROUND($B163*AA$96,2)</f>
        <v>0</v>
      </c>
      <c r="AB163" s="19">
        <f>SUM(U$96:AA$96)+(-V$96+V125)</f>
        <v>1.4498999999999998E-2</v>
      </c>
      <c r="AC163" s="146"/>
      <c r="AE163" s="146"/>
      <c r="AG163" s="146"/>
      <c r="AI163" s="146"/>
      <c r="AK163" s="146"/>
      <c r="AM163" s="146"/>
      <c r="AO163" s="146"/>
      <c r="AQ163" s="146"/>
      <c r="AS163" s="146"/>
      <c r="AU163" s="146"/>
      <c r="AW163" s="146"/>
      <c r="AY163" s="146"/>
      <c r="BA163" s="146"/>
      <c r="BC163" s="146"/>
      <c r="BE163" s="146"/>
      <c r="BG163" s="146"/>
      <c r="BI163" s="146"/>
      <c r="BK163" s="146"/>
      <c r="BM163" s="146"/>
      <c r="BO163" s="146"/>
      <c r="BQ163" s="146"/>
      <c r="BS163" s="146"/>
      <c r="BU163" s="146"/>
      <c r="BW163" s="146"/>
      <c r="BY163" s="146"/>
      <c r="CA163" s="146"/>
      <c r="CC163" s="146"/>
      <c r="CE163" s="146"/>
      <c r="CG163" s="146"/>
      <c r="CI163" s="146"/>
      <c r="CK163" s="146"/>
      <c r="CM163" s="146"/>
      <c r="CO163" s="146"/>
      <c r="CQ163" s="146"/>
      <c r="CS163" s="146"/>
      <c r="CU163" s="146"/>
      <c r="CW163" s="146"/>
      <c r="CY163" s="146"/>
      <c r="DA163" s="146"/>
      <c r="DC163" s="146"/>
      <c r="DE163" s="146"/>
      <c r="DG163" s="146"/>
      <c r="DI163" s="146"/>
      <c r="DK163" s="146"/>
      <c r="DM163" s="146"/>
      <c r="DO163" s="146"/>
      <c r="DQ163" s="146"/>
      <c r="DS163" s="146"/>
    </row>
    <row r="164" spans="2:123" x14ac:dyDescent="0.2">
      <c r="B164" s="97">
        <v>-1</v>
      </c>
      <c r="C164" s="80"/>
      <c r="F164" s="36"/>
      <c r="G164" s="42"/>
      <c r="H164" s="19"/>
      <c r="I164" s="19"/>
      <c r="J164" s="82"/>
      <c r="K164" s="82"/>
      <c r="L164" s="82"/>
      <c r="M164" s="41"/>
      <c r="N164" s="41"/>
      <c r="O164" s="41"/>
      <c r="P164" s="41"/>
      <c r="Q164" s="41"/>
      <c r="R164" s="41"/>
      <c r="S164" s="50">
        <v>0.25</v>
      </c>
      <c r="T164" s="42"/>
      <c r="U164" s="42"/>
      <c r="V164" s="41"/>
      <c r="W164" s="42"/>
      <c r="X164" s="42"/>
      <c r="Y164" s="42"/>
      <c r="Z164" s="42"/>
      <c r="AA164" s="42"/>
      <c r="AB164" s="19"/>
      <c r="AC164" s="94"/>
      <c r="AE164" s="146"/>
      <c r="AG164" s="146"/>
      <c r="AI164" s="146"/>
      <c r="AK164" s="146"/>
      <c r="AM164" s="146"/>
      <c r="AO164" s="146"/>
      <c r="AQ164" s="146"/>
      <c r="AS164" s="146"/>
      <c r="AU164" s="146"/>
      <c r="AW164" s="146"/>
      <c r="AY164" s="146"/>
      <c r="BA164" s="146"/>
      <c r="BC164" s="146"/>
      <c r="BE164" s="146"/>
      <c r="BG164" s="146"/>
      <c r="BI164" s="146"/>
      <c r="BK164" s="146"/>
      <c r="BM164" s="146"/>
      <c r="BO164" s="146"/>
      <c r="BQ164" s="146"/>
      <c r="BS164" s="146"/>
      <c r="BU164" s="146"/>
      <c r="BW164" s="146"/>
      <c r="BY164" s="146"/>
      <c r="CA164" s="146"/>
      <c r="CC164" s="146"/>
      <c r="CE164" s="146"/>
      <c r="CG164" s="146"/>
      <c r="CI164" s="146"/>
      <c r="CK164" s="146"/>
      <c r="CM164" s="146"/>
      <c r="CO164" s="146"/>
      <c r="CQ164" s="146"/>
      <c r="CS164" s="146"/>
      <c r="CU164" s="146"/>
      <c r="CW164" s="146"/>
      <c r="CY164" s="146"/>
      <c r="DA164" s="146"/>
      <c r="DC164" s="146"/>
      <c r="DE164" s="146"/>
      <c r="DG164" s="146"/>
      <c r="DI164" s="146"/>
      <c r="DK164" s="146"/>
      <c r="DM164" s="146"/>
      <c r="DO164" s="146"/>
      <c r="DQ164" s="146"/>
      <c r="DS164" s="146"/>
    </row>
    <row r="165" spans="2:123" x14ac:dyDescent="0.2">
      <c r="B165" s="97">
        <f>IF(AND('AES Indiana Bill Calc.'!$D$17="SS",'AES Indiana Bill Calc.'!$D$18="Yes 25%",'AES Indiana Bill Calc.'!$D$20="Yes 2022"),'AES Indiana Bill Calc.'!$D$19,-1)</f>
        <v>-1</v>
      </c>
      <c r="C165" s="147" t="s">
        <v>150</v>
      </c>
      <c r="D165" s="146"/>
      <c r="F165" s="36" t="s">
        <v>170</v>
      </c>
      <c r="G165" s="42">
        <f>SUM(J165:M165,O165:P165,R165:AA165)</f>
        <v>39.870000000000005</v>
      </c>
      <c r="H165" s="19" t="e">
        <f>IF(ISBLANK(B165),0,+#REF!/B165)</f>
        <v>#REF!</v>
      </c>
      <c r="I165" s="146"/>
      <c r="J165" s="82">
        <f>IF(ISBLANK(B165),0,IF(B165&gt;J$97,+J$96,+F$96))</f>
        <v>40</v>
      </c>
      <c r="K165" s="82">
        <f>IF($B165&gt;K$97,ROUND(K$97*K$96,2),ROUND($B165*K$96,2))</f>
        <v>-0.12</v>
      </c>
      <c r="L165" s="82">
        <f>IF($B165&gt;K$97,ROUND(($B165-K$97)*L$96,2),0)</f>
        <v>0</v>
      </c>
      <c r="M165" s="146"/>
      <c r="N165" s="42">
        <f>SUM(K165:L165)</f>
        <v>-0.12</v>
      </c>
      <c r="O165" s="146"/>
      <c r="P165" s="146"/>
      <c r="Q165" s="146"/>
      <c r="S165" s="42">
        <f>ROUND($B165*S$96*S164,2)</f>
        <v>0</v>
      </c>
      <c r="T165" s="42">
        <f>ROUND($B165*T$96,2)</f>
        <v>0</v>
      </c>
      <c r="U165" s="42">
        <f>ROUND($B165*U$96,2)</f>
        <v>0</v>
      </c>
      <c r="V165" s="41">
        <f>ROUND($B165*V$92,2)</f>
        <v>0</v>
      </c>
      <c r="W165" s="146"/>
      <c r="X165" s="42">
        <f>ROUND($B165*X$96,2)</f>
        <v>-0.01</v>
      </c>
      <c r="Y165" s="42">
        <f>ROUND($B165*Y$96,2)</f>
        <v>0</v>
      </c>
      <c r="Z165" s="42">
        <f>ROUND($B165*Z$96,2)</f>
        <v>0</v>
      </c>
      <c r="AA165" s="42">
        <f>ROUND($B165*AA$96,2)</f>
        <v>0</v>
      </c>
      <c r="AB165" s="19">
        <f>SUM(U$96:AA$96)+(-V$96+V127)</f>
        <v>1.4498999999999998E-2</v>
      </c>
      <c r="AC165" s="146"/>
      <c r="AE165" s="146"/>
      <c r="AG165" s="146"/>
      <c r="AI165" s="146"/>
      <c r="AK165" s="146"/>
      <c r="AM165" s="146"/>
      <c r="AO165" s="146"/>
      <c r="AQ165" s="146"/>
      <c r="AS165" s="146"/>
      <c r="AU165" s="146"/>
      <c r="AW165" s="146"/>
      <c r="AY165" s="146"/>
      <c r="BA165" s="146"/>
      <c r="BC165" s="146"/>
      <c r="BE165" s="146"/>
      <c r="BG165" s="146"/>
      <c r="BI165" s="146"/>
      <c r="BK165" s="146"/>
      <c r="BM165" s="146"/>
      <c r="BO165" s="146"/>
      <c r="BQ165" s="146"/>
      <c r="BS165" s="146"/>
      <c r="BU165" s="146"/>
      <c r="BW165" s="146"/>
      <c r="BY165" s="146"/>
      <c r="CA165" s="146"/>
      <c r="CC165" s="146"/>
      <c r="CE165" s="146"/>
      <c r="CG165" s="146"/>
      <c r="CI165" s="146"/>
      <c r="CK165" s="146"/>
      <c r="CM165" s="146"/>
      <c r="CO165" s="146"/>
      <c r="CQ165" s="146"/>
      <c r="CS165" s="146"/>
      <c r="CU165" s="146"/>
      <c r="CW165" s="146"/>
      <c r="CY165" s="146"/>
      <c r="DA165" s="146"/>
      <c r="DC165" s="146"/>
      <c r="DE165" s="146"/>
      <c r="DG165" s="146"/>
      <c r="DI165" s="146"/>
      <c r="DK165" s="146"/>
      <c r="DM165" s="146"/>
      <c r="DO165" s="146"/>
      <c r="DQ165" s="146"/>
      <c r="DS165" s="146"/>
    </row>
    <row r="166" spans="2:123" x14ac:dyDescent="0.2">
      <c r="B166" s="97">
        <v>-1</v>
      </c>
      <c r="C166" s="80"/>
      <c r="F166" s="36"/>
      <c r="G166" s="42"/>
      <c r="H166" s="19"/>
      <c r="I166" s="19"/>
      <c r="J166" s="82"/>
      <c r="K166" s="82"/>
      <c r="L166" s="82"/>
      <c r="M166" s="41"/>
      <c r="N166" s="41"/>
      <c r="O166" s="41"/>
      <c r="P166" s="41"/>
      <c r="Q166" s="41"/>
      <c r="R166" s="41"/>
      <c r="S166" s="50">
        <v>0.1</v>
      </c>
      <c r="T166" s="42"/>
      <c r="U166" s="42"/>
      <c r="V166" s="41"/>
      <c r="W166" s="42"/>
      <c r="X166" s="42"/>
      <c r="Y166" s="42"/>
      <c r="Z166" s="42"/>
      <c r="AA166" s="42"/>
      <c r="AB166" s="19"/>
      <c r="AC166" s="94"/>
      <c r="AE166" s="146"/>
      <c r="AG166" s="146"/>
      <c r="AI166" s="146"/>
      <c r="AK166" s="146"/>
      <c r="AM166" s="146"/>
      <c r="AO166" s="146"/>
      <c r="AQ166" s="146"/>
      <c r="AS166" s="146"/>
      <c r="AU166" s="146"/>
      <c r="AW166" s="146"/>
      <c r="AY166" s="146"/>
      <c r="BA166" s="146"/>
      <c r="BC166" s="146"/>
      <c r="BE166" s="146"/>
      <c r="BG166" s="146"/>
      <c r="BI166" s="146"/>
      <c r="BK166" s="146"/>
      <c r="BM166" s="146"/>
      <c r="BO166" s="146"/>
      <c r="BQ166" s="146"/>
      <c r="BS166" s="146"/>
      <c r="BU166" s="146"/>
      <c r="BW166" s="146"/>
      <c r="BY166" s="146"/>
      <c r="CA166" s="146"/>
      <c r="CC166" s="146"/>
      <c r="CE166" s="146"/>
      <c r="CG166" s="146"/>
      <c r="CI166" s="146"/>
      <c r="CK166" s="146"/>
      <c r="CM166" s="146"/>
      <c r="CO166" s="146"/>
      <c r="CQ166" s="146"/>
      <c r="CS166" s="146"/>
      <c r="CU166" s="146"/>
      <c r="CW166" s="146"/>
      <c r="CY166" s="146"/>
      <c r="DA166" s="146"/>
      <c r="DC166" s="146"/>
      <c r="DE166" s="146"/>
      <c r="DG166" s="146"/>
      <c r="DI166" s="146"/>
      <c r="DK166" s="146"/>
      <c r="DM166" s="146"/>
      <c r="DO166" s="146"/>
      <c r="DQ166" s="146"/>
      <c r="DS166" s="146"/>
    </row>
    <row r="167" spans="2:123" x14ac:dyDescent="0.2">
      <c r="B167" s="97">
        <f>IF(AND('AES Indiana Bill Calc.'!$D$17="SS",'AES Indiana Bill Calc.'!$D$18="Yes 10%",'AES Indiana Bill Calc.'!$D$20="Yes 2022"),'AES Indiana Bill Calc.'!$D$19,-1)</f>
        <v>-1</v>
      </c>
      <c r="C167" s="147" t="s">
        <v>164</v>
      </c>
      <c r="D167" s="146"/>
      <c r="F167" s="36" t="s">
        <v>170</v>
      </c>
      <c r="G167" s="42">
        <f>SUM(J167:M167,O167:P167,R167:AA167)</f>
        <v>39.870000000000005</v>
      </c>
      <c r="H167" s="19" t="e">
        <f>IF(ISBLANK(B167),0,+#REF!/B167)</f>
        <v>#REF!</v>
      </c>
      <c r="I167" s="146"/>
      <c r="J167" s="82">
        <f>IF(ISBLANK(B167),0,IF(B167&gt;J$97,+J$96,+F$96))</f>
        <v>40</v>
      </c>
      <c r="K167" s="82">
        <f>IF($B167&gt;K$97,ROUND(K$97*K$96,2),ROUND($B167*K$96,2))</f>
        <v>-0.12</v>
      </c>
      <c r="L167" s="82">
        <f>IF($B167&gt;K$97,ROUND(($B167-K$97)*L$96,2),0)</f>
        <v>0</v>
      </c>
      <c r="M167" s="146"/>
      <c r="N167" s="42">
        <f>SUM(K167:L167)</f>
        <v>-0.12</v>
      </c>
      <c r="O167" s="146"/>
      <c r="P167" s="146"/>
      <c r="Q167" s="146"/>
      <c r="S167" s="42">
        <f>ROUND($B167*S$96*S166,2)</f>
        <v>0</v>
      </c>
      <c r="T167" s="42">
        <f>ROUND($B167*T$96,2)</f>
        <v>0</v>
      </c>
      <c r="U167" s="42">
        <f>ROUND($B167*U$96,2)</f>
        <v>0</v>
      </c>
      <c r="V167" s="41">
        <f>ROUND($B167*V$92,2)</f>
        <v>0</v>
      </c>
      <c r="W167" s="146"/>
      <c r="X167" s="42">
        <f>ROUND($B167*X$96,2)</f>
        <v>-0.01</v>
      </c>
      <c r="Y167" s="42">
        <f>ROUND($B167*Y$96,2)</f>
        <v>0</v>
      </c>
      <c r="Z167" s="42">
        <f>ROUND($B167*Z$96,2)</f>
        <v>0</v>
      </c>
      <c r="AA167" s="42">
        <f>ROUND($B167*AA$96,2)</f>
        <v>0</v>
      </c>
      <c r="AB167" s="19">
        <f>SUM(U$96:AA$96)+(-V$96+V129)</f>
        <v>1.4498999999999998E-2</v>
      </c>
      <c r="AC167" s="146"/>
      <c r="AE167" s="146"/>
      <c r="AG167" s="146"/>
      <c r="AI167" s="146"/>
      <c r="AK167" s="146"/>
      <c r="AM167" s="146"/>
      <c r="AO167" s="146"/>
      <c r="AQ167" s="146"/>
      <c r="AS167" s="146"/>
      <c r="AU167" s="146"/>
      <c r="AW167" s="146"/>
      <c r="AY167" s="146"/>
      <c r="BA167" s="146"/>
      <c r="BC167" s="146"/>
      <c r="BE167" s="146"/>
      <c r="BG167" s="146"/>
      <c r="BI167" s="146"/>
      <c r="BK167" s="146"/>
      <c r="BM167" s="146"/>
      <c r="BO167" s="146"/>
      <c r="BQ167" s="146"/>
      <c r="BS167" s="146"/>
      <c r="BU167" s="146"/>
      <c r="BW167" s="146"/>
      <c r="BY167" s="146"/>
      <c r="CA167" s="146"/>
      <c r="CC167" s="146"/>
      <c r="CE167" s="146"/>
      <c r="CG167" s="146"/>
      <c r="CI167" s="146"/>
      <c r="CK167" s="146"/>
      <c r="CM167" s="146"/>
      <c r="CO167" s="146"/>
      <c r="CQ167" s="146"/>
      <c r="CS167" s="146"/>
      <c r="CU167" s="146"/>
      <c r="CW167" s="146"/>
      <c r="CY167" s="146"/>
      <c r="DA167" s="146"/>
      <c r="DC167" s="146"/>
      <c r="DE167" s="146"/>
      <c r="DG167" s="146"/>
      <c r="DI167" s="146"/>
      <c r="DK167" s="146"/>
      <c r="DM167" s="146"/>
      <c r="DO167" s="146"/>
      <c r="DQ167" s="146"/>
      <c r="DS167" s="146"/>
    </row>
    <row r="168" spans="2:123" x14ac:dyDescent="0.2">
      <c r="B168" s="97">
        <v>-1</v>
      </c>
      <c r="C168" s="40"/>
      <c r="F168" s="36"/>
      <c r="G168" s="42"/>
      <c r="H168" s="19"/>
      <c r="I168" s="19"/>
      <c r="J168" s="82"/>
      <c r="K168" s="82"/>
      <c r="L168" s="82"/>
      <c r="M168" s="41"/>
      <c r="N168" s="41"/>
      <c r="O168" s="41"/>
      <c r="P168" s="41"/>
      <c r="Q168" s="41"/>
      <c r="R168" s="41"/>
      <c r="S168" s="50">
        <v>0</v>
      </c>
      <c r="T168" s="42"/>
      <c r="U168" s="42"/>
      <c r="V168" s="41"/>
      <c r="W168" s="42"/>
      <c r="X168" s="42"/>
      <c r="Y168" s="42"/>
      <c r="Z168" s="42"/>
      <c r="AA168" s="42"/>
      <c r="AB168" s="19"/>
      <c r="AC168" s="94"/>
      <c r="AE168" s="146"/>
      <c r="AG168" s="146"/>
      <c r="AI168" s="146"/>
      <c r="AK168" s="146"/>
      <c r="AM168" s="146"/>
      <c r="AO168" s="146"/>
      <c r="AQ168" s="146"/>
      <c r="AS168" s="146"/>
      <c r="AU168" s="146"/>
      <c r="AW168" s="146"/>
      <c r="AY168" s="146"/>
      <c r="BA168" s="146"/>
      <c r="BC168" s="146"/>
      <c r="BE168" s="146"/>
      <c r="BG168" s="146"/>
      <c r="BI168" s="146"/>
      <c r="BK168" s="146"/>
      <c r="BM168" s="146"/>
      <c r="BO168" s="146"/>
      <c r="BQ168" s="146"/>
      <c r="BS168" s="146"/>
      <c r="BU168" s="146"/>
      <c r="BW168" s="146"/>
      <c r="BY168" s="146"/>
      <c r="CA168" s="146"/>
      <c r="CC168" s="146"/>
      <c r="CE168" s="146"/>
      <c r="CG168" s="146"/>
      <c r="CI168" s="146"/>
      <c r="CK168" s="146"/>
      <c r="CM168" s="146"/>
      <c r="CO168" s="146"/>
      <c r="CQ168" s="146"/>
      <c r="CS168" s="146"/>
      <c r="CU168" s="146"/>
      <c r="CW168" s="146"/>
      <c r="CY168" s="146"/>
      <c r="DA168" s="146"/>
      <c r="DC168" s="146"/>
      <c r="DE168" s="146"/>
      <c r="DG168" s="146"/>
      <c r="DI168" s="146"/>
      <c r="DK168" s="146"/>
      <c r="DM168" s="146"/>
      <c r="DO168" s="146"/>
      <c r="DQ168" s="146"/>
      <c r="DS168" s="146"/>
    </row>
    <row r="169" spans="2:123" x14ac:dyDescent="0.2">
      <c r="B169" s="97">
        <f>IF(AND('AES Indiana Bill Calc.'!$D$17="SS",'AES Indiana Bill Calc.'!$D$18="No",'AES Indiana Bill Calc.'!$D$20="Yes 2022"),'AES Indiana Bill Calc.'!$D$19,-1)</f>
        <v>-1</v>
      </c>
      <c r="C169" s="147" t="s">
        <v>147</v>
      </c>
      <c r="D169" s="146"/>
      <c r="F169" s="36" t="s">
        <v>170</v>
      </c>
      <c r="G169" s="42">
        <f>SUM(J169:M169,O169:P169,R169:AA169)</f>
        <v>39.870000000000005</v>
      </c>
      <c r="H169" s="19" t="e">
        <f>IF(ISBLANK(B169),0,+#REF!/B169)</f>
        <v>#REF!</v>
      </c>
      <c r="I169" s="146"/>
      <c r="J169" s="82">
        <f>IF(ISBLANK(B169),0,IF(B169&gt;J$97,+J$96,+F$96))</f>
        <v>40</v>
      </c>
      <c r="K169" s="82">
        <f>IF($B169&gt;K$97,ROUND(K$97*K$96,2),ROUND($B169*K$96,2))</f>
        <v>-0.12</v>
      </c>
      <c r="L169" s="82">
        <f>IF($B169&gt;K$97,ROUND(($B169-K$97)*L$96,2),0)</f>
        <v>0</v>
      </c>
      <c r="M169" s="146"/>
      <c r="N169" s="42">
        <f>SUM(K169:L169)</f>
        <v>-0.12</v>
      </c>
      <c r="O169" s="146"/>
      <c r="P169" s="146"/>
      <c r="Q169" s="146"/>
      <c r="S169" s="42">
        <f>ROUND($B169*S$96*S168,2)</f>
        <v>0</v>
      </c>
      <c r="T169" s="42">
        <f>ROUND($B169*T$96,2)</f>
        <v>0</v>
      </c>
      <c r="U169" s="42">
        <f>ROUND($B169*U$96,2)</f>
        <v>0</v>
      </c>
      <c r="V169" s="41">
        <f>ROUND($B169*V$92,2)</f>
        <v>0</v>
      </c>
      <c r="W169" s="146"/>
      <c r="X169" s="42">
        <f>ROUND($B169*X$96,2)</f>
        <v>-0.01</v>
      </c>
      <c r="Y169" s="42">
        <f>ROUND($B169*Y$96,2)</f>
        <v>0</v>
      </c>
      <c r="Z169" s="42">
        <f>ROUND($B169*Z$96,2)</f>
        <v>0</v>
      </c>
      <c r="AA169" s="42">
        <f>ROUND($B169*AA$96,2)</f>
        <v>0</v>
      </c>
      <c r="AB169" s="19">
        <f>SUM(U$96:AA$96)+(-V$96+V131)</f>
        <v>1.4498999999999998E-2</v>
      </c>
      <c r="AC169" s="146"/>
      <c r="AE169" s="146"/>
      <c r="AG169" s="146"/>
      <c r="AI169" s="146"/>
      <c r="AK169" s="146"/>
      <c r="AM169" s="146"/>
      <c r="AO169" s="146"/>
      <c r="AQ169" s="146"/>
      <c r="AS169" s="146"/>
      <c r="AU169" s="146"/>
      <c r="AW169" s="146"/>
      <c r="AY169" s="146"/>
      <c r="BA169" s="146"/>
      <c r="BC169" s="146"/>
      <c r="BE169" s="146"/>
      <c r="BG169" s="146"/>
      <c r="BI169" s="146"/>
      <c r="BK169" s="146"/>
      <c r="BM169" s="146"/>
      <c r="BO169" s="146"/>
      <c r="BQ169" s="146"/>
      <c r="BS169" s="146"/>
      <c r="BU169" s="146"/>
      <c r="BW169" s="146"/>
      <c r="BY169" s="146"/>
      <c r="CA169" s="146"/>
      <c r="CC169" s="146"/>
      <c r="CE169" s="146"/>
      <c r="CG169" s="146"/>
      <c r="CI169" s="146"/>
      <c r="CK169" s="146"/>
      <c r="CM169" s="146"/>
      <c r="CO169" s="146"/>
      <c r="CQ169" s="146"/>
      <c r="CS169" s="146"/>
      <c r="CU169" s="146"/>
      <c r="CW169" s="146"/>
      <c r="CY169" s="146"/>
      <c r="DA169" s="146"/>
      <c r="DC169" s="146"/>
      <c r="DE169" s="146"/>
      <c r="DG169" s="146"/>
      <c r="DI169" s="146"/>
      <c r="DK169" s="146"/>
      <c r="DM169" s="146"/>
      <c r="DO169" s="146"/>
      <c r="DQ169" s="146"/>
      <c r="DS169" s="146"/>
    </row>
    <row r="170" spans="2:123" x14ac:dyDescent="0.2">
      <c r="B170" s="97">
        <v>-1</v>
      </c>
      <c r="C170" s="147"/>
      <c r="D170" s="146"/>
      <c r="F170" s="36"/>
      <c r="G170" s="42"/>
      <c r="H170" s="19"/>
      <c r="I170" s="146"/>
      <c r="J170" s="82"/>
      <c r="K170" s="82"/>
      <c r="L170" s="82"/>
      <c r="M170" s="146"/>
      <c r="N170" s="42"/>
      <c r="O170" s="146"/>
      <c r="P170" s="146"/>
      <c r="Q170" s="146"/>
      <c r="S170" s="50">
        <v>1</v>
      </c>
      <c r="T170" s="42"/>
      <c r="U170" s="42"/>
      <c r="V170" s="41"/>
      <c r="W170" s="146"/>
      <c r="X170" s="42"/>
      <c r="Y170" s="42"/>
      <c r="Z170" s="42"/>
      <c r="AA170" s="42"/>
      <c r="AB170" s="19"/>
      <c r="AC170" s="146"/>
      <c r="AE170" s="146"/>
      <c r="AG170" s="146"/>
      <c r="AI170" s="146"/>
      <c r="AK170" s="146"/>
      <c r="AM170" s="146"/>
      <c r="AO170" s="146"/>
      <c r="AQ170" s="146"/>
      <c r="AS170" s="146"/>
      <c r="AU170" s="146"/>
      <c r="AW170" s="146"/>
      <c r="AY170" s="146"/>
      <c r="BA170" s="146"/>
      <c r="BC170" s="146"/>
      <c r="BE170" s="146"/>
      <c r="BG170" s="146"/>
      <c r="BI170" s="146"/>
      <c r="BK170" s="146"/>
      <c r="BM170" s="146"/>
      <c r="BO170" s="146"/>
      <c r="BQ170" s="146"/>
      <c r="BS170" s="146"/>
      <c r="BU170" s="146"/>
      <c r="BW170" s="146"/>
      <c r="BY170" s="146"/>
      <c r="CA170" s="146"/>
      <c r="CC170" s="146"/>
      <c r="CE170" s="146"/>
      <c r="CG170" s="146"/>
      <c r="CI170" s="146"/>
      <c r="CK170" s="146"/>
      <c r="CM170" s="146"/>
      <c r="CO170" s="146"/>
      <c r="CQ170" s="146"/>
      <c r="CS170" s="146"/>
      <c r="CU170" s="146"/>
      <c r="CW170" s="146"/>
      <c r="CY170" s="146"/>
      <c r="DA170" s="146"/>
      <c r="DC170" s="146"/>
      <c r="DE170" s="146"/>
      <c r="DG170" s="146"/>
      <c r="DI170" s="146"/>
      <c r="DK170" s="146"/>
      <c r="DM170" s="146"/>
      <c r="DO170" s="146"/>
      <c r="DQ170" s="146"/>
      <c r="DS170" s="146"/>
    </row>
    <row r="171" spans="2:123" x14ac:dyDescent="0.2">
      <c r="B171" s="97">
        <f>IF(AND('AES Indiana Bill Calc.'!$D$17="SS",'AES Indiana Bill Calc.'!$D$18="Yes 100%",'AES Indiana Bill Calc.'!$D$20="Yes 2023"),'AES Indiana Bill Calc.'!$D$19,-1)</f>
        <v>-1</v>
      </c>
      <c r="C171" s="147" t="s">
        <v>148</v>
      </c>
      <c r="D171" s="146"/>
      <c r="F171" s="36" t="s">
        <v>171</v>
      </c>
      <c r="G171" s="42">
        <f>SUM(J171:M171,O171:P171,R171:AA171)</f>
        <v>39.870000000000005</v>
      </c>
      <c r="H171" s="19" t="e">
        <f>IF(ISBLANK(B171),0,+#REF!/B171)</f>
        <v>#REF!</v>
      </c>
      <c r="I171" s="146"/>
      <c r="J171" s="82">
        <f>IF(ISBLANK(B171),0,IF(B171&gt;J$97,+J$96,+F$96))</f>
        <v>40</v>
      </c>
      <c r="K171" s="82">
        <f>IF($B171&gt;K$97,ROUND(K$97*K$96,2),ROUND($B171*K$96,2))</f>
        <v>-0.12</v>
      </c>
      <c r="L171" s="82">
        <f>IF($B171&gt;K$97,ROUND(($B171-K$97)*L$96,2),0)</f>
        <v>0</v>
      </c>
      <c r="M171" s="146"/>
      <c r="N171" s="42">
        <f>SUM(K171:L171)</f>
        <v>-0.12</v>
      </c>
      <c r="O171" s="146"/>
      <c r="P171" s="146"/>
      <c r="Q171" s="146"/>
      <c r="S171" s="42">
        <f>ROUND($B171*S$96*S170,2)</f>
        <v>0</v>
      </c>
      <c r="T171" s="42">
        <f>ROUND($B171*T$96,2)</f>
        <v>0</v>
      </c>
      <c r="U171" s="42">
        <f>ROUND($B171*U$96,2)</f>
        <v>0</v>
      </c>
      <c r="V171" s="41">
        <f>ROUND($B171*V$93,2)</f>
        <v>0</v>
      </c>
      <c r="W171" s="146"/>
      <c r="X171" s="42">
        <f>ROUND($B171*X$96,2)</f>
        <v>-0.01</v>
      </c>
      <c r="Y171" s="42">
        <f>ROUND($B171*Y$96,2)</f>
        <v>0</v>
      </c>
      <c r="Z171" s="42">
        <f>ROUND($B171*Z$96,2)</f>
        <v>0</v>
      </c>
      <c r="AA171" s="42">
        <f>ROUND($B171*AA$96,2)</f>
        <v>0</v>
      </c>
      <c r="AB171" s="19">
        <f>SUM(U$96:AA$96)+(-V$96+V133)</f>
        <v>1.4498999999999998E-2</v>
      </c>
      <c r="AC171" s="146"/>
      <c r="AE171" s="146"/>
      <c r="AG171" s="146"/>
      <c r="AI171" s="146"/>
      <c r="AK171" s="146"/>
      <c r="AM171" s="146"/>
      <c r="AO171" s="146"/>
      <c r="AQ171" s="146"/>
      <c r="AS171" s="146"/>
      <c r="AU171" s="146"/>
      <c r="AW171" s="146"/>
      <c r="AY171" s="146"/>
      <c r="BA171" s="146"/>
      <c r="BC171" s="146"/>
      <c r="BE171" s="146"/>
      <c r="BG171" s="146"/>
      <c r="BI171" s="146"/>
      <c r="BK171" s="146"/>
      <c r="BM171" s="146"/>
      <c r="BO171" s="146"/>
      <c r="BQ171" s="146"/>
      <c r="BS171" s="146"/>
      <c r="BU171" s="146"/>
      <c r="BW171" s="146"/>
      <c r="BY171" s="146"/>
      <c r="CA171" s="146"/>
      <c r="CC171" s="146"/>
      <c r="CE171" s="146"/>
      <c r="CG171" s="146"/>
      <c r="CI171" s="146"/>
      <c r="CK171" s="146"/>
      <c r="CM171" s="146"/>
      <c r="CO171" s="146"/>
      <c r="CQ171" s="146"/>
      <c r="CS171" s="146"/>
      <c r="CU171" s="146"/>
      <c r="CW171" s="146"/>
      <c r="CY171" s="146"/>
      <c r="DA171" s="146"/>
      <c r="DC171" s="146"/>
      <c r="DE171" s="146"/>
      <c r="DG171" s="146"/>
      <c r="DI171" s="146"/>
      <c r="DK171" s="146"/>
      <c r="DM171" s="146"/>
      <c r="DO171" s="146"/>
      <c r="DQ171" s="146"/>
      <c r="DS171" s="146"/>
    </row>
    <row r="172" spans="2:123" x14ac:dyDescent="0.2">
      <c r="B172" s="97">
        <v>-1</v>
      </c>
      <c r="C172" s="9"/>
      <c r="F172" s="36"/>
      <c r="G172" s="42"/>
      <c r="H172" s="19"/>
      <c r="I172" s="19"/>
      <c r="J172" s="82"/>
      <c r="K172" s="82"/>
      <c r="L172" s="82"/>
      <c r="M172" s="41"/>
      <c r="N172" s="41"/>
      <c r="O172" s="41"/>
      <c r="P172" s="41"/>
      <c r="Q172" s="41"/>
      <c r="R172" s="41"/>
      <c r="S172" s="50">
        <v>0.5</v>
      </c>
      <c r="T172" s="42"/>
      <c r="U172" s="42"/>
      <c r="V172" s="41"/>
      <c r="W172" s="42"/>
      <c r="X172" s="42"/>
      <c r="Y172" s="42"/>
      <c r="Z172" s="42"/>
      <c r="AA172" s="42"/>
      <c r="AB172" s="19"/>
      <c r="AC172" s="94"/>
      <c r="AE172" s="146"/>
      <c r="AG172" s="146"/>
      <c r="AI172" s="146"/>
      <c r="AK172" s="146"/>
      <c r="AM172" s="146"/>
      <c r="AO172" s="146"/>
      <c r="AQ172" s="146"/>
      <c r="AS172" s="146"/>
      <c r="AU172" s="146"/>
      <c r="AW172" s="146"/>
      <c r="AY172" s="146"/>
      <c r="BA172" s="146"/>
      <c r="BC172" s="146"/>
      <c r="BE172" s="146"/>
      <c r="BG172" s="146"/>
      <c r="BI172" s="146"/>
      <c r="BK172" s="146"/>
      <c r="BM172" s="146"/>
      <c r="BO172" s="146"/>
      <c r="BQ172" s="146"/>
      <c r="BS172" s="146"/>
      <c r="BU172" s="146"/>
      <c r="BW172" s="146"/>
      <c r="BY172" s="146"/>
      <c r="CA172" s="146"/>
      <c r="CC172" s="146"/>
      <c r="CE172" s="146"/>
      <c r="CG172" s="146"/>
      <c r="CI172" s="146"/>
      <c r="CK172" s="146"/>
      <c r="CM172" s="146"/>
      <c r="CO172" s="146"/>
      <c r="CQ172" s="146"/>
      <c r="CS172" s="146"/>
      <c r="CU172" s="146"/>
      <c r="CW172" s="146"/>
      <c r="CY172" s="146"/>
      <c r="DA172" s="146"/>
      <c r="DC172" s="146"/>
      <c r="DE172" s="146"/>
      <c r="DG172" s="146"/>
      <c r="DI172" s="146"/>
      <c r="DK172" s="146"/>
      <c r="DM172" s="146"/>
      <c r="DO172" s="146"/>
      <c r="DQ172" s="146"/>
      <c r="DS172" s="146"/>
    </row>
    <row r="173" spans="2:123" x14ac:dyDescent="0.2">
      <c r="B173" s="103">
        <f>IF(AND('AES Indiana Bill Calc.'!$D$17="SS",'AES Indiana Bill Calc.'!$D$18="Yes 50%",'AES Indiana Bill Calc.'!$D$20="Yes 2023"),'AES Indiana Bill Calc.'!$D$19,-1)</f>
        <v>-1</v>
      </c>
      <c r="C173" s="1" t="s">
        <v>149</v>
      </c>
      <c r="D173" s="146"/>
      <c r="F173" s="36" t="s">
        <v>171</v>
      </c>
      <c r="G173" s="42">
        <f>SUM(J173:M173,O173:P173,R173:AA173)</f>
        <v>39.870000000000005</v>
      </c>
      <c r="H173" s="19" t="e">
        <f>IF(ISBLANK(B173),0,+#REF!/B173)</f>
        <v>#REF!</v>
      </c>
      <c r="I173" s="146"/>
      <c r="J173" s="82">
        <f>IF(ISBLANK(B173),0,IF(B173&gt;J$97,+J$96,+F$96))</f>
        <v>40</v>
      </c>
      <c r="K173" s="82">
        <f>IF($B173&gt;K$97,ROUND(K$97*K$96,2),ROUND($B173*K$96,2))</f>
        <v>-0.12</v>
      </c>
      <c r="L173" s="82">
        <f>IF($B173&gt;K$97,ROUND(($B173-K$97)*L$96,2),0)</f>
        <v>0</v>
      </c>
      <c r="M173" s="146"/>
      <c r="N173" s="42">
        <f>SUM(K173:L173)</f>
        <v>-0.12</v>
      </c>
      <c r="O173" s="146"/>
      <c r="P173" s="146"/>
      <c r="Q173" s="146"/>
      <c r="S173" s="42">
        <f>ROUND($B173*S$96*S172,2)</f>
        <v>0</v>
      </c>
      <c r="T173" s="42">
        <f>ROUND($B173*T$96,2)</f>
        <v>0</v>
      </c>
      <c r="U173" s="42">
        <f>ROUND($B173*U$96,2)</f>
        <v>0</v>
      </c>
      <c r="V173" s="41">
        <f>ROUND($B173*V$93,2)</f>
        <v>0</v>
      </c>
      <c r="W173" s="146"/>
      <c r="X173" s="42">
        <f>ROUND($B173*X$96,2)</f>
        <v>-0.01</v>
      </c>
      <c r="Y173" s="42">
        <f>ROUND($B173*Y$96,2)</f>
        <v>0</v>
      </c>
      <c r="Z173" s="42">
        <f>ROUND($B173*Z$96,2)</f>
        <v>0</v>
      </c>
      <c r="AA173" s="42">
        <f>ROUND($B173*AA$96,2)</f>
        <v>0</v>
      </c>
      <c r="AB173" s="19">
        <f>SUM(U$96:AA$96)+(-V$96+V135)</f>
        <v>1.4498999999999998E-2</v>
      </c>
      <c r="AC173" s="146"/>
      <c r="AE173" s="146"/>
      <c r="AG173" s="146"/>
      <c r="AI173" s="146"/>
      <c r="AK173" s="146"/>
      <c r="AM173" s="146"/>
      <c r="AO173" s="146"/>
      <c r="AQ173" s="146"/>
      <c r="AS173" s="146"/>
      <c r="AU173" s="146"/>
      <c r="AW173" s="146"/>
      <c r="AY173" s="146"/>
      <c r="BA173" s="146"/>
      <c r="BC173" s="146"/>
      <c r="BE173" s="146"/>
      <c r="BG173" s="146"/>
      <c r="BI173" s="146"/>
      <c r="BK173" s="146"/>
      <c r="BM173" s="146"/>
      <c r="BO173" s="146"/>
      <c r="BQ173" s="146"/>
      <c r="BS173" s="146"/>
      <c r="BU173" s="146"/>
      <c r="BW173" s="146"/>
      <c r="BY173" s="146"/>
      <c r="CA173" s="146"/>
      <c r="CC173" s="146"/>
      <c r="CE173" s="146"/>
      <c r="CG173" s="146"/>
      <c r="CI173" s="146"/>
      <c r="CK173" s="146"/>
      <c r="CM173" s="146"/>
      <c r="CO173" s="146"/>
      <c r="CQ173" s="146"/>
      <c r="CS173" s="146"/>
      <c r="CU173" s="146"/>
      <c r="CW173" s="146"/>
      <c r="CY173" s="146"/>
      <c r="DA173" s="146"/>
      <c r="DC173" s="146"/>
      <c r="DE173" s="146"/>
      <c r="DG173" s="146"/>
      <c r="DI173" s="146"/>
      <c r="DK173" s="146"/>
      <c r="DM173" s="146"/>
      <c r="DO173" s="146"/>
      <c r="DQ173" s="146"/>
      <c r="DS173" s="146"/>
    </row>
    <row r="174" spans="2:123" x14ac:dyDescent="0.2">
      <c r="B174" s="97">
        <v>-1</v>
      </c>
      <c r="C174" s="9"/>
      <c r="F174" s="36"/>
      <c r="G174" s="42"/>
      <c r="H174" s="19"/>
      <c r="I174" s="19"/>
      <c r="J174" s="82"/>
      <c r="K174" s="82"/>
      <c r="L174" s="82"/>
      <c r="M174" s="41"/>
      <c r="N174" s="41"/>
      <c r="O174" s="41"/>
      <c r="P174" s="41"/>
      <c r="Q174" s="41"/>
      <c r="R174" s="41"/>
      <c r="S174" s="50">
        <v>0.25</v>
      </c>
      <c r="T174" s="42"/>
      <c r="U174" s="42"/>
      <c r="V174" s="41"/>
      <c r="W174" s="42"/>
      <c r="X174" s="42"/>
      <c r="Y174" s="42"/>
      <c r="Z174" s="42"/>
      <c r="AA174" s="42"/>
      <c r="AB174" s="19"/>
      <c r="AC174" s="94"/>
      <c r="AE174" s="146"/>
      <c r="AG174" s="146"/>
      <c r="AI174" s="146"/>
      <c r="AK174" s="146"/>
      <c r="AM174" s="146"/>
      <c r="AO174" s="146"/>
      <c r="AQ174" s="146"/>
      <c r="AS174" s="146"/>
      <c r="AU174" s="146"/>
      <c r="AW174" s="146"/>
      <c r="AY174" s="146"/>
      <c r="BA174" s="146"/>
      <c r="BC174" s="146"/>
      <c r="BE174" s="146"/>
      <c r="BG174" s="146"/>
      <c r="BI174" s="146"/>
      <c r="BK174" s="146"/>
      <c r="BM174" s="146"/>
      <c r="BO174" s="146"/>
      <c r="BQ174" s="146"/>
      <c r="BS174" s="146"/>
      <c r="BU174" s="146"/>
      <c r="BW174" s="146"/>
      <c r="BY174" s="146"/>
      <c r="CA174" s="146"/>
      <c r="CC174" s="146"/>
      <c r="CE174" s="146"/>
      <c r="CG174" s="146"/>
      <c r="CI174" s="146"/>
      <c r="CK174" s="146"/>
      <c r="CM174" s="146"/>
      <c r="CO174" s="146"/>
      <c r="CQ174" s="146"/>
      <c r="CS174" s="146"/>
      <c r="CU174" s="146"/>
      <c r="CW174" s="146"/>
      <c r="CY174" s="146"/>
      <c r="DA174" s="146"/>
      <c r="DC174" s="146"/>
      <c r="DE174" s="146"/>
      <c r="DG174" s="146"/>
      <c r="DI174" s="146"/>
      <c r="DK174" s="146"/>
      <c r="DM174" s="146"/>
      <c r="DO174" s="146"/>
      <c r="DQ174" s="146"/>
      <c r="DS174" s="146"/>
    </row>
    <row r="175" spans="2:123" x14ac:dyDescent="0.2">
      <c r="B175" s="103">
        <f>IF(AND('AES Indiana Bill Calc.'!$D$17="SS",'AES Indiana Bill Calc.'!$D$18="Yes 25%",'AES Indiana Bill Calc.'!$D$20="Yes 2023"),'AES Indiana Bill Calc.'!$D$19,-1)</f>
        <v>-1</v>
      </c>
      <c r="C175" s="1" t="s">
        <v>150</v>
      </c>
      <c r="D175" s="146"/>
      <c r="F175" s="36" t="s">
        <v>171</v>
      </c>
      <c r="G175" s="42">
        <f>SUM(J175:M175,O175:P175,R175:AA175)</f>
        <v>39.870000000000005</v>
      </c>
      <c r="H175" s="19" t="e">
        <f>IF(ISBLANK(B175),0,+#REF!/B175)</f>
        <v>#REF!</v>
      </c>
      <c r="I175" s="146"/>
      <c r="J175" s="82">
        <f>IF(ISBLANK(B175),0,IF(B175&gt;J$97,+J$96,+F$96))</f>
        <v>40</v>
      </c>
      <c r="K175" s="82">
        <f>IF($B175&gt;K$97,ROUND(K$97*K$96,2),ROUND($B175*K$96,2))</f>
        <v>-0.12</v>
      </c>
      <c r="L175" s="82">
        <f>IF($B175&gt;K$97,ROUND(($B175-K$97)*L$96,2),0)</f>
        <v>0</v>
      </c>
      <c r="M175" s="146"/>
      <c r="N175" s="42">
        <f>SUM(K175:L175)</f>
        <v>-0.12</v>
      </c>
      <c r="O175" s="146"/>
      <c r="P175" s="146"/>
      <c r="Q175" s="146"/>
      <c r="S175" s="42">
        <f>ROUND($B175*S$96*S174,2)</f>
        <v>0</v>
      </c>
      <c r="T175" s="42">
        <f>ROUND($B175*T$96,2)</f>
        <v>0</v>
      </c>
      <c r="U175" s="42">
        <f>ROUND($B175*U$96,2)</f>
        <v>0</v>
      </c>
      <c r="V175" s="41">
        <f>ROUND($B175*V$93,2)</f>
        <v>0</v>
      </c>
      <c r="W175" s="146"/>
      <c r="X175" s="42">
        <f>ROUND($B175*X$96,2)</f>
        <v>-0.01</v>
      </c>
      <c r="Y175" s="42">
        <f>ROUND($B175*Y$96,2)</f>
        <v>0</v>
      </c>
      <c r="Z175" s="42">
        <f>ROUND($B175*Z$96,2)</f>
        <v>0</v>
      </c>
      <c r="AA175" s="42">
        <f>ROUND($B175*AA$96,2)</f>
        <v>0</v>
      </c>
      <c r="AB175" s="19">
        <f>SUM(U$96:AA$96)+(-V$96+V137)</f>
        <v>1.4498999999999998E-2</v>
      </c>
      <c r="AC175" s="146"/>
      <c r="AE175" s="146"/>
      <c r="AG175" s="146"/>
      <c r="AI175" s="146"/>
      <c r="AK175" s="146"/>
      <c r="AM175" s="146"/>
      <c r="AO175" s="146"/>
      <c r="AQ175" s="146"/>
      <c r="AS175" s="146"/>
      <c r="AU175" s="146"/>
      <c r="AW175" s="146"/>
      <c r="AY175" s="146"/>
      <c r="BA175" s="146"/>
      <c r="BC175" s="146"/>
      <c r="BE175" s="146"/>
      <c r="BG175" s="146"/>
      <c r="BI175" s="146"/>
      <c r="BK175" s="146"/>
      <c r="BM175" s="146"/>
      <c r="BO175" s="146"/>
      <c r="BQ175" s="146"/>
      <c r="BS175" s="146"/>
      <c r="BU175" s="146"/>
      <c r="BW175" s="146"/>
      <c r="BY175" s="146"/>
      <c r="CA175" s="146"/>
      <c r="CC175" s="146"/>
      <c r="CE175" s="146"/>
      <c r="CG175" s="146"/>
      <c r="CI175" s="146"/>
      <c r="CK175" s="146"/>
      <c r="CM175" s="146"/>
      <c r="CO175" s="146"/>
      <c r="CQ175" s="146"/>
      <c r="CS175" s="146"/>
      <c r="CU175" s="146"/>
      <c r="CW175" s="146"/>
      <c r="CY175" s="146"/>
      <c r="DA175" s="146"/>
      <c r="DC175" s="146"/>
      <c r="DE175" s="146"/>
      <c r="DG175" s="146"/>
      <c r="DI175" s="146"/>
      <c r="DK175" s="146"/>
      <c r="DM175" s="146"/>
      <c r="DO175" s="146"/>
      <c r="DQ175" s="146"/>
      <c r="DS175" s="146"/>
    </row>
    <row r="176" spans="2:123" x14ac:dyDescent="0.2">
      <c r="B176" s="97">
        <v>-1</v>
      </c>
      <c r="C176" s="9"/>
      <c r="F176" s="36"/>
      <c r="G176" s="42"/>
      <c r="H176" s="19"/>
      <c r="I176" s="19"/>
      <c r="J176" s="82"/>
      <c r="K176" s="82"/>
      <c r="L176" s="82"/>
      <c r="M176" s="41"/>
      <c r="N176" s="41"/>
      <c r="O176" s="41"/>
      <c r="P176" s="41"/>
      <c r="Q176" s="41"/>
      <c r="R176" s="41"/>
      <c r="S176" s="50">
        <v>0.1</v>
      </c>
      <c r="T176" s="42"/>
      <c r="U176" s="42"/>
      <c r="V176" s="41"/>
      <c r="W176" s="42"/>
      <c r="X176" s="42"/>
      <c r="Y176" s="42"/>
      <c r="Z176" s="42"/>
      <c r="AA176" s="42"/>
      <c r="AB176" s="19"/>
      <c r="AC176" s="94"/>
      <c r="AE176" s="146"/>
      <c r="AG176" s="146"/>
      <c r="AI176" s="146"/>
      <c r="AK176" s="146"/>
      <c r="AM176" s="146"/>
      <c r="AO176" s="146"/>
      <c r="AQ176" s="146"/>
      <c r="AS176" s="146"/>
      <c r="AU176" s="146"/>
      <c r="AW176" s="146"/>
      <c r="AY176" s="146"/>
      <c r="BA176" s="146"/>
      <c r="BC176" s="146"/>
      <c r="BE176" s="146"/>
      <c r="BG176" s="146"/>
      <c r="BI176" s="146"/>
      <c r="BK176" s="146"/>
      <c r="BM176" s="146"/>
      <c r="BO176" s="146"/>
      <c r="BQ176" s="146"/>
      <c r="BS176" s="146"/>
      <c r="BU176" s="146"/>
      <c r="BW176" s="146"/>
      <c r="BY176" s="146"/>
      <c r="CA176" s="146"/>
      <c r="CC176" s="146"/>
      <c r="CE176" s="146"/>
      <c r="CG176" s="146"/>
      <c r="CI176" s="146"/>
      <c r="CK176" s="146"/>
      <c r="CM176" s="146"/>
      <c r="CO176" s="146"/>
      <c r="CQ176" s="146"/>
      <c r="CS176" s="146"/>
      <c r="CU176" s="146"/>
      <c r="CW176" s="146"/>
      <c r="CY176" s="146"/>
      <c r="DA176" s="146"/>
      <c r="DC176" s="146"/>
      <c r="DE176" s="146"/>
      <c r="DG176" s="146"/>
      <c r="DI176" s="146"/>
      <c r="DK176" s="146"/>
      <c r="DM176" s="146"/>
      <c r="DO176" s="146"/>
      <c r="DQ176" s="146"/>
      <c r="DS176" s="146"/>
    </row>
    <row r="177" spans="1:123" x14ac:dyDescent="0.2">
      <c r="B177" s="103">
        <f>IF(AND('AES Indiana Bill Calc.'!$D$17="SS",'AES Indiana Bill Calc.'!$D$18="Yes 10%",'AES Indiana Bill Calc.'!$D$20="Yes 2023"),'AES Indiana Bill Calc.'!$D$19,-1)</f>
        <v>-1</v>
      </c>
      <c r="C177" s="1" t="s">
        <v>164</v>
      </c>
      <c r="D177" s="146"/>
      <c r="F177" s="36" t="s">
        <v>171</v>
      </c>
      <c r="G177" s="42">
        <f>SUM(J177:M177,O177:P177,R177:AA177)</f>
        <v>39.870000000000005</v>
      </c>
      <c r="H177" s="19" t="e">
        <f>IF(ISBLANK(B177),0,+#REF!/B177)</f>
        <v>#REF!</v>
      </c>
      <c r="I177" s="146"/>
      <c r="J177" s="82">
        <f>IF(ISBLANK(B177),0,IF(B177&gt;J$97,+J$96,+F$96))</f>
        <v>40</v>
      </c>
      <c r="K177" s="82">
        <f>IF($B177&gt;K$97,ROUND(K$97*K$96,2),ROUND($B177*K$96,2))</f>
        <v>-0.12</v>
      </c>
      <c r="L177" s="82">
        <f>IF($B177&gt;K$97,ROUND(($B177-K$97)*L$96,2),0)</f>
        <v>0</v>
      </c>
      <c r="M177" s="146"/>
      <c r="N177" s="42">
        <f>SUM(K177:L177)</f>
        <v>-0.12</v>
      </c>
      <c r="O177" s="146"/>
      <c r="P177" s="146"/>
      <c r="Q177" s="146"/>
      <c r="S177" s="42">
        <f>ROUND($B177*S$96*S176,2)</f>
        <v>0</v>
      </c>
      <c r="T177" s="42">
        <f>ROUND($B177*T$96,2)</f>
        <v>0</v>
      </c>
      <c r="U177" s="42">
        <f>ROUND($B177*U$96,2)</f>
        <v>0</v>
      </c>
      <c r="V177" s="41">
        <f>ROUND($B177*V$93,2)</f>
        <v>0</v>
      </c>
      <c r="W177" s="146"/>
      <c r="X177" s="42">
        <f>ROUND($B177*X$96,2)</f>
        <v>-0.01</v>
      </c>
      <c r="Y177" s="42">
        <f>ROUND($B177*Y$96,2)</f>
        <v>0</v>
      </c>
      <c r="Z177" s="42">
        <f>ROUND($B177*Z$96,2)</f>
        <v>0</v>
      </c>
      <c r="AA177" s="42">
        <f>ROUND($B177*AA$96,2)</f>
        <v>0</v>
      </c>
      <c r="AB177" s="19">
        <f>SUM(U$96:AA$96)+(-V$96+V139)</f>
        <v>1.4498999999999998E-2</v>
      </c>
      <c r="AC177" s="146"/>
      <c r="AE177" s="146"/>
      <c r="AG177" s="146"/>
      <c r="AI177" s="146"/>
      <c r="AK177" s="146"/>
      <c r="AM177" s="146"/>
      <c r="AO177" s="146"/>
      <c r="AQ177" s="146"/>
      <c r="AS177" s="146"/>
      <c r="AU177" s="146"/>
      <c r="AW177" s="146"/>
      <c r="AY177" s="146"/>
      <c r="BA177" s="146"/>
      <c r="BC177" s="146"/>
      <c r="BE177" s="146"/>
      <c r="BG177" s="146"/>
      <c r="BI177" s="146"/>
      <c r="BK177" s="146"/>
      <c r="BM177" s="146"/>
      <c r="BO177" s="146"/>
      <c r="BQ177" s="146"/>
      <c r="BS177" s="146"/>
      <c r="BU177" s="146"/>
      <c r="BW177" s="146"/>
      <c r="BY177" s="146"/>
      <c r="CA177" s="146"/>
      <c r="CC177" s="146"/>
      <c r="CE177" s="146"/>
      <c r="CG177" s="146"/>
      <c r="CI177" s="146"/>
      <c r="CK177" s="146"/>
      <c r="CM177" s="146"/>
      <c r="CO177" s="146"/>
      <c r="CQ177" s="146"/>
      <c r="CS177" s="146"/>
      <c r="CU177" s="146"/>
      <c r="CW177" s="146"/>
      <c r="CY177" s="146"/>
      <c r="DA177" s="146"/>
      <c r="DC177" s="146"/>
      <c r="DE177" s="146"/>
      <c r="DG177" s="146"/>
      <c r="DI177" s="146"/>
      <c r="DK177" s="146"/>
      <c r="DM177" s="146"/>
      <c r="DO177" s="146"/>
      <c r="DQ177" s="146"/>
      <c r="DS177" s="146"/>
    </row>
    <row r="178" spans="1:123" x14ac:dyDescent="0.2">
      <c r="B178" s="97">
        <v>-1</v>
      </c>
      <c r="F178" s="36"/>
      <c r="G178" s="42"/>
      <c r="H178" s="19"/>
      <c r="I178" s="19"/>
      <c r="J178" s="82"/>
      <c r="K178" s="82"/>
      <c r="L178" s="82"/>
      <c r="M178" s="41"/>
      <c r="N178" s="41"/>
      <c r="O178" s="41"/>
      <c r="P178" s="41"/>
      <c r="Q178" s="41"/>
      <c r="R178" s="41"/>
      <c r="S178" s="50">
        <v>0</v>
      </c>
      <c r="T178" s="42"/>
      <c r="U178" s="42"/>
      <c r="V178" s="41"/>
      <c r="W178" s="42"/>
      <c r="X178" s="42"/>
      <c r="Y178" s="42"/>
      <c r="Z178" s="42"/>
      <c r="AA178" s="42"/>
      <c r="AB178" s="19"/>
      <c r="AC178" s="94"/>
      <c r="AE178" s="146"/>
      <c r="AG178" s="146"/>
      <c r="AI178" s="146"/>
      <c r="AK178" s="146"/>
      <c r="AM178" s="146"/>
      <c r="AO178" s="146"/>
      <c r="AQ178" s="146"/>
      <c r="AS178" s="146"/>
      <c r="AU178" s="146"/>
      <c r="AW178" s="146"/>
      <c r="AY178" s="146"/>
      <c r="BA178" s="146"/>
      <c r="BC178" s="146"/>
      <c r="BE178" s="146"/>
      <c r="BG178" s="146"/>
      <c r="BI178" s="146"/>
      <c r="BK178" s="146"/>
      <c r="BM178" s="146"/>
      <c r="BO178" s="146"/>
      <c r="BQ178" s="146"/>
      <c r="BS178" s="146"/>
      <c r="BU178" s="146"/>
      <c r="BW178" s="146"/>
      <c r="BY178" s="146"/>
      <c r="CA178" s="146"/>
      <c r="CC178" s="146"/>
      <c r="CE178" s="146"/>
      <c r="CG178" s="146"/>
      <c r="CI178" s="146"/>
      <c r="CK178" s="146"/>
      <c r="CM178" s="146"/>
      <c r="CO178" s="146"/>
      <c r="CQ178" s="146"/>
      <c r="CS178" s="146"/>
      <c r="CU178" s="146"/>
      <c r="CW178" s="146"/>
      <c r="CY178" s="146"/>
      <c r="DA178" s="146"/>
      <c r="DC178" s="146"/>
      <c r="DE178" s="146"/>
      <c r="DG178" s="146"/>
      <c r="DI178" s="146"/>
      <c r="DK178" s="146"/>
      <c r="DM178" s="146"/>
      <c r="DO178" s="146"/>
      <c r="DQ178" s="146"/>
      <c r="DS178" s="146"/>
    </row>
    <row r="179" spans="1:123" ht="13.5" thickBot="1" x14ac:dyDescent="0.25">
      <c r="A179" s="21"/>
      <c r="B179" s="106">
        <f>IF(AND('AES Indiana Bill Calc.'!$D$17="SS",'AES Indiana Bill Calc.'!$D$18="No",'AES Indiana Bill Calc.'!$D$20="Yes 2023"),'AES Indiana Bill Calc.'!$D$19,-1)</f>
        <v>-1</v>
      </c>
      <c r="C179" s="148" t="s">
        <v>147</v>
      </c>
      <c r="D179" s="125"/>
      <c r="E179" s="21"/>
      <c r="F179" s="79" t="s">
        <v>171</v>
      </c>
      <c r="G179" s="23">
        <f>SUM(J179:M179,O179:P179,R179:AA179)</f>
        <v>39.870000000000005</v>
      </c>
      <c r="H179" s="25" t="e">
        <f>IF(ISBLANK(B179),0,+#REF!/B179)</f>
        <v>#REF!</v>
      </c>
      <c r="I179" s="125"/>
      <c r="J179" s="22">
        <f>IF(ISBLANK(B179),0,IF(B179&gt;J$97,+J$96,+F$96))</f>
        <v>40</v>
      </c>
      <c r="K179" s="22">
        <f>IF($B179&gt;K$97,ROUND(K$97*K$96,2),ROUND($B179*K$96,2))</f>
        <v>-0.12</v>
      </c>
      <c r="L179" s="22">
        <f>IF($B179&gt;K$97,ROUND(($B179-K$97)*L$96,2),0)</f>
        <v>0</v>
      </c>
      <c r="M179" s="125"/>
      <c r="N179" s="23">
        <f>SUM(K179:L179)</f>
        <v>-0.12</v>
      </c>
      <c r="O179" s="125"/>
      <c r="P179" s="125"/>
      <c r="Q179" s="125"/>
      <c r="R179" s="21"/>
      <c r="S179" s="23">
        <f>ROUND($B179*S$96*S178,2)</f>
        <v>0</v>
      </c>
      <c r="T179" s="23">
        <f>ROUND($B179*T$96,2)</f>
        <v>0</v>
      </c>
      <c r="U179" s="23">
        <f>ROUND($B179*U$96,2)</f>
        <v>0</v>
      </c>
      <c r="V179" s="24">
        <f>ROUND($B179*V$93,2)</f>
        <v>0</v>
      </c>
      <c r="W179" s="125"/>
      <c r="X179" s="23">
        <f>ROUND($B179*X$96,2)</f>
        <v>-0.01</v>
      </c>
      <c r="Y179" s="23">
        <f>ROUND($B179*Y$96,2)</f>
        <v>0</v>
      </c>
      <c r="Z179" s="23">
        <f>ROUND($B179*Z$96,2)</f>
        <v>0</v>
      </c>
      <c r="AA179" s="23">
        <f>ROUND($B179*AA$96,2)</f>
        <v>0</v>
      </c>
      <c r="AB179" s="25">
        <f>SUM(U$96:AA$96)+(-V$96+V141)</f>
        <v>1.4498999999999998E-2</v>
      </c>
      <c r="AC179" s="125"/>
      <c r="AE179" s="146"/>
      <c r="AG179" s="146"/>
      <c r="AI179" s="146"/>
      <c r="AK179" s="146"/>
      <c r="AM179" s="146"/>
      <c r="AO179" s="146"/>
      <c r="AQ179" s="146"/>
      <c r="AS179" s="146"/>
      <c r="AU179" s="146"/>
      <c r="AW179" s="146"/>
      <c r="AY179" s="146"/>
      <c r="BA179" s="146"/>
      <c r="BC179" s="146"/>
      <c r="BE179" s="146"/>
      <c r="BG179" s="146"/>
      <c r="BI179" s="146"/>
      <c r="BK179" s="146"/>
      <c r="BM179" s="146"/>
      <c r="BO179" s="146"/>
      <c r="BQ179" s="146"/>
      <c r="BS179" s="146"/>
      <c r="BU179" s="146"/>
      <c r="BW179" s="146"/>
      <c r="BY179" s="146"/>
      <c r="CA179" s="146"/>
      <c r="CC179" s="146"/>
      <c r="CE179" s="146"/>
      <c r="CG179" s="146"/>
      <c r="CI179" s="146"/>
      <c r="CK179" s="146"/>
      <c r="CM179" s="146"/>
      <c r="CO179" s="146"/>
      <c r="CQ179" s="146"/>
      <c r="CS179" s="146"/>
      <c r="CU179" s="146"/>
      <c r="CW179" s="146"/>
      <c r="CY179" s="146"/>
      <c r="DA179" s="146"/>
      <c r="DC179" s="146"/>
      <c r="DE179" s="146"/>
      <c r="DG179" s="146"/>
      <c r="DI179" s="146"/>
      <c r="DK179" s="146"/>
      <c r="DM179" s="146"/>
      <c r="DO179" s="146"/>
      <c r="DQ179" s="146"/>
      <c r="DS179" s="146"/>
    </row>
    <row r="180" spans="1:123" x14ac:dyDescent="0.2">
      <c r="B180" s="97">
        <v>-1</v>
      </c>
      <c r="C180" s="147"/>
      <c r="D180" s="146"/>
      <c r="F180" s="36"/>
      <c r="G180" s="42"/>
      <c r="H180" s="19"/>
      <c r="I180" s="146"/>
      <c r="J180" s="82"/>
      <c r="K180" s="82"/>
      <c r="L180" s="82"/>
      <c r="M180" s="146"/>
      <c r="N180" s="42"/>
      <c r="O180" s="146"/>
      <c r="P180" s="146"/>
      <c r="Q180" s="146"/>
      <c r="S180" s="50">
        <v>1</v>
      </c>
      <c r="T180" s="42"/>
      <c r="U180" s="42"/>
      <c r="V180" s="41"/>
      <c r="W180" s="146"/>
      <c r="X180" s="42"/>
      <c r="Y180" s="42"/>
      <c r="Z180" s="42"/>
      <c r="AA180" s="42"/>
      <c r="AB180" s="19"/>
      <c r="AC180" s="146"/>
      <c r="AE180" s="146"/>
      <c r="AG180" s="146"/>
      <c r="AI180" s="146"/>
      <c r="AK180" s="146"/>
      <c r="AM180" s="146"/>
      <c r="AO180" s="146"/>
      <c r="AQ180" s="146"/>
      <c r="AS180" s="146"/>
      <c r="AU180" s="146"/>
      <c r="AW180" s="146"/>
      <c r="AY180" s="146"/>
      <c r="BA180" s="146"/>
      <c r="BC180" s="146"/>
      <c r="BE180" s="146"/>
      <c r="BG180" s="146"/>
      <c r="BI180" s="146"/>
      <c r="BK180" s="146"/>
      <c r="BM180" s="146"/>
      <c r="BO180" s="146"/>
      <c r="BQ180" s="146"/>
      <c r="BS180" s="146"/>
      <c r="BU180" s="146"/>
      <c r="BW180" s="146"/>
      <c r="BY180" s="146"/>
      <c r="CA180" s="146"/>
      <c r="CC180" s="146"/>
      <c r="CE180" s="146"/>
      <c r="CG180" s="146"/>
      <c r="CI180" s="146"/>
      <c r="CK180" s="146"/>
      <c r="CM180" s="146"/>
      <c r="CO180" s="146"/>
      <c r="CQ180" s="146"/>
      <c r="CS180" s="146"/>
      <c r="CU180" s="146"/>
      <c r="CW180" s="146"/>
      <c r="CY180" s="146"/>
      <c r="DA180" s="146"/>
      <c r="DC180" s="146"/>
      <c r="DE180" s="146"/>
      <c r="DG180" s="146"/>
      <c r="DI180" s="146"/>
      <c r="DK180" s="146"/>
      <c r="DM180" s="146"/>
      <c r="DO180" s="146"/>
      <c r="DQ180" s="146"/>
      <c r="DS180" s="146"/>
    </row>
    <row r="181" spans="1:123" x14ac:dyDescent="0.2">
      <c r="B181" s="97">
        <f>IF(AND('AES Indiana Bill Calc.'!$D$17="SS",'AES Indiana Bill Calc.'!$D$18="Yes 100%",'AES Indiana Bill Calc.'!$D$20="Yes 2024"),'AES Indiana Bill Calc.'!$D$19,-1)</f>
        <v>-1</v>
      </c>
      <c r="C181" s="147" t="s">
        <v>148</v>
      </c>
      <c r="D181" s="146"/>
      <c r="F181" s="36" t="s">
        <v>304</v>
      </c>
      <c r="G181" s="42">
        <f>SUM(J181:M181,O181:P181,R181:AA181)</f>
        <v>39.870000000000005</v>
      </c>
      <c r="H181" s="19" t="e">
        <f>IF(ISBLANK(B181),0,+#REF!/B181)</f>
        <v>#REF!</v>
      </c>
      <c r="I181" s="146"/>
      <c r="J181" s="82">
        <f>IF(ISBLANK(B181),0,IF(B181&gt;J$97,+J$96,+F$96))</f>
        <v>40</v>
      </c>
      <c r="K181" s="82">
        <f>IF($B181&gt;K$97,ROUND(K$97*K$96,2),ROUND($B181*K$96,2))</f>
        <v>-0.12</v>
      </c>
      <c r="L181" s="82">
        <f>IF($B181&gt;K$97,ROUND(($B181-K$97)*L$96,2),0)</f>
        <v>0</v>
      </c>
      <c r="M181" s="146"/>
      <c r="N181" s="42">
        <f>SUM(K181:L181)</f>
        <v>-0.12</v>
      </c>
      <c r="O181" s="146"/>
      <c r="P181" s="146"/>
      <c r="Q181" s="146"/>
      <c r="S181" s="42">
        <f>ROUND($B181*S$96*S180,2)</f>
        <v>0</v>
      </c>
      <c r="T181" s="42">
        <f>ROUND($B181*T$96,2)</f>
        <v>0</v>
      </c>
      <c r="U181" s="42">
        <f>ROUND($B181*U$96,2)</f>
        <v>0</v>
      </c>
      <c r="V181" s="41">
        <f>ROUND($B181*V$94,2)</f>
        <v>0</v>
      </c>
      <c r="W181" s="146"/>
      <c r="X181" s="42">
        <f>ROUND($B181*X$96,2)</f>
        <v>-0.01</v>
      </c>
      <c r="Y181" s="42">
        <f>ROUND($B181*Y$96,2)</f>
        <v>0</v>
      </c>
      <c r="Z181" s="42">
        <f>ROUND($B181*Z$96,2)</f>
        <v>0</v>
      </c>
      <c r="AA181" s="42">
        <f>ROUND($B181*AA$96,2)</f>
        <v>0</v>
      </c>
      <c r="AB181" s="19">
        <f>SUM(U$96:AA$96)+(-V$96+V143)</f>
        <v>1.4498999999999998E-2</v>
      </c>
      <c r="AC181" s="146"/>
      <c r="AE181" s="146"/>
      <c r="AG181" s="146"/>
      <c r="AI181" s="146"/>
      <c r="AK181" s="146"/>
      <c r="AM181" s="146"/>
      <c r="AO181" s="146"/>
      <c r="AQ181" s="146"/>
      <c r="AS181" s="146"/>
      <c r="AU181" s="146"/>
      <c r="AW181" s="146"/>
      <c r="AY181" s="146"/>
      <c r="BA181" s="146"/>
      <c r="BC181" s="146"/>
      <c r="BE181" s="146"/>
      <c r="BG181" s="146"/>
      <c r="BI181" s="146"/>
      <c r="BK181" s="146"/>
      <c r="BM181" s="146"/>
      <c r="BO181" s="146"/>
      <c r="BQ181" s="146"/>
      <c r="BS181" s="146"/>
      <c r="BU181" s="146"/>
      <c r="BW181" s="146"/>
      <c r="BY181" s="146"/>
      <c r="CA181" s="146"/>
      <c r="CC181" s="146"/>
      <c r="CE181" s="146"/>
      <c r="CG181" s="146"/>
      <c r="CI181" s="146"/>
      <c r="CK181" s="146"/>
      <c r="CM181" s="146"/>
      <c r="CO181" s="146"/>
      <c r="CQ181" s="146"/>
      <c r="CS181" s="146"/>
      <c r="CU181" s="146"/>
      <c r="CW181" s="146"/>
      <c r="CY181" s="146"/>
      <c r="DA181" s="146"/>
      <c r="DC181" s="146"/>
      <c r="DE181" s="146"/>
      <c r="DG181" s="146"/>
      <c r="DI181" s="146"/>
      <c r="DK181" s="146"/>
      <c r="DM181" s="146"/>
      <c r="DO181" s="146"/>
      <c r="DQ181" s="146"/>
      <c r="DS181" s="146"/>
    </row>
    <row r="182" spans="1:123" x14ac:dyDescent="0.2">
      <c r="B182" s="97">
        <v>-1</v>
      </c>
      <c r="C182" s="9"/>
      <c r="F182" s="36"/>
      <c r="G182" s="42"/>
      <c r="H182" s="19"/>
      <c r="I182" s="19"/>
      <c r="J182" s="82"/>
      <c r="K182" s="82"/>
      <c r="L182" s="82"/>
      <c r="M182" s="41"/>
      <c r="N182" s="41"/>
      <c r="O182" s="41"/>
      <c r="P182" s="41"/>
      <c r="Q182" s="41"/>
      <c r="R182" s="41"/>
      <c r="S182" s="50">
        <v>0.5</v>
      </c>
      <c r="T182" s="42"/>
      <c r="U182" s="42"/>
      <c r="V182" s="41"/>
      <c r="W182" s="42"/>
      <c r="X182" s="42"/>
      <c r="Y182" s="42"/>
      <c r="Z182" s="42"/>
      <c r="AA182" s="42"/>
      <c r="AB182" s="19"/>
      <c r="AC182" s="94"/>
      <c r="AE182" s="146"/>
      <c r="AG182" s="146"/>
      <c r="AI182" s="146"/>
      <c r="AK182" s="146"/>
      <c r="AM182" s="146"/>
      <c r="AO182" s="146"/>
      <c r="AQ182" s="146"/>
      <c r="AS182" s="146"/>
      <c r="AU182" s="146"/>
      <c r="AW182" s="146"/>
      <c r="AY182" s="146"/>
      <c r="BA182" s="146"/>
      <c r="BC182" s="146"/>
      <c r="BE182" s="146"/>
      <c r="BG182" s="146"/>
      <c r="BI182" s="146"/>
      <c r="BK182" s="146"/>
      <c r="BM182" s="146"/>
      <c r="BO182" s="146"/>
      <c r="BQ182" s="146"/>
      <c r="BS182" s="146"/>
      <c r="BU182" s="146"/>
      <c r="BW182" s="146"/>
      <c r="BY182" s="146"/>
      <c r="CA182" s="146"/>
      <c r="CC182" s="146"/>
      <c r="CE182" s="146"/>
      <c r="CG182" s="146"/>
      <c r="CI182" s="146"/>
      <c r="CK182" s="146"/>
      <c r="CM182" s="146"/>
      <c r="CO182" s="146"/>
      <c r="CQ182" s="146"/>
      <c r="CS182" s="146"/>
      <c r="CU182" s="146"/>
      <c r="CW182" s="146"/>
      <c r="CY182" s="146"/>
      <c r="DA182" s="146"/>
      <c r="DC182" s="146"/>
      <c r="DE182" s="146"/>
      <c r="DG182" s="146"/>
      <c r="DI182" s="146"/>
      <c r="DK182" s="146"/>
      <c r="DM182" s="146"/>
      <c r="DO182" s="146"/>
      <c r="DQ182" s="146"/>
      <c r="DS182" s="146"/>
    </row>
    <row r="183" spans="1:123" x14ac:dyDescent="0.2">
      <c r="B183" s="103">
        <f>IF(AND('AES Indiana Bill Calc.'!$D$17="SS",'AES Indiana Bill Calc.'!$D$18="Yes 50%",'AES Indiana Bill Calc.'!$D$20="Yes 2024"),'AES Indiana Bill Calc.'!$D$19,-1)</f>
        <v>-1</v>
      </c>
      <c r="C183" s="1" t="s">
        <v>149</v>
      </c>
      <c r="D183" s="146"/>
      <c r="F183" s="36" t="s">
        <v>304</v>
      </c>
      <c r="G183" s="42">
        <f>SUM(J183:M183,O183:P183,R183:AA183)</f>
        <v>39.870000000000005</v>
      </c>
      <c r="H183" s="19" t="e">
        <f>IF(ISBLANK(B183),0,+#REF!/B183)</f>
        <v>#REF!</v>
      </c>
      <c r="I183" s="146"/>
      <c r="J183" s="82">
        <f>IF(ISBLANK(B183),0,IF(B183&gt;J$97,+J$96,+F$96))</f>
        <v>40</v>
      </c>
      <c r="K183" s="82">
        <f>IF($B183&gt;K$97,ROUND(K$97*K$96,2),ROUND($B183*K$96,2))</f>
        <v>-0.12</v>
      </c>
      <c r="L183" s="82">
        <f>IF($B183&gt;K$97,ROUND(($B183-K$97)*L$96,2),0)</f>
        <v>0</v>
      </c>
      <c r="M183" s="146"/>
      <c r="N183" s="42">
        <f>SUM(K183:L183)</f>
        <v>-0.12</v>
      </c>
      <c r="O183" s="146"/>
      <c r="P183" s="146"/>
      <c r="Q183" s="146"/>
      <c r="S183" s="42">
        <f>ROUND($B183*S$96*S182,2)</f>
        <v>0</v>
      </c>
      <c r="T183" s="42">
        <f>ROUND($B183*T$96,2)</f>
        <v>0</v>
      </c>
      <c r="U183" s="42">
        <f>ROUND($B183*U$96,2)</f>
        <v>0</v>
      </c>
      <c r="V183" s="41">
        <f>ROUND($B183*V$94,2)</f>
        <v>0</v>
      </c>
      <c r="W183" s="146"/>
      <c r="X183" s="42">
        <f>ROUND($B183*X$96,2)</f>
        <v>-0.01</v>
      </c>
      <c r="Y183" s="42">
        <f>ROUND($B183*Y$96,2)</f>
        <v>0</v>
      </c>
      <c r="Z183" s="42">
        <f>ROUND($B183*Z$96,2)</f>
        <v>0</v>
      </c>
      <c r="AA183" s="42">
        <f>ROUND($B183*AA$96,2)</f>
        <v>0</v>
      </c>
      <c r="AB183" s="19">
        <f>SUM(U$96:AA$96)+(-V$96+V145)</f>
        <v>1.4498999999999998E-2</v>
      </c>
      <c r="AC183" s="146"/>
      <c r="AE183" s="146"/>
      <c r="AG183" s="146"/>
      <c r="AI183" s="146"/>
      <c r="AK183" s="146"/>
      <c r="AM183" s="146"/>
      <c r="AO183" s="146"/>
      <c r="AQ183" s="146"/>
      <c r="AS183" s="146"/>
      <c r="AU183" s="146"/>
      <c r="AW183" s="146"/>
      <c r="AY183" s="146"/>
      <c r="BA183" s="146"/>
      <c r="BC183" s="146"/>
      <c r="BE183" s="146"/>
      <c r="BG183" s="146"/>
      <c r="BI183" s="146"/>
      <c r="BK183" s="146"/>
      <c r="BM183" s="146"/>
      <c r="BO183" s="146"/>
      <c r="BQ183" s="146"/>
      <c r="BS183" s="146"/>
      <c r="BU183" s="146"/>
      <c r="BW183" s="146"/>
      <c r="BY183" s="146"/>
      <c r="CA183" s="146"/>
      <c r="CC183" s="146"/>
      <c r="CE183" s="146"/>
      <c r="CG183" s="146"/>
      <c r="CI183" s="146"/>
      <c r="CK183" s="146"/>
      <c r="CM183" s="146"/>
      <c r="CO183" s="146"/>
      <c r="CQ183" s="146"/>
      <c r="CS183" s="146"/>
      <c r="CU183" s="146"/>
      <c r="CW183" s="146"/>
      <c r="CY183" s="146"/>
      <c r="DA183" s="146"/>
      <c r="DC183" s="146"/>
      <c r="DE183" s="146"/>
      <c r="DG183" s="146"/>
      <c r="DI183" s="146"/>
      <c r="DK183" s="146"/>
      <c r="DM183" s="146"/>
      <c r="DO183" s="146"/>
      <c r="DQ183" s="146"/>
      <c r="DS183" s="146"/>
    </row>
    <row r="184" spans="1:123" x14ac:dyDescent="0.2">
      <c r="B184" s="97">
        <v>-1</v>
      </c>
      <c r="C184" s="9"/>
      <c r="F184" s="36"/>
      <c r="G184" s="42"/>
      <c r="H184" s="19"/>
      <c r="I184" s="19"/>
      <c r="J184" s="82"/>
      <c r="K184" s="82"/>
      <c r="L184" s="82"/>
      <c r="M184" s="41"/>
      <c r="N184" s="41"/>
      <c r="O184" s="41"/>
      <c r="P184" s="41"/>
      <c r="Q184" s="41"/>
      <c r="R184" s="41"/>
      <c r="S184" s="50">
        <v>0.25</v>
      </c>
      <c r="T184" s="42"/>
      <c r="U184" s="42"/>
      <c r="V184" s="41"/>
      <c r="W184" s="42"/>
      <c r="X184" s="42"/>
      <c r="Y184" s="42"/>
      <c r="Z184" s="42"/>
      <c r="AA184" s="42"/>
      <c r="AB184" s="19"/>
      <c r="AC184" s="94"/>
      <c r="AE184" s="146"/>
      <c r="AG184" s="146"/>
      <c r="AI184" s="146"/>
      <c r="AK184" s="146"/>
      <c r="AM184" s="146"/>
      <c r="AO184" s="146"/>
      <c r="AQ184" s="146"/>
      <c r="AS184" s="146"/>
      <c r="AU184" s="146"/>
      <c r="AW184" s="146"/>
      <c r="AY184" s="146"/>
      <c r="BA184" s="146"/>
      <c r="BC184" s="146"/>
      <c r="BE184" s="146"/>
      <c r="BG184" s="146"/>
      <c r="BI184" s="146"/>
      <c r="BK184" s="146"/>
      <c r="BM184" s="146"/>
      <c r="BO184" s="146"/>
      <c r="BQ184" s="146"/>
      <c r="BS184" s="146"/>
      <c r="BU184" s="146"/>
      <c r="BW184" s="146"/>
      <c r="BY184" s="146"/>
      <c r="CA184" s="146"/>
      <c r="CC184" s="146"/>
      <c r="CE184" s="146"/>
      <c r="CG184" s="146"/>
      <c r="CI184" s="146"/>
      <c r="CK184" s="146"/>
      <c r="CM184" s="146"/>
      <c r="CO184" s="146"/>
      <c r="CQ184" s="146"/>
      <c r="CS184" s="146"/>
      <c r="CU184" s="146"/>
      <c r="CW184" s="146"/>
      <c r="CY184" s="146"/>
      <c r="DA184" s="146"/>
      <c r="DC184" s="146"/>
      <c r="DE184" s="146"/>
      <c r="DG184" s="146"/>
      <c r="DI184" s="146"/>
      <c r="DK184" s="146"/>
      <c r="DM184" s="146"/>
      <c r="DO184" s="146"/>
      <c r="DQ184" s="146"/>
      <c r="DS184" s="146"/>
    </row>
    <row r="185" spans="1:123" x14ac:dyDescent="0.2">
      <c r="B185" s="103">
        <f>IF(AND('AES Indiana Bill Calc.'!$D$17="SS",'AES Indiana Bill Calc.'!$D$18="Yes 25%",'AES Indiana Bill Calc.'!$D$20="Yes 2024"),'AES Indiana Bill Calc.'!$D$19,-1)</f>
        <v>-1</v>
      </c>
      <c r="C185" s="1" t="s">
        <v>150</v>
      </c>
      <c r="D185" s="146"/>
      <c r="F185" s="36" t="s">
        <v>304</v>
      </c>
      <c r="G185" s="42">
        <f>SUM(J185:M185,O185:P185,R185:AA185)</f>
        <v>39.870000000000005</v>
      </c>
      <c r="H185" s="19" t="e">
        <f>IF(ISBLANK(B185),0,+#REF!/B185)</f>
        <v>#REF!</v>
      </c>
      <c r="I185" s="146"/>
      <c r="J185" s="82">
        <f>IF(ISBLANK(B185),0,IF(B185&gt;J$97,+J$96,+F$96))</f>
        <v>40</v>
      </c>
      <c r="K185" s="82">
        <f>IF($B185&gt;K$97,ROUND(K$97*K$96,2),ROUND($B185*K$96,2))</f>
        <v>-0.12</v>
      </c>
      <c r="L185" s="82">
        <f>IF($B185&gt;K$97,ROUND(($B185-K$97)*L$96,2),0)</f>
        <v>0</v>
      </c>
      <c r="M185" s="146"/>
      <c r="N185" s="42">
        <f>SUM(K185:L185)</f>
        <v>-0.12</v>
      </c>
      <c r="O185" s="146"/>
      <c r="P185" s="146"/>
      <c r="Q185" s="146"/>
      <c r="S185" s="42">
        <f>ROUND($B185*S$96*S184,2)</f>
        <v>0</v>
      </c>
      <c r="T185" s="42">
        <f>ROUND($B185*T$96,2)</f>
        <v>0</v>
      </c>
      <c r="U185" s="42">
        <f>ROUND($B185*U$96,2)</f>
        <v>0</v>
      </c>
      <c r="V185" s="41">
        <f>ROUND($B185*V$94,2)</f>
        <v>0</v>
      </c>
      <c r="W185" s="146"/>
      <c r="X185" s="42">
        <f>ROUND($B185*X$96,2)</f>
        <v>-0.01</v>
      </c>
      <c r="Y185" s="42">
        <f>ROUND($B185*Y$96,2)</f>
        <v>0</v>
      </c>
      <c r="Z185" s="42">
        <f>ROUND($B185*Z$96,2)</f>
        <v>0</v>
      </c>
      <c r="AA185" s="42">
        <f>ROUND($B185*AA$96,2)</f>
        <v>0</v>
      </c>
      <c r="AB185" s="19">
        <f>SUM(U$96:AA$96)+(-V$96+V147)</f>
        <v>1.4498999999999998E-2</v>
      </c>
      <c r="AC185" s="146"/>
      <c r="AE185" s="146"/>
      <c r="AG185" s="146"/>
      <c r="AI185" s="146"/>
      <c r="AK185" s="146"/>
      <c r="AM185" s="146"/>
      <c r="AO185" s="146"/>
      <c r="AQ185" s="146"/>
      <c r="AS185" s="146"/>
      <c r="AU185" s="146"/>
      <c r="AW185" s="146"/>
      <c r="AY185" s="146"/>
      <c r="BA185" s="146"/>
      <c r="BC185" s="146"/>
      <c r="BE185" s="146"/>
      <c r="BG185" s="146"/>
      <c r="BI185" s="146"/>
      <c r="BK185" s="146"/>
      <c r="BM185" s="146"/>
      <c r="BO185" s="146"/>
      <c r="BQ185" s="146"/>
      <c r="BS185" s="146"/>
      <c r="BU185" s="146"/>
      <c r="BW185" s="146"/>
      <c r="BY185" s="146"/>
      <c r="CA185" s="146"/>
      <c r="CC185" s="146"/>
      <c r="CE185" s="146"/>
      <c r="CG185" s="146"/>
      <c r="CI185" s="146"/>
      <c r="CK185" s="146"/>
      <c r="CM185" s="146"/>
      <c r="CO185" s="146"/>
      <c r="CQ185" s="146"/>
      <c r="CS185" s="146"/>
      <c r="CU185" s="146"/>
      <c r="CW185" s="146"/>
      <c r="CY185" s="146"/>
      <c r="DA185" s="146"/>
      <c r="DC185" s="146"/>
      <c r="DE185" s="146"/>
      <c r="DG185" s="146"/>
      <c r="DI185" s="146"/>
      <c r="DK185" s="146"/>
      <c r="DM185" s="146"/>
      <c r="DO185" s="146"/>
      <c r="DQ185" s="146"/>
      <c r="DS185" s="146"/>
    </row>
    <row r="186" spans="1:123" x14ac:dyDescent="0.2">
      <c r="B186" s="97">
        <v>-1</v>
      </c>
      <c r="C186" s="9"/>
      <c r="F186" s="36"/>
      <c r="G186" s="42"/>
      <c r="H186" s="19"/>
      <c r="I186" s="19"/>
      <c r="J186" s="82"/>
      <c r="K186" s="82"/>
      <c r="L186" s="82"/>
      <c r="M186" s="41"/>
      <c r="N186" s="41"/>
      <c r="O186" s="41"/>
      <c r="P186" s="41"/>
      <c r="Q186" s="41"/>
      <c r="R186" s="41"/>
      <c r="S186" s="50">
        <v>0.1</v>
      </c>
      <c r="T186" s="42"/>
      <c r="U186" s="42"/>
      <c r="V186" s="41"/>
      <c r="W186" s="42"/>
      <c r="X186" s="42"/>
      <c r="Y186" s="42"/>
      <c r="Z186" s="42"/>
      <c r="AA186" s="42"/>
      <c r="AB186" s="19"/>
      <c r="AC186" s="94"/>
      <c r="AE186" s="146"/>
      <c r="AG186" s="146"/>
      <c r="AI186" s="146"/>
      <c r="AK186" s="146"/>
      <c r="AM186" s="146"/>
      <c r="AO186" s="146"/>
      <c r="AQ186" s="146"/>
      <c r="AS186" s="146"/>
      <c r="AU186" s="146"/>
      <c r="AW186" s="146"/>
      <c r="AY186" s="146"/>
      <c r="BA186" s="146"/>
      <c r="BC186" s="146"/>
      <c r="BE186" s="146"/>
      <c r="BG186" s="146"/>
      <c r="BI186" s="146"/>
      <c r="BK186" s="146"/>
      <c r="BM186" s="146"/>
      <c r="BO186" s="146"/>
      <c r="BQ186" s="146"/>
      <c r="BS186" s="146"/>
      <c r="BU186" s="146"/>
      <c r="BW186" s="146"/>
      <c r="BY186" s="146"/>
      <c r="CA186" s="146"/>
      <c r="CC186" s="146"/>
      <c r="CE186" s="146"/>
      <c r="CG186" s="146"/>
      <c r="CI186" s="146"/>
      <c r="CK186" s="146"/>
      <c r="CM186" s="146"/>
      <c r="CO186" s="146"/>
      <c r="CQ186" s="146"/>
      <c r="CS186" s="146"/>
      <c r="CU186" s="146"/>
      <c r="CW186" s="146"/>
      <c r="CY186" s="146"/>
      <c r="DA186" s="146"/>
      <c r="DC186" s="146"/>
      <c r="DE186" s="146"/>
      <c r="DG186" s="146"/>
      <c r="DI186" s="146"/>
      <c r="DK186" s="146"/>
      <c r="DM186" s="146"/>
      <c r="DO186" s="146"/>
      <c r="DQ186" s="146"/>
      <c r="DS186" s="146"/>
    </row>
    <row r="187" spans="1:123" x14ac:dyDescent="0.2">
      <c r="B187" s="103">
        <f>IF(AND('AES Indiana Bill Calc.'!$D$17="SS",'AES Indiana Bill Calc.'!$D$18="Yes 10%",'AES Indiana Bill Calc.'!$D$20="Yes 2024"),'AES Indiana Bill Calc.'!$D$19,-1)</f>
        <v>-1</v>
      </c>
      <c r="C187" s="1" t="s">
        <v>164</v>
      </c>
      <c r="D187" s="146"/>
      <c r="F187" s="36" t="s">
        <v>304</v>
      </c>
      <c r="G187" s="42">
        <f>SUM(J187:M187,O187:P187,R187:AA187)</f>
        <v>39.870000000000005</v>
      </c>
      <c r="H187" s="19" t="e">
        <f>IF(ISBLANK(B187),0,+#REF!/B187)</f>
        <v>#REF!</v>
      </c>
      <c r="I187" s="146"/>
      <c r="J187" s="82">
        <f>IF(ISBLANK(B187),0,IF(B187&gt;J$97,+J$96,+F$96))</f>
        <v>40</v>
      </c>
      <c r="K187" s="82">
        <f>IF($B187&gt;K$97,ROUND(K$97*K$96,2),ROUND($B187*K$96,2))</f>
        <v>-0.12</v>
      </c>
      <c r="L187" s="82">
        <f>IF($B187&gt;K$97,ROUND(($B187-K$97)*L$96,2),0)</f>
        <v>0</v>
      </c>
      <c r="M187" s="146"/>
      <c r="N187" s="42">
        <f>SUM(K187:L187)</f>
        <v>-0.12</v>
      </c>
      <c r="O187" s="146"/>
      <c r="P187" s="146"/>
      <c r="Q187" s="146"/>
      <c r="S187" s="42">
        <f>ROUND($B187*S$96*S186,2)</f>
        <v>0</v>
      </c>
      <c r="T187" s="42">
        <f>ROUND($B187*T$96,2)</f>
        <v>0</v>
      </c>
      <c r="U187" s="42">
        <f>ROUND($B187*U$96,2)</f>
        <v>0</v>
      </c>
      <c r="V187" s="41">
        <f>ROUND($B187*V$94,2)</f>
        <v>0</v>
      </c>
      <c r="W187" s="146"/>
      <c r="X187" s="42">
        <f>ROUND($B187*X$96,2)</f>
        <v>-0.01</v>
      </c>
      <c r="Y187" s="42">
        <f>ROUND($B187*Y$96,2)</f>
        <v>0</v>
      </c>
      <c r="Z187" s="42">
        <f>ROUND($B187*Z$96,2)</f>
        <v>0</v>
      </c>
      <c r="AA187" s="42">
        <f>ROUND($B187*AA$96,2)</f>
        <v>0</v>
      </c>
      <c r="AB187" s="19">
        <f>SUM(U$96:AA$96)+(-V$96+V149)</f>
        <v>1.4498999999999998E-2</v>
      </c>
      <c r="AC187" s="146"/>
      <c r="AE187" s="146"/>
      <c r="AG187" s="146"/>
      <c r="AI187" s="146"/>
      <c r="AK187" s="146"/>
      <c r="AM187" s="146"/>
      <c r="AO187" s="146"/>
      <c r="AQ187" s="146"/>
      <c r="AS187" s="146"/>
      <c r="AU187" s="146"/>
      <c r="AW187" s="146"/>
      <c r="AY187" s="146"/>
      <c r="BA187" s="146"/>
      <c r="BC187" s="146"/>
      <c r="BE187" s="146"/>
      <c r="BG187" s="146"/>
      <c r="BI187" s="146"/>
      <c r="BK187" s="146"/>
      <c r="BM187" s="146"/>
      <c r="BO187" s="146"/>
      <c r="BQ187" s="146"/>
      <c r="BS187" s="146"/>
      <c r="BU187" s="146"/>
      <c r="BW187" s="146"/>
      <c r="BY187" s="146"/>
      <c r="CA187" s="146"/>
      <c r="CC187" s="146"/>
      <c r="CE187" s="146"/>
      <c r="CG187" s="146"/>
      <c r="CI187" s="146"/>
      <c r="CK187" s="146"/>
      <c r="CM187" s="146"/>
      <c r="CO187" s="146"/>
      <c r="CQ187" s="146"/>
      <c r="CS187" s="146"/>
      <c r="CU187" s="146"/>
      <c r="CW187" s="146"/>
      <c r="CY187" s="146"/>
      <c r="DA187" s="146"/>
      <c r="DC187" s="146"/>
      <c r="DE187" s="146"/>
      <c r="DG187" s="146"/>
      <c r="DI187" s="146"/>
      <c r="DK187" s="146"/>
      <c r="DM187" s="146"/>
      <c r="DO187" s="146"/>
      <c r="DQ187" s="146"/>
      <c r="DS187" s="146"/>
    </row>
    <row r="188" spans="1:123" x14ac:dyDescent="0.2">
      <c r="B188" s="97">
        <v>-1</v>
      </c>
      <c r="F188" s="36"/>
      <c r="G188" s="42"/>
      <c r="H188" s="19"/>
      <c r="I188" s="19"/>
      <c r="J188" s="82"/>
      <c r="K188" s="82"/>
      <c r="L188" s="82"/>
      <c r="M188" s="41"/>
      <c r="N188" s="41"/>
      <c r="O188" s="41"/>
      <c r="P188" s="41"/>
      <c r="Q188" s="41"/>
      <c r="R188" s="41"/>
      <c r="S188" s="50">
        <v>0</v>
      </c>
      <c r="T188" s="42"/>
      <c r="U188" s="42"/>
      <c r="V188" s="41"/>
      <c r="W188" s="42"/>
      <c r="X188" s="42"/>
      <c r="Y188" s="42"/>
      <c r="Z188" s="42"/>
      <c r="AA188" s="42"/>
      <c r="AB188" s="19"/>
      <c r="AC188" s="94"/>
      <c r="AE188" s="146"/>
      <c r="AG188" s="146"/>
      <c r="AI188" s="146"/>
      <c r="AK188" s="146"/>
      <c r="AM188" s="146"/>
      <c r="AO188" s="146"/>
      <c r="AQ188" s="146"/>
      <c r="AS188" s="146"/>
      <c r="AU188" s="146"/>
      <c r="AW188" s="146"/>
      <c r="AY188" s="146"/>
      <c r="BA188" s="146"/>
      <c r="BC188" s="146"/>
      <c r="BE188" s="146"/>
      <c r="BG188" s="146"/>
      <c r="BI188" s="146"/>
      <c r="BK188" s="146"/>
      <c r="BM188" s="146"/>
      <c r="BO188" s="146"/>
      <c r="BQ188" s="146"/>
      <c r="BS188" s="146"/>
      <c r="BU188" s="146"/>
      <c r="BW188" s="146"/>
      <c r="BY188" s="146"/>
      <c r="CA188" s="146"/>
      <c r="CC188" s="146"/>
      <c r="CE188" s="146"/>
      <c r="CG188" s="146"/>
      <c r="CI188" s="146"/>
      <c r="CK188" s="146"/>
      <c r="CM188" s="146"/>
      <c r="CO188" s="146"/>
      <c r="CQ188" s="146"/>
      <c r="CS188" s="146"/>
      <c r="CU188" s="146"/>
      <c r="CW188" s="146"/>
      <c r="CY188" s="146"/>
      <c r="DA188" s="146"/>
      <c r="DC188" s="146"/>
      <c r="DE188" s="146"/>
      <c r="DG188" s="146"/>
      <c r="DI188" s="146"/>
      <c r="DK188" s="146"/>
      <c r="DM188" s="146"/>
      <c r="DO188" s="146"/>
      <c r="DQ188" s="146"/>
      <c r="DS188" s="146"/>
    </row>
    <row r="189" spans="1:123" ht="13.5" thickBot="1" x14ac:dyDescent="0.25">
      <c r="A189" s="21"/>
      <c r="B189" s="106">
        <f>IF(AND('AES Indiana Bill Calc.'!$D$17="SS",'AES Indiana Bill Calc.'!$D$18="No",'AES Indiana Bill Calc.'!$D$20="Yes 2024"),'AES Indiana Bill Calc.'!$D$19,-1)</f>
        <v>-1</v>
      </c>
      <c r="C189" s="148" t="s">
        <v>147</v>
      </c>
      <c r="D189" s="125"/>
      <c r="E189" s="21"/>
      <c r="F189" s="36" t="s">
        <v>304</v>
      </c>
      <c r="G189" s="23">
        <f>SUM(J189:M189,O189:P189,R189:AA189)</f>
        <v>39.870000000000005</v>
      </c>
      <c r="H189" s="25" t="e">
        <f>IF(ISBLANK(B189),0,+#REF!/B189)</f>
        <v>#REF!</v>
      </c>
      <c r="I189" s="125"/>
      <c r="J189" s="22">
        <f>IF(ISBLANK(B189),0,IF(B189&gt;J$97,+J$96,+F$96))</f>
        <v>40</v>
      </c>
      <c r="K189" s="22">
        <f>IF($B189&gt;K$97,ROUND(K$97*K$96,2),ROUND($B189*K$96,2))</f>
        <v>-0.12</v>
      </c>
      <c r="L189" s="22">
        <f>IF($B189&gt;K$97,ROUND(($B189-K$97)*L$96,2),0)</f>
        <v>0</v>
      </c>
      <c r="M189" s="125"/>
      <c r="N189" s="23">
        <f>SUM(K189:L189)</f>
        <v>-0.12</v>
      </c>
      <c r="O189" s="125"/>
      <c r="P189" s="125"/>
      <c r="Q189" s="125"/>
      <c r="R189" s="21"/>
      <c r="S189" s="23">
        <f>ROUND($B189*S$96*S188,2)</f>
        <v>0</v>
      </c>
      <c r="T189" s="23">
        <f>ROUND($B189*T$96,2)</f>
        <v>0</v>
      </c>
      <c r="U189" s="23">
        <f>ROUND($B189*U$96,2)</f>
        <v>0</v>
      </c>
      <c r="V189" s="24">
        <f>ROUND($B189*V$94,2)</f>
        <v>0</v>
      </c>
      <c r="W189" s="125"/>
      <c r="X189" s="23">
        <f>ROUND($B189*X$96,2)</f>
        <v>-0.01</v>
      </c>
      <c r="Y189" s="23">
        <f>ROUND($B189*Y$96,2)</f>
        <v>0</v>
      </c>
      <c r="Z189" s="23">
        <f>ROUND($B189*Z$96,2)</f>
        <v>0</v>
      </c>
      <c r="AA189" s="23">
        <f>ROUND($B189*AA$96,2)</f>
        <v>0</v>
      </c>
      <c r="AB189" s="25">
        <f>SUM(U$96:AA$96)+(-V$96+V151)</f>
        <v>1.4498999999999998E-2</v>
      </c>
      <c r="AC189" s="125"/>
      <c r="AE189" s="146"/>
      <c r="AG189" s="146"/>
      <c r="AI189" s="146"/>
      <c r="AK189" s="146"/>
      <c r="AM189" s="146"/>
      <c r="AO189" s="146"/>
      <c r="AQ189" s="146"/>
      <c r="AS189" s="146"/>
      <c r="AU189" s="146"/>
      <c r="AW189" s="146"/>
      <c r="AY189" s="146"/>
      <c r="BA189" s="146"/>
      <c r="BC189" s="146"/>
      <c r="BE189" s="146"/>
      <c r="BG189" s="146"/>
      <c r="BI189" s="146"/>
      <c r="BK189" s="146"/>
      <c r="BM189" s="146"/>
      <c r="BO189" s="146"/>
      <c r="BQ189" s="146"/>
      <c r="BS189" s="146"/>
      <c r="BU189" s="146"/>
      <c r="BW189" s="146"/>
      <c r="BY189" s="146"/>
      <c r="CA189" s="146"/>
      <c r="CC189" s="146"/>
      <c r="CE189" s="146"/>
      <c r="CG189" s="146"/>
      <c r="CI189" s="146"/>
      <c r="CK189" s="146"/>
      <c r="CM189" s="146"/>
      <c r="CO189" s="146"/>
      <c r="CQ189" s="146"/>
      <c r="CS189" s="146"/>
      <c r="CU189" s="146"/>
      <c r="CW189" s="146"/>
      <c r="CY189" s="146"/>
      <c r="DA189" s="146"/>
      <c r="DC189" s="146"/>
      <c r="DE189" s="146"/>
      <c r="DG189" s="146"/>
      <c r="DI189" s="146"/>
      <c r="DK189" s="146"/>
      <c r="DM189" s="146"/>
      <c r="DO189" s="146"/>
      <c r="DQ189" s="146"/>
      <c r="DS189" s="146"/>
    </row>
    <row r="190" spans="1:123" x14ac:dyDescent="0.2">
      <c r="B190" s="97">
        <v>-1</v>
      </c>
      <c r="C190" s="147"/>
      <c r="D190" s="146"/>
      <c r="F190" s="36"/>
      <c r="G190" s="42"/>
      <c r="H190" s="19"/>
      <c r="I190" s="146"/>
      <c r="J190" s="82"/>
      <c r="K190" s="82"/>
      <c r="L190" s="82"/>
      <c r="M190" s="146"/>
      <c r="N190" s="42"/>
      <c r="O190" s="146"/>
      <c r="P190" s="146"/>
      <c r="Q190" s="146"/>
      <c r="S190" s="50">
        <v>1</v>
      </c>
      <c r="T190" s="42"/>
      <c r="U190" s="42"/>
      <c r="V190" s="41"/>
      <c r="W190" s="146"/>
      <c r="X190" s="42"/>
      <c r="Y190" s="42"/>
      <c r="Z190" s="42"/>
      <c r="AA190" s="42"/>
      <c r="AB190" s="19"/>
      <c r="AC190" s="146"/>
      <c r="AE190" s="146"/>
      <c r="AG190" s="146"/>
      <c r="AI190" s="146"/>
      <c r="AK190" s="146"/>
      <c r="AM190" s="146"/>
      <c r="AO190" s="146"/>
      <c r="AQ190" s="146"/>
      <c r="AS190" s="146"/>
      <c r="AU190" s="146"/>
      <c r="AW190" s="146"/>
      <c r="AY190" s="146"/>
      <c r="BA190" s="146"/>
      <c r="BC190" s="146"/>
      <c r="BE190" s="146"/>
      <c r="BG190" s="146"/>
      <c r="BI190" s="146"/>
      <c r="BK190" s="146"/>
      <c r="BM190" s="146"/>
      <c r="BO190" s="146"/>
      <c r="BQ190" s="146"/>
      <c r="BS190" s="146"/>
      <c r="BU190" s="146"/>
      <c r="BW190" s="146"/>
      <c r="BY190" s="146"/>
      <c r="CA190" s="146"/>
      <c r="CC190" s="146"/>
      <c r="CE190" s="146"/>
      <c r="CG190" s="146"/>
      <c r="CI190" s="146"/>
      <c r="CK190" s="146"/>
      <c r="CM190" s="146"/>
      <c r="CO190" s="146"/>
      <c r="CQ190" s="146"/>
      <c r="CS190" s="146"/>
      <c r="CU190" s="146"/>
      <c r="CW190" s="146"/>
      <c r="CY190" s="146"/>
      <c r="DA190" s="146"/>
      <c r="DC190" s="146"/>
      <c r="DE190" s="146"/>
      <c r="DG190" s="146"/>
      <c r="DI190" s="146"/>
      <c r="DK190" s="146"/>
      <c r="DM190" s="146"/>
      <c r="DO190" s="146"/>
      <c r="DQ190" s="146"/>
      <c r="DS190" s="146"/>
    </row>
    <row r="191" spans="1:123" x14ac:dyDescent="0.2">
      <c r="B191" s="97">
        <f>IF(AND('AES Indiana Bill Calc.'!$D$17="SS",'AES Indiana Bill Calc.'!$D$18="Yes 100%",'AES Indiana Bill Calc.'!$D$20="Yes 2025"),'AES Indiana Bill Calc.'!$D$19,-1)</f>
        <v>-1</v>
      </c>
      <c r="C191" s="147" t="s">
        <v>148</v>
      </c>
      <c r="D191" s="146"/>
      <c r="F191" s="36" t="s">
        <v>326</v>
      </c>
      <c r="G191" s="42">
        <f>SUM(J191:M191,O191:P191,R191:AA191)</f>
        <v>39.870000000000005</v>
      </c>
      <c r="H191" s="19" t="e">
        <f>IF(ISBLANK(B191),0,+#REF!/B191)</f>
        <v>#REF!</v>
      </c>
      <c r="I191" s="146"/>
      <c r="J191" s="82">
        <f>IF(ISBLANK(B191),0,IF(B191&gt;J$97,+J$96,+F$96))</f>
        <v>40</v>
      </c>
      <c r="K191" s="82">
        <f>IF($B191&gt;K$97,ROUND(K$97*K$96,2),ROUND($B191*K$96,2))</f>
        <v>-0.12</v>
      </c>
      <c r="L191" s="82">
        <f>IF($B191&gt;K$97,ROUND(($B191-K$97)*L$96,2),0)</f>
        <v>0</v>
      </c>
      <c r="M191" s="146"/>
      <c r="N191" s="42">
        <f>SUM(K191:L191)</f>
        <v>-0.12</v>
      </c>
      <c r="O191" s="146"/>
      <c r="P191" s="146"/>
      <c r="Q191" s="146"/>
      <c r="S191" s="42">
        <f>ROUND($B191*S$96*S190,2)</f>
        <v>0</v>
      </c>
      <c r="T191" s="42">
        <f>ROUND($B191*T$96,2)</f>
        <v>0</v>
      </c>
      <c r="U191" s="42">
        <f>ROUND($B191*U$96,2)</f>
        <v>0</v>
      </c>
      <c r="V191" s="41">
        <f>ROUND($B191*V$95,2)</f>
        <v>0</v>
      </c>
      <c r="W191" s="146"/>
      <c r="X191" s="42">
        <f>ROUND($B191*X$96,2)</f>
        <v>-0.01</v>
      </c>
      <c r="Y191" s="42">
        <f>ROUND($B191*Y$96,2)</f>
        <v>0</v>
      </c>
      <c r="Z191" s="42">
        <f>ROUND($B191*Z$96,2)</f>
        <v>0</v>
      </c>
      <c r="AA191" s="42">
        <f>ROUND($B191*AA$96,2)</f>
        <v>0</v>
      </c>
      <c r="AB191" s="19">
        <f>SUM(U$96:AA$96)+(-V$96+V153)</f>
        <v>1.4498999999999998E-2</v>
      </c>
      <c r="AC191" s="146"/>
      <c r="AE191" s="146"/>
      <c r="AG191" s="146"/>
      <c r="AI191" s="146"/>
      <c r="AK191" s="146"/>
      <c r="AM191" s="146"/>
      <c r="AO191" s="146"/>
      <c r="AQ191" s="146"/>
      <c r="AS191" s="146"/>
      <c r="AU191" s="146"/>
      <c r="AW191" s="146"/>
      <c r="AY191" s="146"/>
      <c r="BA191" s="146"/>
      <c r="BC191" s="146"/>
      <c r="BE191" s="146"/>
      <c r="BG191" s="146"/>
      <c r="BI191" s="146"/>
      <c r="BK191" s="146"/>
      <c r="BM191" s="146"/>
      <c r="BO191" s="146"/>
      <c r="BQ191" s="146"/>
      <c r="BS191" s="146"/>
      <c r="BU191" s="146"/>
      <c r="BW191" s="146"/>
      <c r="BY191" s="146"/>
      <c r="CA191" s="146"/>
      <c r="CC191" s="146"/>
      <c r="CE191" s="146"/>
      <c r="CG191" s="146"/>
      <c r="CI191" s="146"/>
      <c r="CK191" s="146"/>
      <c r="CM191" s="146"/>
      <c r="CO191" s="146"/>
      <c r="CQ191" s="146"/>
      <c r="CS191" s="146"/>
      <c r="CU191" s="146"/>
      <c r="CW191" s="146"/>
      <c r="CY191" s="146"/>
      <c r="DA191" s="146"/>
      <c r="DC191" s="146"/>
      <c r="DE191" s="146"/>
      <c r="DG191" s="146"/>
      <c r="DI191" s="146"/>
      <c r="DK191" s="146"/>
      <c r="DM191" s="146"/>
      <c r="DO191" s="146"/>
      <c r="DQ191" s="146"/>
      <c r="DS191" s="146"/>
    </row>
    <row r="192" spans="1:123" x14ac:dyDescent="0.2">
      <c r="B192" s="97">
        <v>-1</v>
      </c>
      <c r="C192" s="9"/>
      <c r="F192" s="36"/>
      <c r="G192" s="42"/>
      <c r="H192" s="19"/>
      <c r="I192" s="19"/>
      <c r="J192" s="82"/>
      <c r="K192" s="82"/>
      <c r="L192" s="82"/>
      <c r="M192" s="41"/>
      <c r="N192" s="41"/>
      <c r="O192" s="41"/>
      <c r="P192" s="41"/>
      <c r="Q192" s="41"/>
      <c r="R192" s="41"/>
      <c r="S192" s="50">
        <v>0.5</v>
      </c>
      <c r="T192" s="42"/>
      <c r="U192" s="42"/>
      <c r="V192" s="41"/>
      <c r="W192" s="42"/>
      <c r="X192" s="42"/>
      <c r="Y192" s="42"/>
      <c r="Z192" s="42"/>
      <c r="AA192" s="42"/>
      <c r="AB192" s="19"/>
      <c r="AC192" s="94"/>
      <c r="AE192" s="146"/>
      <c r="AG192" s="146"/>
      <c r="AI192" s="146"/>
      <c r="AK192" s="146"/>
      <c r="AM192" s="146"/>
      <c r="AO192" s="146"/>
      <c r="AQ192" s="146"/>
      <c r="AS192" s="146"/>
      <c r="AU192" s="146"/>
      <c r="AW192" s="146"/>
      <c r="AY192" s="146"/>
      <c r="BA192" s="146"/>
      <c r="BC192" s="146"/>
      <c r="BE192" s="146"/>
      <c r="BG192" s="146"/>
      <c r="BI192" s="146"/>
      <c r="BK192" s="146"/>
      <c r="BM192" s="146"/>
      <c r="BO192" s="146"/>
      <c r="BQ192" s="146"/>
      <c r="BS192" s="146"/>
      <c r="BU192" s="146"/>
      <c r="BW192" s="146"/>
      <c r="BY192" s="146"/>
      <c r="CA192" s="146"/>
      <c r="CC192" s="146"/>
      <c r="CE192" s="146"/>
      <c r="CG192" s="146"/>
      <c r="CI192" s="146"/>
      <c r="CK192" s="146"/>
      <c r="CM192" s="146"/>
      <c r="CO192" s="146"/>
      <c r="CQ192" s="146"/>
      <c r="CS192" s="146"/>
      <c r="CU192" s="146"/>
      <c r="CW192" s="146"/>
      <c r="CY192" s="146"/>
      <c r="DA192" s="146"/>
      <c r="DC192" s="146"/>
      <c r="DE192" s="146"/>
      <c r="DG192" s="146"/>
      <c r="DI192" s="146"/>
      <c r="DK192" s="146"/>
      <c r="DM192" s="146"/>
      <c r="DO192" s="146"/>
      <c r="DQ192" s="146"/>
      <c r="DS192" s="146"/>
    </row>
    <row r="193" spans="1:123" x14ac:dyDescent="0.2">
      <c r="B193" s="103">
        <f>IF(AND('AES Indiana Bill Calc.'!$D$17="SS",'AES Indiana Bill Calc.'!$D$18="Yes 50%",'AES Indiana Bill Calc.'!$D$20="Yes 2025"),'AES Indiana Bill Calc.'!$D$19,-1)</f>
        <v>-1</v>
      </c>
      <c r="C193" s="1" t="s">
        <v>149</v>
      </c>
      <c r="D193" s="146"/>
      <c r="F193" s="36" t="s">
        <v>326</v>
      </c>
      <c r="G193" s="42">
        <f>SUM(J193:M193,O193:P193,R193:AA193)</f>
        <v>39.870000000000005</v>
      </c>
      <c r="H193" s="19" t="e">
        <f>IF(ISBLANK(B193),0,+#REF!/B193)</f>
        <v>#REF!</v>
      </c>
      <c r="I193" s="146"/>
      <c r="J193" s="82">
        <f>IF(ISBLANK(B193),0,IF(B193&gt;J$97,+J$96,+F$96))</f>
        <v>40</v>
      </c>
      <c r="K193" s="82">
        <f>IF($B193&gt;K$97,ROUND(K$97*K$96,2),ROUND($B193*K$96,2))</f>
        <v>-0.12</v>
      </c>
      <c r="L193" s="82">
        <f>IF($B193&gt;K$97,ROUND(($B193-K$97)*L$96,2),0)</f>
        <v>0</v>
      </c>
      <c r="M193" s="146"/>
      <c r="N193" s="42">
        <f>SUM(K193:L193)</f>
        <v>-0.12</v>
      </c>
      <c r="O193" s="146"/>
      <c r="P193" s="146"/>
      <c r="Q193" s="146"/>
      <c r="S193" s="42">
        <f>ROUND($B193*S$96*S192,2)</f>
        <v>0</v>
      </c>
      <c r="T193" s="42">
        <f>ROUND($B193*T$96,2)</f>
        <v>0</v>
      </c>
      <c r="U193" s="42">
        <f>ROUND($B193*U$96,2)</f>
        <v>0</v>
      </c>
      <c r="V193" s="41">
        <f>ROUND($B193*V$95,2)</f>
        <v>0</v>
      </c>
      <c r="W193" s="146"/>
      <c r="X193" s="42">
        <f>ROUND($B193*X$96,2)</f>
        <v>-0.01</v>
      </c>
      <c r="Y193" s="42">
        <f>ROUND($B193*Y$96,2)</f>
        <v>0</v>
      </c>
      <c r="Z193" s="42">
        <f>ROUND($B193*Z$96,2)</f>
        <v>0</v>
      </c>
      <c r="AA193" s="42">
        <f>ROUND($B193*AA$96,2)</f>
        <v>0</v>
      </c>
      <c r="AB193" s="19">
        <f>SUM(U$96:AA$96)+(-V$96+V155)</f>
        <v>1.4498999999999998E-2</v>
      </c>
      <c r="AC193" s="146"/>
      <c r="AE193" s="146"/>
      <c r="AG193" s="146"/>
      <c r="AI193" s="146"/>
      <c r="AK193" s="146"/>
      <c r="AM193" s="146"/>
      <c r="AO193" s="146"/>
      <c r="AQ193" s="146"/>
      <c r="AS193" s="146"/>
      <c r="AU193" s="146"/>
      <c r="AW193" s="146"/>
      <c r="AY193" s="146"/>
      <c r="BA193" s="146"/>
      <c r="BC193" s="146"/>
      <c r="BE193" s="146"/>
      <c r="BG193" s="146"/>
      <c r="BI193" s="146"/>
      <c r="BK193" s="146"/>
      <c r="BM193" s="146"/>
      <c r="BO193" s="146"/>
      <c r="BQ193" s="146"/>
      <c r="BS193" s="146"/>
      <c r="BU193" s="146"/>
      <c r="BW193" s="146"/>
      <c r="BY193" s="146"/>
      <c r="CA193" s="146"/>
      <c r="CC193" s="146"/>
      <c r="CE193" s="146"/>
      <c r="CG193" s="146"/>
      <c r="CI193" s="146"/>
      <c r="CK193" s="146"/>
      <c r="CM193" s="146"/>
      <c r="CO193" s="146"/>
      <c r="CQ193" s="146"/>
      <c r="CS193" s="146"/>
      <c r="CU193" s="146"/>
      <c r="CW193" s="146"/>
      <c r="CY193" s="146"/>
      <c r="DA193" s="146"/>
      <c r="DC193" s="146"/>
      <c r="DE193" s="146"/>
      <c r="DG193" s="146"/>
      <c r="DI193" s="146"/>
      <c r="DK193" s="146"/>
      <c r="DM193" s="146"/>
      <c r="DO193" s="146"/>
      <c r="DQ193" s="146"/>
      <c r="DS193" s="146"/>
    </row>
    <row r="194" spans="1:123" x14ac:dyDescent="0.2">
      <c r="B194" s="97">
        <v>-1</v>
      </c>
      <c r="C194" s="9"/>
      <c r="F194" s="36"/>
      <c r="G194" s="42"/>
      <c r="H194" s="19"/>
      <c r="I194" s="19"/>
      <c r="J194" s="82"/>
      <c r="K194" s="82"/>
      <c r="L194" s="82"/>
      <c r="M194" s="41"/>
      <c r="N194" s="41"/>
      <c r="O194" s="41"/>
      <c r="P194" s="41"/>
      <c r="Q194" s="41"/>
      <c r="R194" s="41"/>
      <c r="S194" s="50">
        <v>0.25</v>
      </c>
      <c r="T194" s="42"/>
      <c r="U194" s="42"/>
      <c r="V194" s="41"/>
      <c r="W194" s="42"/>
      <c r="X194" s="42"/>
      <c r="Y194" s="42"/>
      <c r="Z194" s="42"/>
      <c r="AA194" s="42"/>
      <c r="AB194" s="19"/>
      <c r="AC194" s="94"/>
      <c r="AE194" s="146"/>
      <c r="AG194" s="146"/>
      <c r="AI194" s="146"/>
      <c r="AK194" s="146"/>
      <c r="AM194" s="146"/>
      <c r="AO194" s="146"/>
      <c r="AQ194" s="146"/>
      <c r="AS194" s="146"/>
      <c r="AU194" s="146"/>
      <c r="AW194" s="146"/>
      <c r="AY194" s="146"/>
      <c r="BA194" s="146"/>
      <c r="BC194" s="146"/>
      <c r="BE194" s="146"/>
      <c r="BG194" s="146"/>
      <c r="BI194" s="146"/>
      <c r="BK194" s="146"/>
      <c r="BM194" s="146"/>
      <c r="BO194" s="146"/>
      <c r="BQ194" s="146"/>
      <c r="BS194" s="146"/>
      <c r="BU194" s="146"/>
      <c r="BW194" s="146"/>
      <c r="BY194" s="146"/>
      <c r="CA194" s="146"/>
      <c r="CC194" s="146"/>
      <c r="CE194" s="146"/>
      <c r="CG194" s="146"/>
      <c r="CI194" s="146"/>
      <c r="CK194" s="146"/>
      <c r="CM194" s="146"/>
      <c r="CO194" s="146"/>
      <c r="CQ194" s="146"/>
      <c r="CS194" s="146"/>
      <c r="CU194" s="146"/>
      <c r="CW194" s="146"/>
      <c r="CY194" s="146"/>
      <c r="DA194" s="146"/>
      <c r="DC194" s="146"/>
      <c r="DE194" s="146"/>
      <c r="DG194" s="146"/>
      <c r="DI194" s="146"/>
      <c r="DK194" s="146"/>
      <c r="DM194" s="146"/>
      <c r="DO194" s="146"/>
      <c r="DQ194" s="146"/>
      <c r="DS194" s="146"/>
    </row>
    <row r="195" spans="1:123" x14ac:dyDescent="0.2">
      <c r="B195" s="103">
        <f>IF(AND('AES Indiana Bill Calc.'!$D$17="SS",'AES Indiana Bill Calc.'!$D$18="Yes 25%",'AES Indiana Bill Calc.'!$D$20="Yes 2025"),'AES Indiana Bill Calc.'!$D$19,-1)</f>
        <v>-1</v>
      </c>
      <c r="C195" s="1" t="s">
        <v>150</v>
      </c>
      <c r="D195" s="146"/>
      <c r="F195" s="36" t="s">
        <v>326</v>
      </c>
      <c r="G195" s="42">
        <f>SUM(J195:M195,O195:P195,R195:AA195)</f>
        <v>39.870000000000005</v>
      </c>
      <c r="H195" s="19" t="e">
        <f>IF(ISBLANK(B195),0,+#REF!/B195)</f>
        <v>#REF!</v>
      </c>
      <c r="I195" s="146"/>
      <c r="J195" s="82">
        <f>IF(ISBLANK(B195),0,IF(B195&gt;J$97,+J$96,+F$96))</f>
        <v>40</v>
      </c>
      <c r="K195" s="82">
        <f>IF($B195&gt;K$97,ROUND(K$97*K$96,2),ROUND($B195*K$96,2))</f>
        <v>-0.12</v>
      </c>
      <c r="L195" s="82">
        <f>IF($B195&gt;K$97,ROUND(($B195-K$97)*L$96,2),0)</f>
        <v>0</v>
      </c>
      <c r="M195" s="146"/>
      <c r="N195" s="42">
        <f>SUM(K195:L195)</f>
        <v>-0.12</v>
      </c>
      <c r="O195" s="146"/>
      <c r="P195" s="146"/>
      <c r="Q195" s="146"/>
      <c r="S195" s="42">
        <f>ROUND($B195*S$96*S194,2)</f>
        <v>0</v>
      </c>
      <c r="T195" s="42">
        <f>ROUND($B195*T$96,2)</f>
        <v>0</v>
      </c>
      <c r="U195" s="42">
        <f>ROUND($B195*U$96,2)</f>
        <v>0</v>
      </c>
      <c r="V195" s="41">
        <f>ROUND($B195*V$95,2)</f>
        <v>0</v>
      </c>
      <c r="W195" s="146"/>
      <c r="X195" s="42">
        <f>ROUND($B195*X$96,2)</f>
        <v>-0.01</v>
      </c>
      <c r="Y195" s="42">
        <f>ROUND($B195*Y$96,2)</f>
        <v>0</v>
      </c>
      <c r="Z195" s="42">
        <f>ROUND($B195*Z$96,2)</f>
        <v>0</v>
      </c>
      <c r="AA195" s="42">
        <f>ROUND($B195*AA$96,2)</f>
        <v>0</v>
      </c>
      <c r="AB195" s="19">
        <f>SUM(U$96:AA$96)+(-V$96+V157)</f>
        <v>1.4498999999999998E-2</v>
      </c>
      <c r="AC195" s="146"/>
      <c r="AE195" s="146"/>
      <c r="AG195" s="146"/>
      <c r="AI195" s="146"/>
      <c r="AK195" s="146"/>
      <c r="AM195" s="146"/>
      <c r="AO195" s="146"/>
      <c r="AQ195" s="146"/>
      <c r="AS195" s="146"/>
      <c r="AU195" s="146"/>
      <c r="AW195" s="146"/>
      <c r="AY195" s="146"/>
      <c r="BA195" s="146"/>
      <c r="BC195" s="146"/>
      <c r="BE195" s="146"/>
      <c r="BG195" s="146"/>
      <c r="BI195" s="146"/>
      <c r="BK195" s="146"/>
      <c r="BM195" s="146"/>
      <c r="BO195" s="146"/>
      <c r="BQ195" s="146"/>
      <c r="BS195" s="146"/>
      <c r="BU195" s="146"/>
      <c r="BW195" s="146"/>
      <c r="BY195" s="146"/>
      <c r="CA195" s="146"/>
      <c r="CC195" s="146"/>
      <c r="CE195" s="146"/>
      <c r="CG195" s="146"/>
      <c r="CI195" s="146"/>
      <c r="CK195" s="146"/>
      <c r="CM195" s="146"/>
      <c r="CO195" s="146"/>
      <c r="CQ195" s="146"/>
      <c r="CS195" s="146"/>
      <c r="CU195" s="146"/>
      <c r="CW195" s="146"/>
      <c r="CY195" s="146"/>
      <c r="DA195" s="146"/>
      <c r="DC195" s="146"/>
      <c r="DE195" s="146"/>
      <c r="DG195" s="146"/>
      <c r="DI195" s="146"/>
      <c r="DK195" s="146"/>
      <c r="DM195" s="146"/>
      <c r="DO195" s="146"/>
      <c r="DQ195" s="146"/>
      <c r="DS195" s="146"/>
    </row>
    <row r="196" spans="1:123" x14ac:dyDescent="0.2">
      <c r="B196" s="97">
        <v>-1</v>
      </c>
      <c r="C196" s="9"/>
      <c r="F196" s="36"/>
      <c r="G196" s="42"/>
      <c r="H196" s="19"/>
      <c r="I196" s="19"/>
      <c r="J196" s="82"/>
      <c r="K196" s="82"/>
      <c r="L196" s="82"/>
      <c r="M196" s="41"/>
      <c r="N196" s="41"/>
      <c r="O196" s="41"/>
      <c r="P196" s="41"/>
      <c r="Q196" s="41"/>
      <c r="R196" s="41"/>
      <c r="S196" s="50">
        <v>0.1</v>
      </c>
      <c r="T196" s="42"/>
      <c r="U196" s="42"/>
      <c r="V196" s="41"/>
      <c r="W196" s="42"/>
      <c r="X196" s="42"/>
      <c r="Y196" s="42"/>
      <c r="Z196" s="42"/>
      <c r="AA196" s="42"/>
      <c r="AB196" s="19"/>
      <c r="AC196" s="94"/>
      <c r="AE196" s="146"/>
      <c r="AG196" s="146"/>
      <c r="AI196" s="146"/>
      <c r="AK196" s="146"/>
      <c r="AM196" s="146"/>
      <c r="AO196" s="146"/>
      <c r="AQ196" s="146"/>
      <c r="AS196" s="146"/>
      <c r="AU196" s="146"/>
      <c r="AW196" s="146"/>
      <c r="AY196" s="146"/>
      <c r="BA196" s="146"/>
      <c r="BC196" s="146"/>
      <c r="BE196" s="146"/>
      <c r="BG196" s="146"/>
      <c r="BI196" s="146"/>
      <c r="BK196" s="146"/>
      <c r="BM196" s="146"/>
      <c r="BO196" s="146"/>
      <c r="BQ196" s="146"/>
      <c r="BS196" s="146"/>
      <c r="BU196" s="146"/>
      <c r="BW196" s="146"/>
      <c r="BY196" s="146"/>
      <c r="CA196" s="146"/>
      <c r="CC196" s="146"/>
      <c r="CE196" s="146"/>
      <c r="CG196" s="146"/>
      <c r="CI196" s="146"/>
      <c r="CK196" s="146"/>
      <c r="CM196" s="146"/>
      <c r="CO196" s="146"/>
      <c r="CQ196" s="146"/>
      <c r="CS196" s="146"/>
      <c r="CU196" s="146"/>
      <c r="CW196" s="146"/>
      <c r="CY196" s="146"/>
      <c r="DA196" s="146"/>
      <c r="DC196" s="146"/>
      <c r="DE196" s="146"/>
      <c r="DG196" s="146"/>
      <c r="DI196" s="146"/>
      <c r="DK196" s="146"/>
      <c r="DM196" s="146"/>
      <c r="DO196" s="146"/>
      <c r="DQ196" s="146"/>
      <c r="DS196" s="146"/>
    </row>
    <row r="197" spans="1:123" x14ac:dyDescent="0.2">
      <c r="B197" s="103">
        <f>IF(AND('AES Indiana Bill Calc.'!$D$17="SS",'AES Indiana Bill Calc.'!$D$18="Yes 10%",'AES Indiana Bill Calc.'!$D$20="Yes 2025"),'AES Indiana Bill Calc.'!$D$19,-1)</f>
        <v>-1</v>
      </c>
      <c r="C197" s="1" t="s">
        <v>164</v>
      </c>
      <c r="D197" s="146"/>
      <c r="F197" s="36" t="s">
        <v>326</v>
      </c>
      <c r="G197" s="42">
        <f>SUM(J197:M197,O197:P197,R197:AA197)</f>
        <v>39.870000000000005</v>
      </c>
      <c r="H197" s="19" t="e">
        <f>IF(ISBLANK(B197),0,+#REF!/B197)</f>
        <v>#REF!</v>
      </c>
      <c r="I197" s="146"/>
      <c r="J197" s="82">
        <f>IF(ISBLANK(B197),0,IF(B197&gt;J$97,+J$96,+F$96))</f>
        <v>40</v>
      </c>
      <c r="K197" s="82">
        <f>IF($B197&gt;K$97,ROUND(K$97*K$96,2),ROUND($B197*K$96,2))</f>
        <v>-0.12</v>
      </c>
      <c r="L197" s="82">
        <f>IF($B197&gt;K$97,ROUND(($B197-K$97)*L$96,2),0)</f>
        <v>0</v>
      </c>
      <c r="M197" s="146"/>
      <c r="N197" s="42">
        <f>SUM(K197:L197)</f>
        <v>-0.12</v>
      </c>
      <c r="O197" s="146"/>
      <c r="P197" s="146"/>
      <c r="Q197" s="146"/>
      <c r="S197" s="42">
        <f>ROUND($B197*S$96*S196,2)</f>
        <v>0</v>
      </c>
      <c r="T197" s="42">
        <f>ROUND($B197*T$96,2)</f>
        <v>0</v>
      </c>
      <c r="U197" s="42">
        <f>ROUND($B197*U$96,2)</f>
        <v>0</v>
      </c>
      <c r="V197" s="41">
        <f>ROUND($B197*V$95,2)</f>
        <v>0</v>
      </c>
      <c r="W197" s="146"/>
      <c r="X197" s="42">
        <f>ROUND($B197*X$96,2)</f>
        <v>-0.01</v>
      </c>
      <c r="Y197" s="42">
        <f>ROUND($B197*Y$96,2)</f>
        <v>0</v>
      </c>
      <c r="Z197" s="42">
        <f>ROUND($B197*Z$96,2)</f>
        <v>0</v>
      </c>
      <c r="AA197" s="42">
        <f>ROUND($B197*AA$96,2)</f>
        <v>0</v>
      </c>
      <c r="AB197" s="19">
        <f>SUM(U$96:AA$96)+(-V$96+V159)</f>
        <v>1.4498999999999998E-2</v>
      </c>
      <c r="AC197" s="146"/>
      <c r="AE197" s="146"/>
      <c r="AG197" s="146"/>
      <c r="AI197" s="146"/>
      <c r="AK197" s="146"/>
      <c r="AM197" s="146"/>
      <c r="AO197" s="146"/>
      <c r="AQ197" s="146"/>
      <c r="AS197" s="146"/>
      <c r="AU197" s="146"/>
      <c r="AW197" s="146"/>
      <c r="AY197" s="146"/>
      <c r="BA197" s="146"/>
      <c r="BC197" s="146"/>
      <c r="BE197" s="146"/>
      <c r="BG197" s="146"/>
      <c r="BI197" s="146"/>
      <c r="BK197" s="146"/>
      <c r="BM197" s="146"/>
      <c r="BO197" s="146"/>
      <c r="BQ197" s="146"/>
      <c r="BS197" s="146"/>
      <c r="BU197" s="146"/>
      <c r="BW197" s="146"/>
      <c r="BY197" s="146"/>
      <c r="CA197" s="146"/>
      <c r="CC197" s="146"/>
      <c r="CE197" s="146"/>
      <c r="CG197" s="146"/>
      <c r="CI197" s="146"/>
      <c r="CK197" s="146"/>
      <c r="CM197" s="146"/>
      <c r="CO197" s="146"/>
      <c r="CQ197" s="146"/>
      <c r="CS197" s="146"/>
      <c r="CU197" s="146"/>
      <c r="CW197" s="146"/>
      <c r="CY197" s="146"/>
      <c r="DA197" s="146"/>
      <c r="DC197" s="146"/>
      <c r="DE197" s="146"/>
      <c r="DG197" s="146"/>
      <c r="DI197" s="146"/>
      <c r="DK197" s="146"/>
      <c r="DM197" s="146"/>
      <c r="DO197" s="146"/>
      <c r="DQ197" s="146"/>
      <c r="DS197" s="146"/>
    </row>
    <row r="198" spans="1:123" x14ac:dyDescent="0.2">
      <c r="B198" s="97">
        <v>-1</v>
      </c>
      <c r="F198" s="36"/>
      <c r="G198" s="42"/>
      <c r="H198" s="19"/>
      <c r="I198" s="19"/>
      <c r="J198" s="82"/>
      <c r="K198" s="82"/>
      <c r="L198" s="82"/>
      <c r="M198" s="41"/>
      <c r="N198" s="41"/>
      <c r="O198" s="41"/>
      <c r="P198" s="41"/>
      <c r="Q198" s="41"/>
      <c r="R198" s="41"/>
      <c r="S198" s="50">
        <v>0</v>
      </c>
      <c r="T198" s="42"/>
      <c r="U198" s="42"/>
      <c r="V198" s="41"/>
      <c r="W198" s="42"/>
      <c r="X198" s="42"/>
      <c r="Y198" s="42"/>
      <c r="Z198" s="42"/>
      <c r="AA198" s="42"/>
      <c r="AB198" s="19"/>
      <c r="AC198" s="94"/>
      <c r="AE198" s="146"/>
      <c r="AG198" s="146"/>
      <c r="AI198" s="146"/>
      <c r="AK198" s="146"/>
      <c r="AM198" s="146"/>
      <c r="AO198" s="146"/>
      <c r="AQ198" s="146"/>
      <c r="AS198" s="146"/>
      <c r="AU198" s="146"/>
      <c r="AW198" s="146"/>
      <c r="AY198" s="146"/>
      <c r="BA198" s="146"/>
      <c r="BC198" s="146"/>
      <c r="BE198" s="146"/>
      <c r="BG198" s="146"/>
      <c r="BI198" s="146"/>
      <c r="BK198" s="146"/>
      <c r="BM198" s="146"/>
      <c r="BO198" s="146"/>
      <c r="BQ198" s="146"/>
      <c r="BS198" s="146"/>
      <c r="BU198" s="146"/>
      <c r="BW198" s="146"/>
      <c r="BY198" s="146"/>
      <c r="CA198" s="146"/>
      <c r="CC198" s="146"/>
      <c r="CE198" s="146"/>
      <c r="CG198" s="146"/>
      <c r="CI198" s="146"/>
      <c r="CK198" s="146"/>
      <c r="CM198" s="146"/>
      <c r="CO198" s="146"/>
      <c r="CQ198" s="146"/>
      <c r="CS198" s="146"/>
      <c r="CU198" s="146"/>
      <c r="CW198" s="146"/>
      <c r="CY198" s="146"/>
      <c r="DA198" s="146"/>
      <c r="DC198" s="146"/>
      <c r="DE198" s="146"/>
      <c r="DG198" s="146"/>
      <c r="DI198" s="146"/>
      <c r="DK198" s="146"/>
      <c r="DM198" s="146"/>
      <c r="DO198" s="146"/>
      <c r="DQ198" s="146"/>
      <c r="DS198" s="146"/>
    </row>
    <row r="199" spans="1:123" ht="13.5" thickBot="1" x14ac:dyDescent="0.25">
      <c r="A199" s="21"/>
      <c r="B199" s="106">
        <f>IF(AND('AES Indiana Bill Calc.'!$D$17="SS",'AES Indiana Bill Calc.'!$D$18="No",'AES Indiana Bill Calc.'!$D$20="Yes 2025"),'AES Indiana Bill Calc.'!$D$19,-1)</f>
        <v>-1</v>
      </c>
      <c r="C199" s="148" t="s">
        <v>147</v>
      </c>
      <c r="D199" s="125"/>
      <c r="E199" s="21"/>
      <c r="F199" s="36" t="s">
        <v>326</v>
      </c>
      <c r="G199" s="23">
        <f>SUM(J199:M199,O199:P199,R199:AA199)</f>
        <v>39.870000000000005</v>
      </c>
      <c r="H199" s="25" t="e">
        <f>IF(ISBLANK(B199),0,+#REF!/B199)</f>
        <v>#REF!</v>
      </c>
      <c r="I199" s="125"/>
      <c r="J199" s="22">
        <f>IF(ISBLANK(B199),0,IF(B199&gt;J$97,+J$96,+F$96))</f>
        <v>40</v>
      </c>
      <c r="K199" s="22">
        <f>IF($B199&gt;K$97,ROUND(K$97*K$96,2),ROUND($B199*K$96,2))</f>
        <v>-0.12</v>
      </c>
      <c r="L199" s="22">
        <f>IF($B199&gt;K$97,ROUND(($B199-K$97)*L$96,2),0)</f>
        <v>0</v>
      </c>
      <c r="M199" s="125"/>
      <c r="N199" s="23">
        <f>SUM(K199:L199)</f>
        <v>-0.12</v>
      </c>
      <c r="O199" s="125"/>
      <c r="P199" s="125"/>
      <c r="Q199" s="125"/>
      <c r="R199" s="21"/>
      <c r="S199" s="23">
        <f>ROUND($B199*S$96*S198,2)</f>
        <v>0</v>
      </c>
      <c r="T199" s="23">
        <f>ROUND($B199*T$96,2)</f>
        <v>0</v>
      </c>
      <c r="U199" s="23">
        <f>ROUND($B199*U$96,2)</f>
        <v>0</v>
      </c>
      <c r="V199" s="24">
        <f>ROUND($B199*V$95,2)</f>
        <v>0</v>
      </c>
      <c r="W199" s="125"/>
      <c r="X199" s="23">
        <f>ROUND($B199*X$96,2)</f>
        <v>-0.01</v>
      </c>
      <c r="Y199" s="23">
        <f>ROUND($B199*Y$96,2)</f>
        <v>0</v>
      </c>
      <c r="Z199" s="23">
        <f>ROUND($B199*Z$96,2)</f>
        <v>0</v>
      </c>
      <c r="AA199" s="23">
        <f>ROUND($B199*AA$96,2)</f>
        <v>0</v>
      </c>
      <c r="AB199" s="25">
        <f>SUM(U$96:AA$96)+(-V$96+V161)</f>
        <v>1.4498999999999998E-2</v>
      </c>
      <c r="AC199" s="125"/>
      <c r="AE199" s="146"/>
      <c r="AG199" s="146"/>
      <c r="AI199" s="146"/>
      <c r="AK199" s="146"/>
      <c r="AM199" s="146"/>
      <c r="AO199" s="146"/>
      <c r="AQ199" s="146"/>
      <c r="AS199" s="146"/>
      <c r="AU199" s="146"/>
      <c r="AW199" s="146"/>
      <c r="AY199" s="146"/>
      <c r="BA199" s="146"/>
      <c r="BC199" s="146"/>
      <c r="BE199" s="146"/>
      <c r="BG199" s="146"/>
      <c r="BI199" s="146"/>
      <c r="BK199" s="146"/>
      <c r="BM199" s="146"/>
      <c r="BO199" s="146"/>
      <c r="BQ199" s="146"/>
      <c r="BS199" s="146"/>
      <c r="BU199" s="146"/>
      <c r="BW199" s="146"/>
      <c r="BY199" s="146"/>
      <c r="CA199" s="146"/>
      <c r="CC199" s="146"/>
      <c r="CE199" s="146"/>
      <c r="CG199" s="146"/>
      <c r="CI199" s="146"/>
      <c r="CK199" s="146"/>
      <c r="CM199" s="146"/>
      <c r="CO199" s="146"/>
      <c r="CQ199" s="146"/>
      <c r="CS199" s="146"/>
      <c r="CU199" s="146"/>
      <c r="CW199" s="146"/>
      <c r="CY199" s="146"/>
      <c r="DA199" s="146"/>
      <c r="DC199" s="146"/>
      <c r="DE199" s="146"/>
      <c r="DG199" s="146"/>
      <c r="DI199" s="146"/>
      <c r="DK199" s="146"/>
      <c r="DM199" s="146"/>
      <c r="DO199" s="146"/>
      <c r="DQ199" s="146"/>
      <c r="DS199" s="146"/>
    </row>
    <row r="200" spans="1:123" x14ac:dyDescent="0.2">
      <c r="B200" s="97">
        <v>-1</v>
      </c>
      <c r="C200" s="1"/>
      <c r="D200" s="146"/>
      <c r="F200" s="36"/>
      <c r="G200" s="17"/>
      <c r="H200" s="19"/>
      <c r="I200" s="146"/>
      <c r="J200" s="82"/>
      <c r="K200" s="82"/>
      <c r="L200" s="82"/>
      <c r="M200" s="146"/>
      <c r="N200" s="17"/>
      <c r="O200" s="146"/>
      <c r="P200" s="146"/>
      <c r="Q200" s="146"/>
      <c r="S200" s="42"/>
      <c r="T200" s="42"/>
      <c r="U200" s="42"/>
      <c r="V200" s="41"/>
      <c r="W200" s="146"/>
      <c r="X200" s="42"/>
      <c r="Y200" s="42"/>
      <c r="Z200" s="42"/>
      <c r="AA200" s="42"/>
      <c r="AB200" s="19"/>
      <c r="AC200" s="146"/>
      <c r="AE200" s="146"/>
      <c r="AG200" s="146"/>
      <c r="AI200" s="146"/>
      <c r="AK200" s="146"/>
      <c r="AM200" s="146"/>
      <c r="AO200" s="146"/>
      <c r="AQ200" s="146"/>
      <c r="AS200" s="146"/>
      <c r="AU200" s="146"/>
      <c r="AW200" s="146"/>
      <c r="AY200" s="146"/>
      <c r="BA200" s="146"/>
      <c r="BC200" s="146"/>
      <c r="BE200" s="146"/>
      <c r="BG200" s="146"/>
      <c r="BI200" s="146"/>
      <c r="BK200" s="146"/>
      <c r="BM200" s="146"/>
      <c r="BO200" s="146"/>
      <c r="BQ200" s="146"/>
      <c r="BS200" s="146"/>
      <c r="BU200" s="146"/>
      <c r="BW200" s="146"/>
      <c r="BY200" s="146"/>
      <c r="CA200" s="146"/>
      <c r="CC200" s="146"/>
      <c r="CE200" s="146"/>
      <c r="CG200" s="146"/>
      <c r="CI200" s="146"/>
      <c r="CK200" s="146"/>
      <c r="CM200" s="146"/>
      <c r="CO200" s="146"/>
      <c r="CQ200" s="146"/>
      <c r="CS200" s="146"/>
      <c r="CU200" s="146"/>
      <c r="CW200" s="146"/>
      <c r="CY200" s="146"/>
      <c r="DA200" s="146"/>
      <c r="DC200" s="146"/>
      <c r="DE200" s="146"/>
      <c r="DG200" s="146"/>
      <c r="DI200" s="146"/>
      <c r="DK200" s="146"/>
      <c r="DM200" s="146"/>
      <c r="DO200" s="146"/>
      <c r="DQ200" s="146"/>
      <c r="DS200" s="146"/>
    </row>
    <row r="201" spans="1:123" x14ac:dyDescent="0.2">
      <c r="B201" s="97">
        <v>-1</v>
      </c>
      <c r="C201" s="80"/>
      <c r="F201" s="36"/>
      <c r="G201" s="42"/>
      <c r="H201" s="19"/>
      <c r="I201" s="19"/>
      <c r="J201" s="82"/>
      <c r="K201" s="82"/>
      <c r="L201" s="82"/>
      <c r="M201" s="41"/>
      <c r="N201" s="41"/>
      <c r="O201" s="41"/>
      <c r="P201" s="41"/>
      <c r="Q201" s="41"/>
      <c r="R201" s="41"/>
      <c r="S201" s="42"/>
      <c r="T201" s="42"/>
      <c r="U201" s="42"/>
      <c r="V201" s="41"/>
      <c r="W201" s="42"/>
      <c r="X201" s="42"/>
      <c r="Y201" s="42"/>
      <c r="Z201" s="42"/>
      <c r="AA201" s="42"/>
      <c r="AB201" s="19"/>
      <c r="AC201" s="94"/>
    </row>
    <row r="202" spans="1:123" x14ac:dyDescent="0.2">
      <c r="B202" s="103">
        <v>-1</v>
      </c>
      <c r="C202" s="9"/>
      <c r="F202" s="36"/>
      <c r="G202" s="17"/>
      <c r="H202" s="19"/>
      <c r="I202" s="19"/>
      <c r="J202" s="16"/>
      <c r="K202" s="16"/>
      <c r="L202" s="16"/>
      <c r="M202" s="8"/>
      <c r="N202" s="8"/>
      <c r="O202" s="8"/>
      <c r="P202" s="8"/>
      <c r="Q202" s="8"/>
      <c r="R202" s="8"/>
      <c r="S202" s="17"/>
      <c r="T202" s="17"/>
      <c r="U202" s="17"/>
      <c r="V202" s="27">
        <f>+T9</f>
        <v>0</v>
      </c>
      <c r="W202" s="6" t="s">
        <v>172</v>
      </c>
      <c r="X202" s="17"/>
      <c r="Y202" s="17"/>
      <c r="Z202" s="17"/>
      <c r="AA202" s="17"/>
      <c r="AB202" s="19" t="e">
        <f>+AB$213-V$213+#REF!</f>
        <v>#REF!</v>
      </c>
    </row>
    <row r="203" spans="1:123" x14ac:dyDescent="0.2">
      <c r="B203" s="103">
        <v>-1</v>
      </c>
      <c r="C203" s="9"/>
      <c r="H203" s="19"/>
      <c r="I203" s="19"/>
      <c r="J203" s="16"/>
      <c r="K203" s="16"/>
      <c r="L203" s="16"/>
      <c r="M203" s="8"/>
      <c r="N203" s="8"/>
      <c r="O203" s="8"/>
      <c r="P203" s="8"/>
      <c r="Q203" s="8"/>
      <c r="R203" s="8"/>
      <c r="S203" s="17"/>
      <c r="T203" s="17"/>
      <c r="U203" s="17"/>
      <c r="V203" s="27">
        <f>+T11</f>
        <v>0</v>
      </c>
      <c r="W203" s="6" t="s">
        <v>154</v>
      </c>
      <c r="X203" s="17"/>
      <c r="Y203" s="17"/>
      <c r="Z203" s="17"/>
      <c r="AA203" s="17"/>
      <c r="AB203" s="19">
        <f>+AB$213-V$213+V202</f>
        <v>1.3791999999999999E-2</v>
      </c>
    </row>
    <row r="204" spans="1:123" x14ac:dyDescent="0.2">
      <c r="B204" s="103">
        <v>-1</v>
      </c>
      <c r="C204" s="9"/>
      <c r="H204" s="19"/>
      <c r="I204" s="19"/>
      <c r="J204" s="16"/>
      <c r="K204" s="16"/>
      <c r="L204" s="16"/>
      <c r="M204" s="8"/>
      <c r="N204" s="8"/>
      <c r="O204" s="8"/>
      <c r="P204" s="8"/>
      <c r="Q204" s="8"/>
      <c r="R204" s="8"/>
      <c r="S204" s="17"/>
      <c r="T204" s="17"/>
      <c r="U204" s="17"/>
      <c r="V204" s="27">
        <f>+T13</f>
        <v>0</v>
      </c>
      <c r="W204" s="6" t="s">
        <v>155</v>
      </c>
      <c r="X204" s="17"/>
      <c r="Y204" s="17"/>
      <c r="Z204" s="17"/>
      <c r="AA204" s="17"/>
      <c r="AB204" s="19">
        <f>+AB$213-V$213+V203</f>
        <v>1.3791999999999999E-2</v>
      </c>
    </row>
    <row r="205" spans="1:123" x14ac:dyDescent="0.2">
      <c r="B205" s="103">
        <v>-1</v>
      </c>
      <c r="C205" s="9"/>
      <c r="H205" s="19"/>
      <c r="I205" s="19"/>
      <c r="J205" s="16"/>
      <c r="K205" s="16"/>
      <c r="L205" s="16"/>
      <c r="M205" s="8"/>
      <c r="N205" s="8"/>
      <c r="O205" s="8"/>
      <c r="P205" s="8"/>
      <c r="Q205" s="8"/>
      <c r="R205" s="8"/>
      <c r="S205" s="17"/>
      <c r="T205" s="17"/>
      <c r="U205" s="17"/>
      <c r="V205" s="27">
        <f>T15</f>
        <v>0</v>
      </c>
      <c r="W205" s="6" t="s">
        <v>156</v>
      </c>
      <c r="X205" s="17"/>
      <c r="Y205" s="17"/>
      <c r="Z205" s="17"/>
      <c r="AA205" s="17"/>
      <c r="AB205" s="19"/>
    </row>
    <row r="206" spans="1:123" x14ac:dyDescent="0.2">
      <c r="B206" s="103">
        <v>-1</v>
      </c>
      <c r="C206" s="9"/>
      <c r="H206" s="19"/>
      <c r="I206" s="19"/>
      <c r="J206" s="16"/>
      <c r="K206" s="16"/>
      <c r="L206" s="16"/>
      <c r="M206" s="8"/>
      <c r="N206" s="8"/>
      <c r="O206" s="8"/>
      <c r="P206" s="8"/>
      <c r="Q206" s="8"/>
      <c r="R206" s="8"/>
      <c r="S206" s="17"/>
      <c r="T206" s="17"/>
      <c r="U206" s="17"/>
      <c r="V206" s="27">
        <f>$T$18</f>
        <v>6.0000000000000002E-6</v>
      </c>
      <c r="W206" s="6" t="s">
        <v>157</v>
      </c>
      <c r="X206" s="17"/>
      <c r="Y206" s="17"/>
      <c r="Z206" s="17"/>
      <c r="AA206" s="17"/>
      <c r="AB206" s="19"/>
    </row>
    <row r="207" spans="1:123" x14ac:dyDescent="0.2">
      <c r="B207" s="103">
        <v>-1</v>
      </c>
      <c r="C207" s="9"/>
      <c r="H207" s="19"/>
      <c r="I207" s="19"/>
      <c r="J207" s="16"/>
      <c r="K207" s="16"/>
      <c r="L207" s="16"/>
      <c r="M207" s="8"/>
      <c r="N207" s="8"/>
      <c r="O207" s="8"/>
      <c r="P207" s="8"/>
      <c r="Q207" s="8"/>
      <c r="R207" s="8"/>
      <c r="S207" s="17"/>
      <c r="T207" s="17"/>
      <c r="U207" s="17"/>
      <c r="V207" s="27">
        <f>$T$20</f>
        <v>3.4999999999999997E-5</v>
      </c>
      <c r="W207" s="6" t="s">
        <v>158</v>
      </c>
      <c r="X207" s="17"/>
      <c r="Y207" s="17"/>
      <c r="Z207" s="17"/>
      <c r="AA207" s="17"/>
      <c r="AB207" s="19"/>
    </row>
    <row r="208" spans="1:123" x14ac:dyDescent="0.2">
      <c r="B208" s="103">
        <v>-1</v>
      </c>
      <c r="C208" s="9"/>
      <c r="H208" s="19"/>
      <c r="I208" s="19"/>
      <c r="J208" s="16"/>
      <c r="K208" s="16"/>
      <c r="L208" s="16"/>
      <c r="M208" s="8"/>
      <c r="N208" s="8"/>
      <c r="O208" s="8"/>
      <c r="P208" s="8"/>
      <c r="Q208" s="8"/>
      <c r="R208" s="8"/>
      <c r="S208" s="17"/>
      <c r="T208" s="17"/>
      <c r="U208" s="17"/>
      <c r="V208" s="27">
        <f>$T$22</f>
        <v>-3.9999999999999998E-6</v>
      </c>
      <c r="W208" s="6" t="s">
        <v>159</v>
      </c>
      <c r="X208" s="17"/>
      <c r="Y208" s="17"/>
      <c r="Z208" s="17"/>
      <c r="AA208" s="17"/>
      <c r="AB208" s="19"/>
    </row>
    <row r="209" spans="1:29" x14ac:dyDescent="0.2">
      <c r="B209" s="103">
        <v>-1</v>
      </c>
      <c r="C209" s="9"/>
      <c r="H209" s="19"/>
      <c r="I209" s="19"/>
      <c r="J209" s="16"/>
      <c r="K209" s="16"/>
      <c r="L209" s="16"/>
      <c r="M209" s="8"/>
      <c r="N209" s="8"/>
      <c r="O209" s="8"/>
      <c r="P209" s="8"/>
      <c r="Q209" s="8"/>
      <c r="R209" s="8"/>
      <c r="S209" s="17"/>
      <c r="T209" s="17"/>
      <c r="U209" s="17"/>
      <c r="V209" s="27">
        <f>$T$24</f>
        <v>0</v>
      </c>
      <c r="W209" s="6" t="s">
        <v>160</v>
      </c>
      <c r="X209" s="17"/>
      <c r="Y209" s="17"/>
      <c r="Z209" s="17"/>
      <c r="AA209" s="17"/>
      <c r="AB209" s="19"/>
    </row>
    <row r="210" spans="1:29" x14ac:dyDescent="0.2">
      <c r="B210" s="103">
        <v>-1</v>
      </c>
      <c r="C210" s="9"/>
      <c r="H210" s="19"/>
      <c r="I210" s="19"/>
      <c r="J210" s="16"/>
      <c r="K210" s="16"/>
      <c r="L210" s="16"/>
      <c r="M210" s="8"/>
      <c r="N210" s="8"/>
      <c r="O210" s="8"/>
      <c r="P210" s="8"/>
      <c r="Q210" s="8"/>
      <c r="R210" s="8"/>
      <c r="S210" s="17"/>
      <c r="T210" s="17"/>
      <c r="U210" s="17"/>
      <c r="V210" s="19">
        <f>T26</f>
        <v>0</v>
      </c>
      <c r="W210" s="6" t="s">
        <v>161</v>
      </c>
      <c r="X210" s="17"/>
      <c r="Y210" s="17"/>
      <c r="Z210" s="17"/>
      <c r="AA210" s="17"/>
      <c r="AB210" s="19"/>
    </row>
    <row r="211" spans="1:29" x14ac:dyDescent="0.2">
      <c r="B211" s="103">
        <v>-1</v>
      </c>
      <c r="C211" s="9"/>
      <c r="H211" s="19"/>
      <c r="I211" s="19"/>
      <c r="J211" s="16"/>
      <c r="K211" s="16"/>
      <c r="L211" s="16"/>
      <c r="M211" s="8"/>
      <c r="N211" s="8"/>
      <c r="O211" s="8"/>
      <c r="P211" s="8"/>
      <c r="Q211" s="8"/>
      <c r="R211" s="8"/>
      <c r="S211" s="17"/>
      <c r="T211" s="17"/>
      <c r="U211" s="17"/>
      <c r="V211" s="19">
        <f>T28</f>
        <v>0</v>
      </c>
      <c r="W211" s="6" t="s">
        <v>296</v>
      </c>
      <c r="X211" s="17"/>
      <c r="Y211" s="17"/>
      <c r="Z211" s="17"/>
      <c r="AA211" s="17"/>
      <c r="AB211" s="19"/>
    </row>
    <row r="212" spans="1:29" x14ac:dyDescent="0.2">
      <c r="B212" s="103">
        <v>-1</v>
      </c>
      <c r="C212" s="9"/>
      <c r="H212" s="19"/>
      <c r="I212" s="19"/>
      <c r="J212" s="16"/>
      <c r="K212" s="16"/>
      <c r="L212" s="16"/>
      <c r="M212" s="8"/>
      <c r="N212" s="8"/>
      <c r="O212" s="8"/>
      <c r="P212" s="8"/>
      <c r="Q212" s="8"/>
      <c r="R212" s="8"/>
      <c r="S212" s="17"/>
      <c r="T212" s="17"/>
      <c r="U212" s="17"/>
      <c r="V212" s="19">
        <f>T30</f>
        <v>4.065E-3</v>
      </c>
      <c r="W212" s="6" t="s">
        <v>172</v>
      </c>
      <c r="X212" s="17"/>
      <c r="Y212" s="17"/>
      <c r="Z212" s="17"/>
      <c r="AA212" s="17"/>
      <c r="AB212" s="19"/>
    </row>
    <row r="213" spans="1:29" x14ac:dyDescent="0.2">
      <c r="B213" s="103">
        <v>-1</v>
      </c>
      <c r="C213" s="4"/>
      <c r="F213" s="8"/>
      <c r="I213" s="19"/>
      <c r="J213" s="161">
        <v>55</v>
      </c>
      <c r="K213" s="162">
        <v>0.123516</v>
      </c>
      <c r="L213" s="5"/>
      <c r="M213" s="5"/>
      <c r="N213" s="5"/>
      <c r="O213" s="5"/>
      <c r="P213" s="5"/>
      <c r="Q213" s="142" t="s">
        <v>173</v>
      </c>
      <c r="R213" s="5"/>
      <c r="S213" s="27">
        <f>+M$4</f>
        <v>1.8E-3</v>
      </c>
      <c r="T213" s="27">
        <f t="shared" ref="T213:AA213" si="16">+R$4</f>
        <v>3.9020000000000001E-3</v>
      </c>
      <c r="U213" s="27">
        <f>+S$4</f>
        <v>1.523E-3</v>
      </c>
      <c r="V213" s="27">
        <f t="shared" si="16"/>
        <v>1.0000999999999999E-2</v>
      </c>
      <c r="W213" s="27">
        <f t="shared" si="16"/>
        <v>0</v>
      </c>
      <c r="X213" s="27">
        <f t="shared" si="16"/>
        <v>8.8730000000000007E-3</v>
      </c>
      <c r="Y213" s="27">
        <f t="shared" si="16"/>
        <v>-8.1800000000000004E-4</v>
      </c>
      <c r="Z213" s="27">
        <f t="shared" si="16"/>
        <v>4.2139999999999999E-3</v>
      </c>
      <c r="AA213" s="27">
        <f t="shared" si="16"/>
        <v>7.0699999999999995E-4</v>
      </c>
      <c r="AB213" s="19">
        <f>SUM(U213:Z213)</f>
        <v>2.3792999999999998E-2</v>
      </c>
    </row>
    <row r="214" spans="1:29" x14ac:dyDescent="0.2">
      <c r="A214" s="1"/>
      <c r="B214" s="103">
        <v>-1</v>
      </c>
      <c r="F214" s="8"/>
      <c r="I214" s="19"/>
      <c r="J214" s="73"/>
      <c r="K214" s="73">
        <v>999999</v>
      </c>
    </row>
    <row r="215" spans="1:29" x14ac:dyDescent="0.2">
      <c r="B215" s="103">
        <v>-1</v>
      </c>
      <c r="F215" s="12"/>
      <c r="I215" s="19"/>
      <c r="J215" s="12" t="s">
        <v>137</v>
      </c>
      <c r="K215" s="258" t="s">
        <v>28</v>
      </c>
      <c r="L215" s="258"/>
      <c r="M215" s="12"/>
      <c r="N215" s="12"/>
      <c r="O215" s="12"/>
      <c r="P215" s="12"/>
      <c r="Q215" s="12"/>
      <c r="R215" s="12"/>
      <c r="S215" s="12">
        <v>21</v>
      </c>
      <c r="T215" s="12">
        <v>6</v>
      </c>
      <c r="U215" s="12">
        <v>3</v>
      </c>
      <c r="V215" s="12">
        <v>22</v>
      </c>
      <c r="W215" s="12">
        <v>13</v>
      </c>
      <c r="X215" s="12">
        <v>20</v>
      </c>
      <c r="Y215" s="12">
        <v>24</v>
      </c>
      <c r="Z215" s="12">
        <v>25</v>
      </c>
      <c r="AA215" s="12">
        <v>26</v>
      </c>
    </row>
    <row r="216" spans="1:29" x14ac:dyDescent="0.2">
      <c r="A216" s="13"/>
      <c r="B216" s="103">
        <v>-1</v>
      </c>
      <c r="C216" s="14"/>
      <c r="D216" s="15"/>
      <c r="F216" s="13" t="s">
        <v>141</v>
      </c>
      <c r="G216" s="13" t="s">
        <v>142</v>
      </c>
      <c r="H216" s="13" t="s">
        <v>143</v>
      </c>
      <c r="I216" s="19"/>
      <c r="J216" s="13" t="s">
        <v>144</v>
      </c>
      <c r="K216" s="13" t="s">
        <v>174</v>
      </c>
      <c r="L216" s="13"/>
      <c r="M216" s="13"/>
      <c r="N216" s="142" t="s">
        <v>138</v>
      </c>
      <c r="O216" s="13"/>
      <c r="P216" s="13"/>
      <c r="Q216" s="13"/>
      <c r="R216" s="13"/>
      <c r="S216" s="13" t="s">
        <v>106</v>
      </c>
      <c r="T216" s="13" t="s">
        <v>36</v>
      </c>
      <c r="U216" s="138" t="s">
        <v>38</v>
      </c>
      <c r="V216" s="13" t="s">
        <v>107</v>
      </c>
      <c r="W216" s="13" t="s">
        <v>108</v>
      </c>
      <c r="X216" s="13" t="s">
        <v>109</v>
      </c>
      <c r="Y216" s="138" t="s">
        <v>44</v>
      </c>
      <c r="Z216" s="138" t="s">
        <v>46</v>
      </c>
      <c r="AA216" s="138" t="s">
        <v>48</v>
      </c>
      <c r="AB216" s="66" t="s">
        <v>110</v>
      </c>
    </row>
    <row r="217" spans="1:29" x14ac:dyDescent="0.2">
      <c r="B217" s="103">
        <v>-1</v>
      </c>
      <c r="C217" s="9"/>
      <c r="F217" s="36"/>
      <c r="G217" s="17"/>
      <c r="H217" s="19"/>
      <c r="I217" s="19"/>
      <c r="J217" s="16"/>
      <c r="K217" s="16"/>
      <c r="L217" s="16"/>
      <c r="M217" s="8"/>
      <c r="N217" s="8"/>
      <c r="O217" s="8"/>
      <c r="P217" s="8"/>
      <c r="Q217" s="8"/>
      <c r="R217" s="8"/>
      <c r="S217" s="50">
        <v>0</v>
      </c>
      <c r="T217" s="17"/>
      <c r="U217" s="17"/>
      <c r="V217" s="17"/>
      <c r="W217" s="17"/>
      <c r="X217" s="17"/>
      <c r="Y217" s="17"/>
      <c r="Z217" s="17"/>
      <c r="AA217" s="17"/>
    </row>
    <row r="218" spans="1:29" x14ac:dyDescent="0.2">
      <c r="B218" s="103">
        <f>IF(AND('AES Indiana Bill Calc.'!$D$17="SH",'AES Indiana Bill Calc.'!$D$18="No",'AES Indiana Bill Calc.'!$D$20="No"),'AES Indiana Bill Calc.'!$D$19,-1)</f>
        <v>-1</v>
      </c>
      <c r="C218" s="1" t="s">
        <v>147</v>
      </c>
      <c r="F218" s="36" t="s">
        <v>55</v>
      </c>
      <c r="G218" s="17">
        <f>SUM(J218:M218,O218:P218,R218:AA218)</f>
        <v>54.860000000000007</v>
      </c>
      <c r="H218" s="19" t="e">
        <f>IF(ISBLANK(B218),0,+#REF!/B218)</f>
        <v>#REF!</v>
      </c>
      <c r="I218" s="19"/>
      <c r="J218" s="16">
        <f>IF(ISBLANK(B218),0,+J$213)</f>
        <v>55</v>
      </c>
      <c r="K218" s="16">
        <f>ROUND($B218*K$213,2)</f>
        <v>-0.12</v>
      </c>
      <c r="L218" s="16"/>
      <c r="M218" s="8"/>
      <c r="N218" s="17">
        <f>SUM(K218:L218)</f>
        <v>-0.12</v>
      </c>
      <c r="O218" s="8"/>
      <c r="P218" s="8"/>
      <c r="Q218" s="8"/>
      <c r="R218" s="8"/>
      <c r="S218" s="17">
        <f>ROUND($B218*S$213*S217,2)</f>
        <v>0</v>
      </c>
      <c r="T218" s="17">
        <f t="shared" ref="T218:AA218" si="17">ROUND($B218*T$213,2)</f>
        <v>0</v>
      </c>
      <c r="U218" s="17">
        <f t="shared" si="17"/>
        <v>0</v>
      </c>
      <c r="V218" s="17">
        <f t="shared" si="17"/>
        <v>-0.01</v>
      </c>
      <c r="W218" s="17">
        <f t="shared" si="17"/>
        <v>0</v>
      </c>
      <c r="X218" s="17">
        <f t="shared" si="17"/>
        <v>-0.01</v>
      </c>
      <c r="Y218" s="17">
        <f t="shared" si="17"/>
        <v>0</v>
      </c>
      <c r="Z218" s="17">
        <f t="shared" si="17"/>
        <v>0</v>
      </c>
      <c r="AA218" s="17">
        <f t="shared" si="17"/>
        <v>0</v>
      </c>
      <c r="AB218" s="19">
        <f>SUM(U213:AA213)</f>
        <v>2.4499999999999997E-2</v>
      </c>
      <c r="AC218" s="67" t="str">
        <f>+F218</f>
        <v>SH</v>
      </c>
    </row>
    <row r="219" spans="1:29" x14ac:dyDescent="0.2">
      <c r="B219" s="103">
        <v>-1</v>
      </c>
      <c r="C219" s="9"/>
      <c r="F219" s="36"/>
      <c r="G219" s="17"/>
      <c r="H219" s="19"/>
      <c r="I219" s="19"/>
      <c r="J219" s="16"/>
      <c r="K219" s="16"/>
      <c r="L219" s="16"/>
      <c r="M219" s="8"/>
      <c r="N219" s="8"/>
      <c r="O219" s="8"/>
      <c r="P219" s="8"/>
      <c r="Q219" s="8"/>
      <c r="R219" s="8"/>
      <c r="S219" s="50">
        <v>1</v>
      </c>
      <c r="T219" s="17"/>
      <c r="U219" s="17"/>
      <c r="V219" s="17"/>
      <c r="W219" s="17"/>
      <c r="X219" s="17"/>
      <c r="Y219" s="17"/>
      <c r="Z219" s="17"/>
      <c r="AA219" s="17"/>
    </row>
    <row r="220" spans="1:29" x14ac:dyDescent="0.2">
      <c r="B220" s="103">
        <f>IF(AND('AES Indiana Bill Calc.'!$D$17="SH",'AES Indiana Bill Calc.'!$D$18="Yes 100%",'AES Indiana Bill Calc.'!$D$20="No"),'AES Indiana Bill Calc.'!$D$19,-1)</f>
        <v>-1</v>
      </c>
      <c r="C220" s="1" t="s">
        <v>148</v>
      </c>
      <c r="F220" s="36" t="s">
        <v>55</v>
      </c>
      <c r="G220" s="17">
        <f>SUM(J220:M220,O220:P220,R220:AA220)</f>
        <v>54.860000000000007</v>
      </c>
      <c r="H220" s="19" t="e">
        <f>IF(ISBLANK(B220),0,+#REF!/B220)</f>
        <v>#REF!</v>
      </c>
      <c r="I220" s="19"/>
      <c r="J220" s="16">
        <f>IF(ISBLANK(B220),0,+J$213)</f>
        <v>55</v>
      </c>
      <c r="K220" s="16">
        <f>ROUND($B220*K$213,2)</f>
        <v>-0.12</v>
      </c>
      <c r="L220" s="16"/>
      <c r="M220" s="8"/>
      <c r="N220" s="17">
        <f>SUM(K220:L220)</f>
        <v>-0.12</v>
      </c>
      <c r="O220" s="8"/>
      <c r="P220" s="8"/>
      <c r="Q220" s="8"/>
      <c r="R220" s="8"/>
      <c r="S220" s="17">
        <f>ROUND($B220*S$213*S219,2)</f>
        <v>0</v>
      </c>
      <c r="T220" s="17">
        <f t="shared" ref="T220:AA220" si="18">ROUND($B220*T$213,2)</f>
        <v>0</v>
      </c>
      <c r="U220" s="17">
        <f t="shared" si="18"/>
        <v>0</v>
      </c>
      <c r="V220" s="17">
        <f t="shared" si="18"/>
        <v>-0.01</v>
      </c>
      <c r="W220" s="17">
        <f t="shared" si="18"/>
        <v>0</v>
      </c>
      <c r="X220" s="17">
        <f t="shared" si="18"/>
        <v>-0.01</v>
      </c>
      <c r="Y220" s="17">
        <f t="shared" si="18"/>
        <v>0</v>
      </c>
      <c r="Z220" s="17">
        <f t="shared" si="18"/>
        <v>0</v>
      </c>
      <c r="AA220" s="17">
        <f t="shared" si="18"/>
        <v>0</v>
      </c>
      <c r="AB220" s="19">
        <f>SUM(U$213:AA$213)</f>
        <v>2.4499999999999997E-2</v>
      </c>
      <c r="AC220" s="67" t="str">
        <f>+F220</f>
        <v>SH</v>
      </c>
    </row>
    <row r="221" spans="1:29" x14ac:dyDescent="0.2">
      <c r="B221" s="103">
        <v>-1</v>
      </c>
      <c r="C221" s="9"/>
      <c r="F221" s="36"/>
      <c r="G221" s="17"/>
      <c r="H221" s="19"/>
      <c r="I221" s="19"/>
      <c r="J221" s="16"/>
      <c r="K221" s="16"/>
      <c r="L221" s="16"/>
      <c r="M221" s="8"/>
      <c r="N221" s="8"/>
      <c r="O221" s="8"/>
      <c r="P221" s="8"/>
      <c r="Q221" s="8"/>
      <c r="R221" s="8"/>
      <c r="S221" s="50">
        <v>0.5</v>
      </c>
      <c r="T221" s="17"/>
      <c r="U221" s="17"/>
      <c r="V221" s="17"/>
      <c r="W221" s="17"/>
      <c r="X221" s="17"/>
      <c r="Y221" s="17"/>
      <c r="Z221" s="17"/>
      <c r="AA221" s="17"/>
    </row>
    <row r="222" spans="1:29" x14ac:dyDescent="0.2">
      <c r="B222" s="103">
        <f>IF(AND('AES Indiana Bill Calc.'!$D$17="SH",'AES Indiana Bill Calc.'!$D$18="Yes 50%",'AES Indiana Bill Calc.'!$D$20="No"),'AES Indiana Bill Calc.'!$D$19,-1)</f>
        <v>-1</v>
      </c>
      <c r="C222" s="1" t="s">
        <v>149</v>
      </c>
      <c r="F222" s="36" t="s">
        <v>55</v>
      </c>
      <c r="G222" s="17">
        <f>SUM(J222:M222,O222:P222,R222:AA222)</f>
        <v>54.860000000000007</v>
      </c>
      <c r="H222" s="19" t="e">
        <f>IF(ISBLANK(B222),0,+#REF!/B222)</f>
        <v>#REF!</v>
      </c>
      <c r="I222" s="19"/>
      <c r="J222" s="16">
        <f>IF(ISBLANK(B222),0,+J$213)</f>
        <v>55</v>
      </c>
      <c r="K222" s="16">
        <f>ROUND($B222*K$213,2)</f>
        <v>-0.12</v>
      </c>
      <c r="L222" s="16"/>
      <c r="M222" s="8"/>
      <c r="N222" s="17">
        <f>SUM(K222:L222)</f>
        <v>-0.12</v>
      </c>
      <c r="O222" s="8"/>
      <c r="P222" s="8"/>
      <c r="Q222" s="8"/>
      <c r="R222" s="8"/>
      <c r="S222" s="17">
        <f>ROUND($B222*S$213*S221,2)</f>
        <v>0</v>
      </c>
      <c r="T222" s="17">
        <f t="shared" ref="T222:AA222" si="19">ROUND($B222*T$213,2)</f>
        <v>0</v>
      </c>
      <c r="U222" s="17">
        <f t="shared" si="19"/>
        <v>0</v>
      </c>
      <c r="V222" s="17">
        <f t="shared" si="19"/>
        <v>-0.01</v>
      </c>
      <c r="W222" s="17">
        <f t="shared" si="19"/>
        <v>0</v>
      </c>
      <c r="X222" s="17">
        <f t="shared" si="19"/>
        <v>-0.01</v>
      </c>
      <c r="Y222" s="17">
        <f t="shared" si="19"/>
        <v>0</v>
      </c>
      <c r="Z222" s="17">
        <f t="shared" si="19"/>
        <v>0</v>
      </c>
      <c r="AA222" s="17">
        <f t="shared" si="19"/>
        <v>0</v>
      </c>
      <c r="AB222" s="19">
        <f>SUM(U$213:AA$213)</f>
        <v>2.4499999999999997E-2</v>
      </c>
      <c r="AC222" s="67" t="str">
        <f>+F222</f>
        <v>SH</v>
      </c>
    </row>
    <row r="223" spans="1:29" x14ac:dyDescent="0.2">
      <c r="B223" s="103">
        <v>-1</v>
      </c>
      <c r="C223" s="9"/>
      <c r="F223" s="36"/>
      <c r="G223" s="17"/>
      <c r="H223" s="19"/>
      <c r="I223" s="19"/>
      <c r="J223" s="16"/>
      <c r="K223" s="16"/>
      <c r="L223" s="16"/>
      <c r="M223" s="8"/>
      <c r="N223" s="8"/>
      <c r="O223" s="8"/>
      <c r="P223" s="8"/>
      <c r="Q223" s="8"/>
      <c r="R223" s="8"/>
      <c r="S223" s="50">
        <v>0.25</v>
      </c>
      <c r="T223" s="17"/>
      <c r="U223" s="17"/>
      <c r="V223" s="17"/>
      <c r="W223" s="17"/>
      <c r="X223" s="17"/>
      <c r="Y223" s="17"/>
      <c r="Z223" s="17"/>
      <c r="AA223" s="17"/>
    </row>
    <row r="224" spans="1:29" x14ac:dyDescent="0.2">
      <c r="B224" s="103">
        <f>IF(AND('AES Indiana Bill Calc.'!$D$17="SH",'AES Indiana Bill Calc.'!$D$18="Yes 25%",'AES Indiana Bill Calc.'!$D$20="No"),'AES Indiana Bill Calc.'!$D$19,-1)</f>
        <v>-1</v>
      </c>
      <c r="C224" s="1" t="s">
        <v>150</v>
      </c>
      <c r="F224" s="36" t="s">
        <v>55</v>
      </c>
      <c r="G224" s="17">
        <f>SUM(J224:M224,O224:P224,R224:AA224)</f>
        <v>54.860000000000007</v>
      </c>
      <c r="H224" s="19" t="e">
        <f>IF(ISBLANK(B224),0,+#REF!/B224)</f>
        <v>#REF!</v>
      </c>
      <c r="I224" s="19"/>
      <c r="J224" s="16">
        <f>IF(ISBLANK(B224),0,+J$213)</f>
        <v>55</v>
      </c>
      <c r="K224" s="16">
        <f>ROUND($B224*K$213,2)</f>
        <v>-0.12</v>
      </c>
      <c r="L224" s="16"/>
      <c r="M224" s="8"/>
      <c r="N224" s="17">
        <f>SUM(K224:L224)</f>
        <v>-0.12</v>
      </c>
      <c r="O224" s="8"/>
      <c r="P224" s="8"/>
      <c r="Q224" s="8"/>
      <c r="R224" s="8"/>
      <c r="S224" s="17">
        <f>ROUND($B224*S$213*S223,2)</f>
        <v>0</v>
      </c>
      <c r="T224" s="17">
        <f t="shared" ref="T224:AA224" si="20">ROUND($B224*T$213,2)</f>
        <v>0</v>
      </c>
      <c r="U224" s="17">
        <f t="shared" si="20"/>
        <v>0</v>
      </c>
      <c r="V224" s="17">
        <f t="shared" si="20"/>
        <v>-0.01</v>
      </c>
      <c r="W224" s="17">
        <f t="shared" si="20"/>
        <v>0</v>
      </c>
      <c r="X224" s="17">
        <f t="shared" si="20"/>
        <v>-0.01</v>
      </c>
      <c r="Y224" s="17">
        <f t="shared" si="20"/>
        <v>0</v>
      </c>
      <c r="Z224" s="17">
        <f t="shared" si="20"/>
        <v>0</v>
      </c>
      <c r="AA224" s="17">
        <f t="shared" si="20"/>
        <v>0</v>
      </c>
      <c r="AB224" s="19">
        <f>SUM(U$213:AA$213)</f>
        <v>2.4499999999999997E-2</v>
      </c>
      <c r="AC224" s="67" t="str">
        <f>+F224</f>
        <v>SH</v>
      </c>
    </row>
    <row r="225" spans="1:29" x14ac:dyDescent="0.2">
      <c r="B225" s="103">
        <v>-1</v>
      </c>
      <c r="C225" s="9"/>
      <c r="F225" s="36"/>
      <c r="G225" s="17"/>
      <c r="H225" s="19"/>
      <c r="I225" s="19"/>
      <c r="J225" s="16"/>
      <c r="K225" s="16"/>
      <c r="L225" s="16"/>
      <c r="M225" s="8"/>
      <c r="N225" s="8"/>
      <c r="O225" s="8"/>
      <c r="P225" s="8"/>
      <c r="Q225" s="8"/>
      <c r="R225" s="8"/>
      <c r="S225" s="50">
        <v>0.1</v>
      </c>
      <c r="T225" s="17"/>
      <c r="U225" s="17"/>
      <c r="V225" s="17"/>
      <c r="W225" s="17"/>
      <c r="X225" s="17"/>
      <c r="Y225" s="17"/>
      <c r="Z225" s="17"/>
      <c r="AA225" s="17"/>
    </row>
    <row r="226" spans="1:29" x14ac:dyDescent="0.2">
      <c r="B226" s="103">
        <f>IF(AND('AES Indiana Bill Calc.'!$D$17="SH",'AES Indiana Bill Calc.'!$D$18="Yes 10%",'AES Indiana Bill Calc.'!$D$20="No"),'AES Indiana Bill Calc.'!$D$19,-1)</f>
        <v>-1</v>
      </c>
      <c r="C226" s="1" t="s">
        <v>164</v>
      </c>
      <c r="F226" s="36" t="s">
        <v>55</v>
      </c>
      <c r="G226" s="17">
        <f>SUM(J226:M226,O226:P226,R226:AA226)</f>
        <v>54.860000000000007</v>
      </c>
      <c r="H226" s="19" t="e">
        <f>IF(ISBLANK(B226),0,+#REF!/B226)</f>
        <v>#REF!</v>
      </c>
      <c r="I226" s="19"/>
      <c r="J226" s="16">
        <f>IF(ISBLANK(B226),0,+J$213)</f>
        <v>55</v>
      </c>
      <c r="K226" s="16">
        <f>ROUND($B226*K$213,2)</f>
        <v>-0.12</v>
      </c>
      <c r="L226" s="16"/>
      <c r="M226" s="8"/>
      <c r="N226" s="17">
        <f>SUM(K226:L226)</f>
        <v>-0.12</v>
      </c>
      <c r="O226" s="8"/>
      <c r="P226" s="8"/>
      <c r="Q226" s="8"/>
      <c r="R226" s="8"/>
      <c r="S226" s="17">
        <f>ROUND($B226*S$213*S225,2)</f>
        <v>0</v>
      </c>
      <c r="T226" s="17">
        <f t="shared" ref="T226:AA226" si="21">ROUND($B226*T$213,2)</f>
        <v>0</v>
      </c>
      <c r="U226" s="17">
        <f t="shared" si="21"/>
        <v>0</v>
      </c>
      <c r="V226" s="17">
        <f t="shared" si="21"/>
        <v>-0.01</v>
      </c>
      <c r="W226" s="17">
        <f t="shared" si="21"/>
        <v>0</v>
      </c>
      <c r="X226" s="17">
        <f t="shared" si="21"/>
        <v>-0.01</v>
      </c>
      <c r="Y226" s="17">
        <f t="shared" si="21"/>
        <v>0</v>
      </c>
      <c r="Z226" s="17">
        <f t="shared" si="21"/>
        <v>0</v>
      </c>
      <c r="AA226" s="17">
        <f t="shared" si="21"/>
        <v>0</v>
      </c>
      <c r="AB226" s="19">
        <f>SUM(U$213:AA$213)</f>
        <v>2.4499999999999997E-2</v>
      </c>
      <c r="AC226" s="67" t="str">
        <f>+F226</f>
        <v>SH</v>
      </c>
    </row>
    <row r="227" spans="1:29" x14ac:dyDescent="0.2">
      <c r="B227" s="103">
        <v>-1</v>
      </c>
      <c r="C227" s="9"/>
      <c r="F227" s="36"/>
      <c r="G227" s="17"/>
      <c r="H227" s="19"/>
      <c r="I227" s="19"/>
      <c r="J227" s="16"/>
      <c r="K227" s="16"/>
      <c r="L227" s="16"/>
      <c r="M227" s="8"/>
      <c r="N227" s="8"/>
      <c r="O227" s="8"/>
      <c r="P227" s="8"/>
      <c r="Q227" s="8"/>
      <c r="R227" s="8"/>
      <c r="S227" s="50">
        <v>1</v>
      </c>
      <c r="T227" s="17"/>
      <c r="U227" s="17"/>
      <c r="V227" s="8"/>
      <c r="W227" s="17"/>
      <c r="X227" s="17"/>
      <c r="Y227" s="17"/>
      <c r="Z227" s="17"/>
      <c r="AA227" s="17"/>
      <c r="AB227" s="19"/>
      <c r="AC227" s="67"/>
    </row>
    <row r="228" spans="1:29" x14ac:dyDescent="0.2">
      <c r="B228" s="103">
        <f>IF(AND('AES Indiana Bill Calc.'!$D$17="SH",'AES Indiana Bill Calc.'!$D$18="Yes 100%",'AES Indiana Bill Calc.'!$D$20="Yes Before 2018"),'AES Indiana Bill Calc.'!$D$19,-1)</f>
        <v>-1</v>
      </c>
      <c r="C228" s="1" t="s">
        <v>148</v>
      </c>
      <c r="F228" s="36" t="s">
        <v>175</v>
      </c>
      <c r="G228" s="17">
        <f>SUM(J228:M228,O228:P228,R228:AA228)</f>
        <v>54.870000000000005</v>
      </c>
      <c r="H228" s="19" t="e">
        <f>IF(ISBLANK(B228),0,+#REF!/B228)</f>
        <v>#REF!</v>
      </c>
      <c r="I228" s="19"/>
      <c r="J228" s="82">
        <f>IF(ISBLANK(B228),0,+J$213)</f>
        <v>55</v>
      </c>
      <c r="K228" s="82">
        <f>ROUND($B228*K$213,2)</f>
        <v>-0.12</v>
      </c>
      <c r="L228" s="82"/>
      <c r="M228" s="41"/>
      <c r="N228" s="17">
        <f>SUM(K228:L228)</f>
        <v>-0.12</v>
      </c>
      <c r="O228" s="41"/>
      <c r="P228" s="41"/>
      <c r="Q228" s="41"/>
      <c r="R228" s="41"/>
      <c r="S228" s="42">
        <f>ROUND($B228*S$213*S227,2)</f>
        <v>0</v>
      </c>
      <c r="T228" s="42">
        <f>ROUND($B228*T$213,2)</f>
        <v>0</v>
      </c>
      <c r="U228" s="42">
        <f>ROUND($B228*U$213,2)</f>
        <v>0</v>
      </c>
      <c r="V228" s="41">
        <f>ROUND($B228*V$204,2)</f>
        <v>0</v>
      </c>
      <c r="W228" s="42">
        <f>ROUND($B228*W$213,2)</f>
        <v>0</v>
      </c>
      <c r="X228" s="42">
        <f>ROUND($B228*X$213,2)</f>
        <v>-0.01</v>
      </c>
      <c r="Y228" s="42">
        <f>ROUND($B228*Y$213,2)</f>
        <v>0</v>
      </c>
      <c r="Z228" s="42">
        <f>ROUND($B228*Z$213,2)</f>
        <v>0</v>
      </c>
      <c r="AA228" s="42">
        <f>ROUND($B228*AA$213,2)</f>
        <v>0</v>
      </c>
      <c r="AB228" s="19">
        <f>SUM(U$213:AA$213)+(-V$213+V160)</f>
        <v>1.4498999999999998E-2</v>
      </c>
      <c r="AC228" s="94" t="str">
        <f>+F228</f>
        <v>SH7</v>
      </c>
    </row>
    <row r="229" spans="1:29" x14ac:dyDescent="0.2">
      <c r="B229" s="103">
        <v>-1</v>
      </c>
      <c r="C229" s="9"/>
      <c r="F229" s="36"/>
      <c r="G229" s="17"/>
      <c r="H229" s="19"/>
      <c r="I229" s="19"/>
      <c r="J229" s="16"/>
      <c r="K229" s="16"/>
      <c r="L229" s="16"/>
      <c r="M229" s="8"/>
      <c r="N229" s="8"/>
      <c r="O229" s="8"/>
      <c r="P229" s="8"/>
      <c r="Q229" s="8"/>
      <c r="R229" s="8"/>
      <c r="S229" s="50">
        <v>0.5</v>
      </c>
      <c r="T229" s="17"/>
      <c r="U229" s="17"/>
      <c r="V229" s="8"/>
      <c r="W229" s="17"/>
      <c r="X229" s="17"/>
      <c r="Y229" s="17"/>
      <c r="Z229" s="17"/>
      <c r="AA229" s="17"/>
      <c r="AB229" s="19"/>
      <c r="AC229" s="67"/>
    </row>
    <row r="230" spans="1:29" x14ac:dyDescent="0.2">
      <c r="B230" s="103">
        <f>IF(AND('AES Indiana Bill Calc.'!$D$17="SH",'AES Indiana Bill Calc.'!$D$18="Yes 50%",'AES Indiana Bill Calc.'!$D$20="Yes Before 2018"),'AES Indiana Bill Calc.'!$D$19,-1)</f>
        <v>-1</v>
      </c>
      <c r="C230" s="1" t="s">
        <v>149</v>
      </c>
      <c r="F230" s="36" t="s">
        <v>175</v>
      </c>
      <c r="G230" s="17">
        <f>SUM(J230:M230,O230:P230,R230:AA230)</f>
        <v>54.870000000000005</v>
      </c>
      <c r="H230" s="19" t="e">
        <f>IF(ISBLANK(B230),0,+#REF!/B230)</f>
        <v>#REF!</v>
      </c>
      <c r="I230" s="19"/>
      <c r="J230" s="82">
        <f>IF(ISBLANK(B230),0,+J$213)</f>
        <v>55</v>
      </c>
      <c r="K230" s="82">
        <f>ROUND($B230*K$213,2)</f>
        <v>-0.12</v>
      </c>
      <c r="L230" s="82"/>
      <c r="M230" s="41"/>
      <c r="N230" s="17">
        <f>SUM(K230:L230)</f>
        <v>-0.12</v>
      </c>
      <c r="O230" s="41"/>
      <c r="P230" s="41"/>
      <c r="Q230" s="41"/>
      <c r="R230" s="41"/>
      <c r="S230" s="42">
        <f>ROUND($B230*S$213*S229,2)</f>
        <v>0</v>
      </c>
      <c r="T230" s="42">
        <f>ROUND($B230*T$213,2)</f>
        <v>0</v>
      </c>
      <c r="U230" s="42">
        <f>ROUND($B230*U$213,2)</f>
        <v>0</v>
      </c>
      <c r="V230" s="41">
        <f>ROUND($B230*V$204,2)</f>
        <v>0</v>
      </c>
      <c r="W230" s="42">
        <f>ROUND($B230*W$213,2)</f>
        <v>0</v>
      </c>
      <c r="X230" s="42">
        <f>ROUND($B230*X$213,2)</f>
        <v>-0.01</v>
      </c>
      <c r="Y230" s="42">
        <f>ROUND($B230*Y$213,2)</f>
        <v>0</v>
      </c>
      <c r="Z230" s="42">
        <f>ROUND($B230*Z$213,2)</f>
        <v>0</v>
      </c>
      <c r="AA230" s="42">
        <f>ROUND($B230*AA$213,2)</f>
        <v>0</v>
      </c>
      <c r="AB230" s="19">
        <f>SUM(U$213:AA$213)+(-V$213+V162)</f>
        <v>1.4498999999999998E-2</v>
      </c>
      <c r="AC230" s="94" t="str">
        <f>+F230</f>
        <v>SH7</v>
      </c>
    </row>
    <row r="231" spans="1:29" x14ac:dyDescent="0.2">
      <c r="B231" s="103">
        <v>-1</v>
      </c>
      <c r="C231" s="9"/>
      <c r="F231" s="36"/>
      <c r="G231" s="17"/>
      <c r="H231" s="19"/>
      <c r="I231" s="19"/>
      <c r="J231" s="16"/>
      <c r="K231" s="16"/>
      <c r="L231" s="16"/>
      <c r="M231" s="8"/>
      <c r="N231" s="8"/>
      <c r="O231" s="8"/>
      <c r="P231" s="8"/>
      <c r="Q231" s="8"/>
      <c r="R231" s="8"/>
      <c r="S231" s="50">
        <v>0.25</v>
      </c>
      <c r="T231" s="17"/>
      <c r="U231" s="17"/>
      <c r="V231" s="8"/>
      <c r="W231" s="17"/>
      <c r="X231" s="17"/>
      <c r="Y231" s="17"/>
      <c r="Z231" s="17"/>
      <c r="AA231" s="17"/>
      <c r="AB231" s="19"/>
      <c r="AC231" s="67"/>
    </row>
    <row r="232" spans="1:29" x14ac:dyDescent="0.2">
      <c r="B232" s="103">
        <f>IF(AND('AES Indiana Bill Calc.'!$D$17="SH",'AES Indiana Bill Calc.'!$D$18="Yes 25%",'AES Indiana Bill Calc.'!$D$20="Yes Before 2018"),'AES Indiana Bill Calc.'!$D$19,-1)</f>
        <v>-1</v>
      </c>
      <c r="C232" s="1" t="s">
        <v>150</v>
      </c>
      <c r="F232" s="36" t="s">
        <v>175</v>
      </c>
      <c r="G232" s="17">
        <f>SUM(J232:M232,O232:P232,R232:AA232)</f>
        <v>54.870000000000005</v>
      </c>
      <c r="H232" s="19" t="e">
        <f>IF(ISBLANK(B232),0,+#REF!/B232)</f>
        <v>#REF!</v>
      </c>
      <c r="I232" s="19"/>
      <c r="J232" s="82">
        <f>IF(ISBLANK(B232),0,+J$213)</f>
        <v>55</v>
      </c>
      <c r="K232" s="82">
        <f>ROUND($B232*K$213,2)</f>
        <v>-0.12</v>
      </c>
      <c r="L232" s="82"/>
      <c r="M232" s="41"/>
      <c r="N232" s="17">
        <f>SUM(K232:L232)</f>
        <v>-0.12</v>
      </c>
      <c r="O232" s="41"/>
      <c r="P232" s="41"/>
      <c r="Q232" s="41"/>
      <c r="R232" s="41"/>
      <c r="S232" s="42">
        <f>ROUND($B232*S$213*S231,2)</f>
        <v>0</v>
      </c>
      <c r="T232" s="42">
        <f>ROUND($B232*T$213,2)</f>
        <v>0</v>
      </c>
      <c r="U232" s="42">
        <f>ROUND($B232*U$213,2)</f>
        <v>0</v>
      </c>
      <c r="V232" s="41">
        <f>ROUND($B232*V$204,2)</f>
        <v>0</v>
      </c>
      <c r="W232" s="42">
        <f>ROUND($B232*W$213,2)</f>
        <v>0</v>
      </c>
      <c r="X232" s="42">
        <f>ROUND($B232*X$213,2)</f>
        <v>-0.01</v>
      </c>
      <c r="Y232" s="42">
        <f>ROUND($B232*Y$213,2)</f>
        <v>0</v>
      </c>
      <c r="Z232" s="42">
        <f>ROUND($B232*Z$213,2)</f>
        <v>0</v>
      </c>
      <c r="AA232" s="42">
        <f>ROUND($B232*AA$213,2)</f>
        <v>0</v>
      </c>
      <c r="AB232" s="19">
        <f>SUM(U$213:AA$213)+(-V$213+V164)</f>
        <v>1.4498999999999998E-2</v>
      </c>
      <c r="AC232" s="94" t="str">
        <f>+F232</f>
        <v>SH7</v>
      </c>
    </row>
    <row r="233" spans="1:29" x14ac:dyDescent="0.2">
      <c r="B233" s="103">
        <v>-1</v>
      </c>
      <c r="C233" s="9"/>
      <c r="F233" s="36"/>
      <c r="G233" s="17"/>
      <c r="H233" s="19"/>
      <c r="I233" s="19"/>
      <c r="J233" s="16"/>
      <c r="K233" s="16"/>
      <c r="L233" s="16"/>
      <c r="M233" s="8"/>
      <c r="N233" s="8"/>
      <c r="O233" s="8"/>
      <c r="P233" s="8"/>
      <c r="Q233" s="8"/>
      <c r="R233" s="8"/>
      <c r="S233" s="50">
        <v>0.1</v>
      </c>
      <c r="T233" s="17"/>
      <c r="U233" s="17"/>
      <c r="V233" s="8"/>
      <c r="W233" s="17"/>
      <c r="X233" s="17"/>
      <c r="Y233" s="17"/>
      <c r="Z233" s="17"/>
      <c r="AA233" s="17"/>
      <c r="AB233" s="19"/>
      <c r="AC233" s="67"/>
    </row>
    <row r="234" spans="1:29" x14ac:dyDescent="0.2">
      <c r="B234" s="103">
        <f>IF(AND('AES Indiana Bill Calc.'!$D$17="SH",'AES Indiana Bill Calc.'!$D$18="Yes 10%",'AES Indiana Bill Calc.'!$D$20="Yes Before 2018"),'AES Indiana Bill Calc.'!$D$19,-1)</f>
        <v>-1</v>
      </c>
      <c r="C234" s="1" t="s">
        <v>164</v>
      </c>
      <c r="F234" s="36" t="s">
        <v>175</v>
      </c>
      <c r="G234" s="17">
        <f>SUM(J234:M234,O234:P234,R234:AA234)</f>
        <v>54.870000000000005</v>
      </c>
      <c r="H234" s="19" t="e">
        <f>IF(ISBLANK(B234),0,+#REF!/B234)</f>
        <v>#REF!</v>
      </c>
      <c r="I234" s="19"/>
      <c r="J234" s="82">
        <f>IF(ISBLANK(B234),0,+J$213)</f>
        <v>55</v>
      </c>
      <c r="K234" s="82">
        <f>ROUND($B234*K$213,2)</f>
        <v>-0.12</v>
      </c>
      <c r="L234" s="82"/>
      <c r="M234" s="41"/>
      <c r="N234" s="17">
        <f>SUM(K234:L234)</f>
        <v>-0.12</v>
      </c>
      <c r="O234" s="41"/>
      <c r="P234" s="41"/>
      <c r="Q234" s="41"/>
      <c r="R234" s="41"/>
      <c r="S234" s="42">
        <f>ROUND($B234*S$213*S233,2)</f>
        <v>0</v>
      </c>
      <c r="T234" s="42">
        <f>ROUND($B234*T$213,2)</f>
        <v>0</v>
      </c>
      <c r="U234" s="42">
        <f>ROUND($B234*U$213,2)</f>
        <v>0</v>
      </c>
      <c r="V234" s="41">
        <f>ROUND($B234*V$204,2)</f>
        <v>0</v>
      </c>
      <c r="W234" s="42">
        <f>ROUND($B234*W$213,2)</f>
        <v>0</v>
      </c>
      <c r="X234" s="42">
        <f>ROUND($B234*X$213,2)</f>
        <v>-0.01</v>
      </c>
      <c r="Y234" s="42">
        <f>ROUND($B234*Y$213,2)</f>
        <v>0</v>
      </c>
      <c r="Z234" s="42">
        <f>ROUND($B234*Z$213,2)</f>
        <v>0</v>
      </c>
      <c r="AA234" s="42">
        <f>ROUND($B234*AA$213,2)</f>
        <v>0</v>
      </c>
      <c r="AB234" s="19">
        <f>SUM(U$213:AA$213)+(-V$213+V166)</f>
        <v>1.4498999999999998E-2</v>
      </c>
      <c r="AC234" s="94" t="str">
        <f>+F234</f>
        <v>SH7</v>
      </c>
    </row>
    <row r="235" spans="1:29" x14ac:dyDescent="0.2">
      <c r="B235" s="103">
        <v>-1</v>
      </c>
      <c r="F235" s="36"/>
      <c r="G235" s="17"/>
      <c r="H235" s="19"/>
      <c r="I235" s="19"/>
      <c r="J235" s="16"/>
      <c r="K235" s="16"/>
      <c r="L235" s="16"/>
      <c r="M235" s="8"/>
      <c r="N235" s="8"/>
      <c r="O235" s="8"/>
      <c r="P235" s="8"/>
      <c r="Q235" s="8"/>
      <c r="R235" s="8"/>
      <c r="S235" s="50">
        <v>0</v>
      </c>
      <c r="T235" s="17"/>
      <c r="U235" s="17"/>
      <c r="V235" s="8"/>
      <c r="W235" s="17"/>
      <c r="X235" s="17"/>
      <c r="Y235" s="17"/>
      <c r="Z235" s="17"/>
      <c r="AA235" s="17"/>
      <c r="AB235" s="19"/>
      <c r="AC235" s="67"/>
    </row>
    <row r="236" spans="1:29" x14ac:dyDescent="0.2">
      <c r="B236" s="103">
        <f>IF(AND('AES Indiana Bill Calc.'!$D$17="SH",'AES Indiana Bill Calc.'!$D$18="No",'AES Indiana Bill Calc.'!$D$20="Yes Before 2018"),'AES Indiana Bill Calc.'!$D$19,-1)</f>
        <v>-1</v>
      </c>
      <c r="C236" s="1" t="s">
        <v>147</v>
      </c>
      <c r="F236" s="36" t="s">
        <v>175</v>
      </c>
      <c r="G236" s="17">
        <f>SUM(J236:M236,O236:P236,R236:AA236)</f>
        <v>54.870000000000005</v>
      </c>
      <c r="H236" s="19" t="e">
        <f>IF(ISBLANK(B236),0,+#REF!/B236)</f>
        <v>#REF!</v>
      </c>
      <c r="I236" s="19"/>
      <c r="J236" s="82">
        <f>IF(ISBLANK(B236),0,+J$213)</f>
        <v>55</v>
      </c>
      <c r="K236" s="82">
        <f>ROUND($B236*K$213,2)</f>
        <v>-0.12</v>
      </c>
      <c r="L236" s="82"/>
      <c r="M236" s="41"/>
      <c r="N236" s="17">
        <f>SUM(K236:L236)</f>
        <v>-0.12</v>
      </c>
      <c r="O236" s="41"/>
      <c r="P236" s="41"/>
      <c r="Q236" s="41"/>
      <c r="R236" s="41"/>
      <c r="S236" s="42">
        <f>ROUND($B236*S$213*S235,2)</f>
        <v>0</v>
      </c>
      <c r="T236" s="42">
        <f>ROUND($B236*T$213,2)</f>
        <v>0</v>
      </c>
      <c r="U236" s="42">
        <f>ROUND($B236*U$213,2)</f>
        <v>0</v>
      </c>
      <c r="V236" s="41">
        <f>ROUND($B236*V$204,2)</f>
        <v>0</v>
      </c>
      <c r="W236" s="42">
        <f>ROUND($B236*W$213,2)</f>
        <v>0</v>
      </c>
      <c r="X236" s="42">
        <f>ROUND($B236*X$213,2)</f>
        <v>-0.01</v>
      </c>
      <c r="Y236" s="42">
        <f>ROUND($B236*Y$213,2)</f>
        <v>0</v>
      </c>
      <c r="Z236" s="42">
        <f>ROUND($B236*Z$213,2)</f>
        <v>0</v>
      </c>
      <c r="AA236" s="42">
        <f>ROUND($B236*AA$213,2)</f>
        <v>0</v>
      </c>
      <c r="AB236" s="19">
        <f>SUM(U$213:AA$213)+(-V$213+V168)</f>
        <v>1.4498999999999998E-2</v>
      </c>
      <c r="AC236" s="94" t="str">
        <f>+F236</f>
        <v>SH7</v>
      </c>
    </row>
    <row r="237" spans="1:29" x14ac:dyDescent="0.2">
      <c r="B237" s="103">
        <v>-1</v>
      </c>
      <c r="C237" s="9"/>
      <c r="F237" s="36"/>
      <c r="G237" s="17"/>
      <c r="H237" s="19"/>
      <c r="I237" s="19"/>
      <c r="J237" s="16"/>
      <c r="K237" s="16"/>
      <c r="L237" s="16"/>
      <c r="M237" s="8"/>
      <c r="N237" s="8"/>
      <c r="O237" s="8"/>
      <c r="P237" s="8"/>
      <c r="Q237" s="8"/>
      <c r="R237" s="8"/>
      <c r="S237" s="50">
        <v>1</v>
      </c>
      <c r="T237" s="17"/>
      <c r="U237" s="17"/>
      <c r="V237" s="8"/>
      <c r="W237" s="17"/>
      <c r="X237" s="17"/>
      <c r="Y237" s="17"/>
      <c r="Z237" s="17"/>
      <c r="AA237" s="17"/>
      <c r="AB237" s="19"/>
      <c r="AC237" s="67"/>
    </row>
    <row r="238" spans="1:29" x14ac:dyDescent="0.2">
      <c r="A238" s="96"/>
      <c r="B238" s="103">
        <f>IF(AND('AES Indiana Bill Calc.'!$D$17="SH",'AES Indiana Bill Calc.'!$D$18="Yes 100%",'AES Indiana Bill Calc.'!$D$20="Yes 2018"),'AES Indiana Bill Calc.'!$D$19,-1)</f>
        <v>-1</v>
      </c>
      <c r="C238" s="1" t="s">
        <v>148</v>
      </c>
      <c r="F238" s="36" t="s">
        <v>176</v>
      </c>
      <c r="G238" s="17">
        <f>SUM(J238:M238,O238:P238,R238:AA238)</f>
        <v>54.870000000000005</v>
      </c>
      <c r="H238" s="19" t="e">
        <f>IF(ISBLANK(B238),0,+#REF!/B238)</f>
        <v>#REF!</v>
      </c>
      <c r="I238" s="19"/>
      <c r="J238" s="82">
        <f>IF(ISBLANK(B238),0,+J$213)</f>
        <v>55</v>
      </c>
      <c r="K238" s="82">
        <f>ROUND($B238*K$213,2)</f>
        <v>-0.12</v>
      </c>
      <c r="L238" s="82"/>
      <c r="M238" s="41"/>
      <c r="N238" s="17">
        <f>SUM(K238:L238)</f>
        <v>-0.12</v>
      </c>
      <c r="O238" s="41"/>
      <c r="P238" s="41"/>
      <c r="Q238" s="41"/>
      <c r="R238" s="41"/>
      <c r="S238" s="42">
        <f>ROUND($B238*S$213*S237,2)</f>
        <v>0</v>
      </c>
      <c r="T238" s="42">
        <f>ROUND($B238*T$213,2)</f>
        <v>0</v>
      </c>
      <c r="U238" s="42">
        <f>ROUND($B238*U$213,2)</f>
        <v>0</v>
      </c>
      <c r="V238" s="41">
        <f>ROUND($B238*V$205,2)</f>
        <v>0</v>
      </c>
      <c r="W238" s="42">
        <f>ROUND($B238*W$213,2)</f>
        <v>0</v>
      </c>
      <c r="X238" s="42">
        <f>ROUND($B238*X$213,2)</f>
        <v>-0.01</v>
      </c>
      <c r="Y238" s="42">
        <f>ROUND($B238*Y$213,2)</f>
        <v>0</v>
      </c>
      <c r="Z238" s="42">
        <f>ROUND($B238*Z$213,2)</f>
        <v>0</v>
      </c>
      <c r="AA238" s="42">
        <f>ROUND($B238*AA$213,2)</f>
        <v>0</v>
      </c>
      <c r="AB238" s="19">
        <f>SUM(U$213:AA$213)+(-V$213+V204)</f>
        <v>1.4498999999999998E-2</v>
      </c>
      <c r="AC238" s="94" t="str">
        <f>+F238</f>
        <v>SH8</v>
      </c>
    </row>
    <row r="239" spans="1:29" x14ac:dyDescent="0.2">
      <c r="B239" s="103">
        <v>-1</v>
      </c>
      <c r="C239" s="9"/>
      <c r="F239" s="36"/>
      <c r="G239" s="17"/>
      <c r="H239" s="19"/>
      <c r="I239" s="19"/>
      <c r="J239" s="16"/>
      <c r="K239" s="16"/>
      <c r="L239" s="16"/>
      <c r="M239" s="8"/>
      <c r="N239" s="8"/>
      <c r="O239" s="8"/>
      <c r="P239" s="8"/>
      <c r="Q239" s="8"/>
      <c r="R239" s="8"/>
      <c r="S239" s="50">
        <v>0.5</v>
      </c>
      <c r="T239" s="17"/>
      <c r="U239" s="17"/>
      <c r="V239" s="8"/>
      <c r="W239" s="17"/>
      <c r="X239" s="17"/>
      <c r="Y239" s="17"/>
      <c r="Z239" s="17"/>
      <c r="AA239" s="17"/>
      <c r="AB239" s="19"/>
      <c r="AC239" s="67"/>
    </row>
    <row r="240" spans="1:29" x14ac:dyDescent="0.2">
      <c r="A240" s="96"/>
      <c r="B240" s="103">
        <f>IF(AND('AES Indiana Bill Calc.'!$D$17="SH",'AES Indiana Bill Calc.'!$D$18="Yes 50%",'AES Indiana Bill Calc.'!$D$20="Yes 2018"),'AES Indiana Bill Calc.'!$D$19,-1)</f>
        <v>-1</v>
      </c>
      <c r="C240" s="1" t="s">
        <v>149</v>
      </c>
      <c r="F240" s="36" t="s">
        <v>176</v>
      </c>
      <c r="G240" s="17">
        <f>SUM(J240:M240,O240:P240,R240:AA240)</f>
        <v>54.870000000000005</v>
      </c>
      <c r="H240" s="19" t="e">
        <f>IF(ISBLANK(B240),0,+#REF!/B240)</f>
        <v>#REF!</v>
      </c>
      <c r="I240" s="19"/>
      <c r="J240" s="82">
        <f>IF(ISBLANK(B240),0,+J$213)</f>
        <v>55</v>
      </c>
      <c r="K240" s="82">
        <f>ROUND($B240*K$213,2)</f>
        <v>-0.12</v>
      </c>
      <c r="L240" s="82"/>
      <c r="M240" s="41"/>
      <c r="N240" s="17">
        <f>SUM(K240:L240)</f>
        <v>-0.12</v>
      </c>
      <c r="O240" s="41"/>
      <c r="P240" s="41"/>
      <c r="Q240" s="41"/>
      <c r="R240" s="41"/>
      <c r="S240" s="42">
        <f>ROUND($B240*S$213*S239,2)</f>
        <v>0</v>
      </c>
      <c r="T240" s="42">
        <f>ROUND($B240*T$213,2)</f>
        <v>0</v>
      </c>
      <c r="U240" s="42">
        <f>ROUND($B240*U$213,2)</f>
        <v>0</v>
      </c>
      <c r="V240" s="41">
        <f>ROUND($B240*V$205,2)</f>
        <v>0</v>
      </c>
      <c r="W240" s="42">
        <f>ROUND($B240*W$213,2)</f>
        <v>0</v>
      </c>
      <c r="X240" s="42">
        <f>ROUND($B240*X$213,2)</f>
        <v>-0.01</v>
      </c>
      <c r="Y240" s="42">
        <f>ROUND($B240*Y$213,2)</f>
        <v>0</v>
      </c>
      <c r="Z240" s="42">
        <f>ROUND($B240*Z$213,2)</f>
        <v>0</v>
      </c>
      <c r="AA240" s="42">
        <f>ROUND($B240*AA$213,2)</f>
        <v>0</v>
      </c>
      <c r="AB240" s="19">
        <f>SUM(U$213:AA$213)+(-V$213+V206)</f>
        <v>1.4504999999999999E-2</v>
      </c>
      <c r="AC240" s="94" t="str">
        <f>+F240</f>
        <v>SH8</v>
      </c>
    </row>
    <row r="241" spans="1:29" x14ac:dyDescent="0.2">
      <c r="B241" s="103">
        <v>-1</v>
      </c>
      <c r="C241" s="9"/>
      <c r="F241" s="36"/>
      <c r="G241" s="17"/>
      <c r="H241" s="19"/>
      <c r="I241" s="19"/>
      <c r="J241" s="16"/>
      <c r="K241" s="16"/>
      <c r="L241" s="16"/>
      <c r="M241" s="8"/>
      <c r="N241" s="8"/>
      <c r="O241" s="8"/>
      <c r="P241" s="8"/>
      <c r="Q241" s="8"/>
      <c r="R241" s="8"/>
      <c r="S241" s="50">
        <v>0.25</v>
      </c>
      <c r="T241" s="17"/>
      <c r="U241" s="17"/>
      <c r="V241" s="8"/>
      <c r="W241" s="17"/>
      <c r="X241" s="17"/>
      <c r="Y241" s="17"/>
      <c r="Z241" s="17"/>
      <c r="AA241" s="17"/>
      <c r="AB241" s="19"/>
      <c r="AC241" s="67"/>
    </row>
    <row r="242" spans="1:29" x14ac:dyDescent="0.2">
      <c r="A242" s="96"/>
      <c r="B242" s="103">
        <f>IF(AND('AES Indiana Bill Calc.'!$D$17="SH",'AES Indiana Bill Calc.'!$D$18="Yes 25%",'AES Indiana Bill Calc.'!$D$20="Yes 2018"),'AES Indiana Bill Calc.'!$D$19,-1)</f>
        <v>-1</v>
      </c>
      <c r="C242" s="1" t="s">
        <v>150</v>
      </c>
      <c r="F242" s="36" t="s">
        <v>176</v>
      </c>
      <c r="G242" s="17">
        <f>SUM(J242:M242,O242:P242,R242:AA242)</f>
        <v>54.870000000000005</v>
      </c>
      <c r="H242" s="19" t="e">
        <f>IF(ISBLANK(B242),0,+#REF!/B242)</f>
        <v>#REF!</v>
      </c>
      <c r="I242" s="19"/>
      <c r="J242" s="82">
        <f>IF(ISBLANK(B242),0,+J$213)</f>
        <v>55</v>
      </c>
      <c r="K242" s="82">
        <f>ROUND($B242*K$213,2)</f>
        <v>-0.12</v>
      </c>
      <c r="L242" s="82"/>
      <c r="M242" s="41"/>
      <c r="N242" s="17">
        <f>SUM(K242:L242)</f>
        <v>-0.12</v>
      </c>
      <c r="O242" s="41"/>
      <c r="P242" s="41"/>
      <c r="Q242" s="41"/>
      <c r="R242" s="41"/>
      <c r="S242" s="42">
        <f>ROUND($B242*S$213*S241,2)</f>
        <v>0</v>
      </c>
      <c r="T242" s="42">
        <f>ROUND($B242*T$213,2)</f>
        <v>0</v>
      </c>
      <c r="U242" s="42">
        <f>ROUND($B242*U$213,2)</f>
        <v>0</v>
      </c>
      <c r="V242" s="41">
        <f>ROUND($B242*V$205,2)</f>
        <v>0</v>
      </c>
      <c r="W242" s="42">
        <f>ROUND($B242*W$213,2)</f>
        <v>0</v>
      </c>
      <c r="X242" s="42">
        <f>ROUND($B242*X$213,2)</f>
        <v>-0.01</v>
      </c>
      <c r="Y242" s="42">
        <f>ROUND($B242*Y$213,2)</f>
        <v>0</v>
      </c>
      <c r="Z242" s="42">
        <f>ROUND($B242*Z$213,2)</f>
        <v>0</v>
      </c>
      <c r="AA242" s="42">
        <f>ROUND($B242*AA$213,2)</f>
        <v>0</v>
      </c>
      <c r="AB242" s="19">
        <f>SUM(U$213:AA$213)+(-V$213+V208)</f>
        <v>1.4494999999999997E-2</v>
      </c>
      <c r="AC242" s="94" t="str">
        <f>+F242</f>
        <v>SH8</v>
      </c>
    </row>
    <row r="243" spans="1:29" x14ac:dyDescent="0.2">
      <c r="B243" s="103">
        <v>-1</v>
      </c>
      <c r="C243" s="9"/>
      <c r="F243" s="36"/>
      <c r="G243" s="17"/>
      <c r="H243" s="19"/>
      <c r="I243" s="19"/>
      <c r="J243" s="16"/>
      <c r="K243" s="16"/>
      <c r="L243" s="16"/>
      <c r="M243" s="8"/>
      <c r="N243" s="8"/>
      <c r="O243" s="8"/>
      <c r="P243" s="8"/>
      <c r="Q243" s="8"/>
      <c r="R243" s="8"/>
      <c r="S243" s="50">
        <v>0.1</v>
      </c>
      <c r="T243" s="17"/>
      <c r="U243" s="17"/>
      <c r="V243" s="8"/>
      <c r="W243" s="17"/>
      <c r="X243" s="17"/>
      <c r="Y243" s="17"/>
      <c r="Z243" s="17"/>
      <c r="AA243" s="17"/>
      <c r="AB243" s="19"/>
      <c r="AC243" s="67"/>
    </row>
    <row r="244" spans="1:29" x14ac:dyDescent="0.2">
      <c r="A244" s="96"/>
      <c r="B244" s="103">
        <f>IF(AND('AES Indiana Bill Calc.'!$D$17="SH",'AES Indiana Bill Calc.'!$D$18="Yes 10%",'AES Indiana Bill Calc.'!$D$20="Yes 2018"),'AES Indiana Bill Calc.'!$D$19,-1)</f>
        <v>-1</v>
      </c>
      <c r="C244" s="1" t="s">
        <v>164</v>
      </c>
      <c r="F244" s="36" t="s">
        <v>176</v>
      </c>
      <c r="G244" s="17">
        <f>SUM(J244:M244,O244:P244,R244:AA244)</f>
        <v>54.870000000000005</v>
      </c>
      <c r="H244" s="19" t="e">
        <f>IF(ISBLANK(B244),0,+#REF!/B244)</f>
        <v>#REF!</v>
      </c>
      <c r="I244" s="19"/>
      <c r="J244" s="82">
        <f>IF(ISBLANK(B244),0,+J$213)</f>
        <v>55</v>
      </c>
      <c r="K244" s="82">
        <f>ROUND($B244*K$213,2)</f>
        <v>-0.12</v>
      </c>
      <c r="L244" s="82"/>
      <c r="M244" s="41"/>
      <c r="N244" s="17">
        <f>SUM(K244:L244)</f>
        <v>-0.12</v>
      </c>
      <c r="O244" s="41"/>
      <c r="P244" s="41"/>
      <c r="Q244" s="41"/>
      <c r="R244" s="41"/>
      <c r="S244" s="42">
        <f>ROUND($B244*S$213*S243,2)</f>
        <v>0</v>
      </c>
      <c r="T244" s="42">
        <f>ROUND($B244*T$213,2)</f>
        <v>0</v>
      </c>
      <c r="U244" s="42">
        <f>ROUND($B244*U$213,2)</f>
        <v>0</v>
      </c>
      <c r="V244" s="41">
        <f>ROUND($B244*V$205,2)</f>
        <v>0</v>
      </c>
      <c r="W244" s="42">
        <f>ROUND($B244*W$213,2)</f>
        <v>0</v>
      </c>
      <c r="X244" s="42">
        <f>ROUND($B244*X$213,2)</f>
        <v>-0.01</v>
      </c>
      <c r="Y244" s="42">
        <f>ROUND($B244*Y$213,2)</f>
        <v>0</v>
      </c>
      <c r="Z244" s="42">
        <f>ROUND($B244*Z$213,2)</f>
        <v>0</v>
      </c>
      <c r="AA244" s="42">
        <f>ROUND($B244*AA$213,2)</f>
        <v>0</v>
      </c>
      <c r="AB244" s="19">
        <f>SUM(U$213:AA$213)+(-V$213+V214)</f>
        <v>1.4498999999999998E-2</v>
      </c>
      <c r="AC244" s="94" t="str">
        <f>+F244</f>
        <v>SH8</v>
      </c>
    </row>
    <row r="245" spans="1:29" x14ac:dyDescent="0.2">
      <c r="B245" s="103">
        <v>-1</v>
      </c>
      <c r="C245" s="9"/>
      <c r="F245" s="36"/>
      <c r="G245" s="17"/>
      <c r="H245" s="19"/>
      <c r="I245" s="19"/>
      <c r="J245" s="16"/>
      <c r="K245" s="16"/>
      <c r="L245" s="16"/>
      <c r="M245" s="8"/>
      <c r="N245" s="8"/>
      <c r="O245" s="8"/>
      <c r="P245" s="8"/>
      <c r="Q245" s="8"/>
      <c r="R245" s="8"/>
      <c r="S245" s="50">
        <v>0</v>
      </c>
      <c r="T245" s="17"/>
      <c r="U245" s="17"/>
      <c r="V245" s="8"/>
      <c r="W245" s="17"/>
      <c r="X245" s="17"/>
      <c r="Y245" s="17"/>
      <c r="Z245" s="17"/>
      <c r="AA245" s="17"/>
      <c r="AB245" s="19"/>
      <c r="AC245" s="67"/>
    </row>
    <row r="246" spans="1:29" x14ac:dyDescent="0.2">
      <c r="A246" s="96"/>
      <c r="B246" s="103">
        <f>IF(AND('AES Indiana Bill Calc.'!$D$17="SH",'AES Indiana Bill Calc.'!$D$18="No",'AES Indiana Bill Calc.'!$D$20="Yes 2018"),'AES Indiana Bill Calc.'!$D$19,-1)</f>
        <v>-1</v>
      </c>
      <c r="C246" s="1" t="s">
        <v>147</v>
      </c>
      <c r="F246" s="36" t="s">
        <v>176</v>
      </c>
      <c r="G246" s="17">
        <f>SUM(J246:M246,O246:P246,R246:AA246)</f>
        <v>54.870000000000005</v>
      </c>
      <c r="H246" s="19" t="e">
        <f>IF(ISBLANK(B246),0,+#REF!/B246)</f>
        <v>#REF!</v>
      </c>
      <c r="I246" s="19"/>
      <c r="J246" s="82">
        <f>IF(ISBLANK(B246),0,+J$213)</f>
        <v>55</v>
      </c>
      <c r="K246" s="82">
        <f>ROUND($B246*K$213,2)</f>
        <v>-0.12</v>
      </c>
      <c r="L246" s="82"/>
      <c r="M246" s="41"/>
      <c r="N246" s="17">
        <f>SUM(K246:L246)</f>
        <v>-0.12</v>
      </c>
      <c r="O246" s="41"/>
      <c r="P246" s="41"/>
      <c r="Q246" s="41"/>
      <c r="R246" s="41"/>
      <c r="S246" s="42">
        <f>ROUND($B246*S$213*S245,2)</f>
        <v>0</v>
      </c>
      <c r="T246" s="42">
        <f>ROUND($B246*T$213,2)</f>
        <v>0</v>
      </c>
      <c r="U246" s="42">
        <f>ROUND($B246*U$213,2)</f>
        <v>0</v>
      </c>
      <c r="V246" s="41">
        <f>ROUND($B246*V$205,2)</f>
        <v>0</v>
      </c>
      <c r="W246" s="42">
        <f>ROUND($B246*W$213,2)</f>
        <v>0</v>
      </c>
      <c r="X246" s="42">
        <f>ROUND($B246*X$213,2)</f>
        <v>-0.01</v>
      </c>
      <c r="Y246" s="42">
        <f>ROUND($B246*Y$213,2)</f>
        <v>0</v>
      </c>
      <c r="Z246" s="42">
        <f>ROUND($B246*Z$213,2)</f>
        <v>0</v>
      </c>
      <c r="AA246" s="42">
        <f>ROUND($B246*AA$213,2)</f>
        <v>0</v>
      </c>
      <c r="AB246" s="19" t="e">
        <f>SUM(U$213:AA$213)+(-V$213+V216)</f>
        <v>#VALUE!</v>
      </c>
      <c r="AC246" s="94" t="str">
        <f>+F246</f>
        <v>SH8</v>
      </c>
    </row>
    <row r="247" spans="1:29" x14ac:dyDescent="0.2">
      <c r="A247" s="96"/>
      <c r="B247" s="97">
        <v>-1</v>
      </c>
      <c r="C247" s="97"/>
      <c r="F247" s="36"/>
      <c r="G247" s="98"/>
      <c r="H247" s="19"/>
      <c r="I247" s="19"/>
      <c r="J247" s="104"/>
      <c r="K247" s="104"/>
      <c r="L247" s="104"/>
      <c r="M247" s="87"/>
      <c r="N247" s="87"/>
      <c r="O247" s="87"/>
      <c r="P247" s="87"/>
      <c r="Q247" s="87"/>
      <c r="R247" s="87"/>
      <c r="S247" s="50">
        <v>1</v>
      </c>
      <c r="T247" s="98"/>
      <c r="U247" s="98"/>
      <c r="V247" s="87"/>
      <c r="W247" s="98"/>
      <c r="X247" s="98"/>
      <c r="Y247" s="98"/>
      <c r="Z247" s="98"/>
      <c r="AA247" s="98"/>
      <c r="AB247" s="19"/>
      <c r="AC247" s="105"/>
    </row>
    <row r="248" spans="1:29" x14ac:dyDescent="0.2">
      <c r="A248" s="96"/>
      <c r="B248" s="103">
        <f>IF(AND('AES Indiana Bill Calc.'!$D$17="SH",'AES Indiana Bill Calc.'!$D$18="Yes 100%",'AES Indiana Bill Calc.'!$D$20="Yes 2019"),'AES Indiana Bill Calc.'!$D$19,-1)</f>
        <v>-1</v>
      </c>
      <c r="C248" s="1" t="s">
        <v>148</v>
      </c>
      <c r="F248" s="36" t="s">
        <v>177</v>
      </c>
      <c r="G248" s="17">
        <f>SUM(J248:M248,O248:P248,R248:AA248)</f>
        <v>54.870000000000005</v>
      </c>
      <c r="H248" s="19" t="e">
        <f>IF(ISBLANK(B248),0,+#REF!/B248)</f>
        <v>#REF!</v>
      </c>
      <c r="I248" s="19"/>
      <c r="J248" s="82">
        <f>IF(ISBLANK(B248),0,+J$213)</f>
        <v>55</v>
      </c>
      <c r="K248" s="82">
        <f>ROUND($B248*K$213,2)</f>
        <v>-0.12</v>
      </c>
      <c r="L248" s="82"/>
      <c r="M248" s="41"/>
      <c r="N248" s="17">
        <f>SUM(K248:L248)</f>
        <v>-0.12</v>
      </c>
      <c r="O248" s="41"/>
      <c r="P248" s="41"/>
      <c r="Q248" s="41"/>
      <c r="R248" s="41"/>
      <c r="S248" s="42">
        <f>ROUND($B248*S$213*S247,2)</f>
        <v>0</v>
      </c>
      <c r="T248" s="42">
        <f>ROUND($B248*T$213,2)</f>
        <v>0</v>
      </c>
      <c r="U248" s="42">
        <f>ROUND($B248*U$213,2)</f>
        <v>0</v>
      </c>
      <c r="V248" s="41">
        <f>ROUND($B248*V$206,2)</f>
        <v>0</v>
      </c>
      <c r="W248" s="42">
        <f>ROUND($B248*W$213,2)</f>
        <v>0</v>
      </c>
      <c r="X248" s="42">
        <f>ROUND($B248*X$213,2)</f>
        <v>-0.01</v>
      </c>
      <c r="Y248" s="42">
        <f>ROUND($B248*Y$213,2)</f>
        <v>0</v>
      </c>
      <c r="Z248" s="42">
        <f>ROUND($B248*Z$213,2)</f>
        <v>0</v>
      </c>
      <c r="AA248" s="42">
        <f>ROUND($B248*AA$213,2)</f>
        <v>0</v>
      </c>
      <c r="AB248" s="19">
        <f>SUM(U$213:AA$213)+(-V$213+V213)</f>
        <v>2.4499999999999997E-2</v>
      </c>
      <c r="AC248" s="94" t="str">
        <f>+F248</f>
        <v>SH9</v>
      </c>
    </row>
    <row r="249" spans="1:29" x14ac:dyDescent="0.2">
      <c r="A249" s="96"/>
      <c r="B249" s="97">
        <v>-1</v>
      </c>
      <c r="C249" s="9"/>
      <c r="F249" s="36"/>
      <c r="G249" s="98"/>
      <c r="H249" s="19"/>
      <c r="I249" s="19"/>
      <c r="J249" s="104"/>
      <c r="K249" s="104"/>
      <c r="L249" s="104"/>
      <c r="M249" s="87"/>
      <c r="N249" s="87"/>
      <c r="O249" s="87"/>
      <c r="P249" s="87"/>
      <c r="Q249" s="87"/>
      <c r="R249" s="87"/>
      <c r="S249" s="50">
        <v>0.5</v>
      </c>
      <c r="T249" s="98"/>
      <c r="U249" s="98"/>
      <c r="V249" s="87"/>
      <c r="W249" s="98"/>
      <c r="X249" s="98"/>
      <c r="Y249" s="98"/>
      <c r="Z249" s="98"/>
      <c r="AA249" s="98"/>
      <c r="AB249" s="19"/>
      <c r="AC249" s="105"/>
    </row>
    <row r="250" spans="1:29" x14ac:dyDescent="0.2">
      <c r="A250" s="96"/>
      <c r="B250" s="103">
        <f>IF(AND('AES Indiana Bill Calc.'!$D$17="SH",'AES Indiana Bill Calc.'!$D$18="Yes 50%",'AES Indiana Bill Calc.'!$D$20="Yes 2019"),'AES Indiana Bill Calc.'!$D$19,-1)</f>
        <v>-1</v>
      </c>
      <c r="C250" s="1" t="s">
        <v>149</v>
      </c>
      <c r="F250" s="36" t="s">
        <v>177</v>
      </c>
      <c r="G250" s="17">
        <f>SUM(J250:M250,O250:P250,R250:AA250)</f>
        <v>54.870000000000005</v>
      </c>
      <c r="H250" s="19" t="e">
        <f>IF(ISBLANK(B250),0,+#REF!/B250)</f>
        <v>#REF!</v>
      </c>
      <c r="I250" s="19"/>
      <c r="J250" s="82">
        <f>IF(ISBLANK(B250),0,+J$213)</f>
        <v>55</v>
      </c>
      <c r="K250" s="82">
        <f>ROUND($B250*K$213,2)</f>
        <v>-0.12</v>
      </c>
      <c r="L250" s="82"/>
      <c r="M250" s="41"/>
      <c r="N250" s="17">
        <f>SUM(K250:L250)</f>
        <v>-0.12</v>
      </c>
      <c r="O250" s="41"/>
      <c r="P250" s="41"/>
      <c r="Q250" s="41"/>
      <c r="R250" s="41"/>
      <c r="S250" s="42">
        <f>ROUND($B250*S$213*S249,2)</f>
        <v>0</v>
      </c>
      <c r="T250" s="42">
        <f>ROUND($B250*T$213,2)</f>
        <v>0</v>
      </c>
      <c r="U250" s="42">
        <f>ROUND($B250*U$213,2)</f>
        <v>0</v>
      </c>
      <c r="V250" s="41">
        <f>ROUND($B250*V$206,2)</f>
        <v>0</v>
      </c>
      <c r="W250" s="42">
        <f>ROUND($B250*W$213,2)</f>
        <v>0</v>
      </c>
      <c r="X250" s="42">
        <f>ROUND($B250*X$213,2)</f>
        <v>-0.01</v>
      </c>
      <c r="Y250" s="42">
        <f>ROUND($B250*Y$213,2)</f>
        <v>0</v>
      </c>
      <c r="Z250" s="42">
        <f>ROUND($B250*Z$213,2)</f>
        <v>0</v>
      </c>
      <c r="AA250" s="42">
        <f>ROUND($B250*AA$213,2)</f>
        <v>0</v>
      </c>
      <c r="AB250" s="19">
        <f>SUM(U$213:AA$213)+(-V$213+V215)</f>
        <v>22.014499000000001</v>
      </c>
      <c r="AC250" s="94" t="str">
        <f>+F250</f>
        <v>SH9</v>
      </c>
    </row>
    <row r="251" spans="1:29" x14ac:dyDescent="0.2">
      <c r="A251" s="96"/>
      <c r="B251" s="97">
        <v>-1</v>
      </c>
      <c r="C251" s="9"/>
      <c r="F251" s="36"/>
      <c r="G251" s="98"/>
      <c r="H251" s="19"/>
      <c r="I251" s="19"/>
      <c r="J251" s="104"/>
      <c r="K251" s="104"/>
      <c r="L251" s="104"/>
      <c r="M251" s="87"/>
      <c r="N251" s="87"/>
      <c r="O251" s="87"/>
      <c r="P251" s="87"/>
      <c r="Q251" s="87"/>
      <c r="R251" s="87"/>
      <c r="S251" s="50">
        <v>0.25</v>
      </c>
      <c r="T251" s="98"/>
      <c r="U251" s="98"/>
      <c r="V251" s="87"/>
      <c r="W251" s="98"/>
      <c r="X251" s="98"/>
      <c r="Y251" s="98"/>
      <c r="Z251" s="98"/>
      <c r="AA251" s="98"/>
      <c r="AB251" s="19"/>
      <c r="AC251" s="105"/>
    </row>
    <row r="252" spans="1:29" x14ac:dyDescent="0.2">
      <c r="A252" s="96"/>
      <c r="B252" s="103">
        <f>IF(AND('AES Indiana Bill Calc.'!$D$17="SH",'AES Indiana Bill Calc.'!$D$18="Yes 25%",'AES Indiana Bill Calc.'!$D$20="Yes 2019"),'AES Indiana Bill Calc.'!$D$19,-1)</f>
        <v>-1</v>
      </c>
      <c r="C252" s="1" t="s">
        <v>150</v>
      </c>
      <c r="F252" s="36" t="s">
        <v>177</v>
      </c>
      <c r="G252" s="17">
        <f>SUM(J252:M252,O252:P252,R252:AA252)</f>
        <v>54.870000000000005</v>
      </c>
      <c r="H252" s="19" t="e">
        <f>IF(ISBLANK(B252),0,+#REF!/B252)</f>
        <v>#REF!</v>
      </c>
      <c r="I252" s="19"/>
      <c r="J252" s="82">
        <f>IF(ISBLANK(B252),0,+J$213)</f>
        <v>55</v>
      </c>
      <c r="K252" s="82">
        <f>ROUND($B252*K$213,2)</f>
        <v>-0.12</v>
      </c>
      <c r="L252" s="82"/>
      <c r="M252" s="41"/>
      <c r="N252" s="17">
        <f>SUM(K252:L252)</f>
        <v>-0.12</v>
      </c>
      <c r="O252" s="41"/>
      <c r="P252" s="41"/>
      <c r="Q252" s="41"/>
      <c r="R252" s="41"/>
      <c r="S252" s="42">
        <f>ROUND($B252*S$213*S251,2)</f>
        <v>0</v>
      </c>
      <c r="T252" s="42">
        <f>ROUND($B252*T$213,2)</f>
        <v>0</v>
      </c>
      <c r="U252" s="42">
        <f>ROUND($B252*U$213,2)</f>
        <v>0</v>
      </c>
      <c r="V252" s="41">
        <f>ROUND($B252*V$206,2)</f>
        <v>0</v>
      </c>
      <c r="W252" s="42">
        <f>ROUND($B252*W$213,2)</f>
        <v>0</v>
      </c>
      <c r="X252" s="42">
        <f>ROUND($B252*X$213,2)</f>
        <v>-0.01</v>
      </c>
      <c r="Y252" s="42">
        <f>ROUND($B252*Y$213,2)</f>
        <v>0</v>
      </c>
      <c r="Z252" s="42">
        <f>ROUND($B252*Z$213,2)</f>
        <v>0</v>
      </c>
      <c r="AA252" s="42">
        <f>ROUND($B252*AA$213,2)</f>
        <v>0</v>
      </c>
      <c r="AB252" s="19">
        <f>SUM(U$213:AA$213)+(-V$213+V217)</f>
        <v>1.4498999999999998E-2</v>
      </c>
      <c r="AC252" s="94" t="str">
        <f>+F252</f>
        <v>SH9</v>
      </c>
    </row>
    <row r="253" spans="1:29" x14ac:dyDescent="0.2">
      <c r="A253" s="96"/>
      <c r="B253" s="97">
        <v>-1</v>
      </c>
      <c r="C253" s="9"/>
      <c r="F253" s="36"/>
      <c r="G253" s="98"/>
      <c r="H253" s="19"/>
      <c r="I253" s="19"/>
      <c r="J253" s="104"/>
      <c r="K253" s="104"/>
      <c r="L253" s="104"/>
      <c r="M253" s="87"/>
      <c r="N253" s="87"/>
      <c r="O253" s="87"/>
      <c r="P253" s="87"/>
      <c r="Q253" s="87"/>
      <c r="R253" s="87"/>
      <c r="S253" s="50">
        <v>0.1</v>
      </c>
      <c r="T253" s="98"/>
      <c r="U253" s="98"/>
      <c r="V253" s="87"/>
      <c r="W253" s="98"/>
      <c r="X253" s="98"/>
      <c r="Y253" s="98"/>
      <c r="Z253" s="98"/>
      <c r="AA253" s="98"/>
      <c r="AB253" s="19"/>
      <c r="AC253" s="105"/>
    </row>
    <row r="254" spans="1:29" x14ac:dyDescent="0.2">
      <c r="A254" s="96"/>
      <c r="B254" s="103">
        <f>IF(AND('AES Indiana Bill Calc.'!$D$17="SH",'AES Indiana Bill Calc.'!$D$18="Yes 10%",'AES Indiana Bill Calc.'!$D$20="Yes 2019"),'AES Indiana Bill Calc.'!$D$19,-1)</f>
        <v>-1</v>
      </c>
      <c r="C254" s="1" t="s">
        <v>164</v>
      </c>
      <c r="F254" s="36" t="s">
        <v>177</v>
      </c>
      <c r="G254" s="17">
        <f>SUM(J254:M254,O254:P254,R254:AA254)</f>
        <v>54.870000000000005</v>
      </c>
      <c r="H254" s="19" t="e">
        <f>IF(ISBLANK(B254),0,+#REF!/B254)</f>
        <v>#REF!</v>
      </c>
      <c r="I254" s="19"/>
      <c r="J254" s="82">
        <f>IF(ISBLANK(B254),0,+J$213)</f>
        <v>55</v>
      </c>
      <c r="K254" s="82">
        <f>ROUND($B254*K$213,2)</f>
        <v>-0.12</v>
      </c>
      <c r="L254" s="82"/>
      <c r="M254" s="41"/>
      <c r="N254" s="17">
        <f>SUM(K254:L254)</f>
        <v>-0.12</v>
      </c>
      <c r="O254" s="41"/>
      <c r="P254" s="41"/>
      <c r="Q254" s="41"/>
      <c r="R254" s="41"/>
      <c r="S254" s="42">
        <f>ROUND($B254*S$213*S253,2)</f>
        <v>0</v>
      </c>
      <c r="T254" s="42">
        <f>ROUND($B254*T$213,2)</f>
        <v>0</v>
      </c>
      <c r="U254" s="42">
        <f>ROUND($B254*U$213,2)</f>
        <v>0</v>
      </c>
      <c r="V254" s="41">
        <f>ROUND($B254*V$206,2)</f>
        <v>0</v>
      </c>
      <c r="W254" s="42">
        <f>ROUND($B254*W$213,2)</f>
        <v>0</v>
      </c>
      <c r="X254" s="42">
        <f>ROUND($B254*X$213,2)</f>
        <v>-0.01</v>
      </c>
      <c r="Y254" s="42">
        <f>ROUND($B254*Y$213,2)</f>
        <v>0</v>
      </c>
      <c r="Z254" s="42">
        <f>ROUND($B254*Z$213,2)</f>
        <v>0</v>
      </c>
      <c r="AA254" s="42">
        <f>ROUND($B254*AA$213,2)</f>
        <v>0</v>
      </c>
      <c r="AB254" s="19">
        <f>SUM(U$213:AA$213)+(-V$213+V219)</f>
        <v>1.4498999999999998E-2</v>
      </c>
      <c r="AC254" s="94" t="str">
        <f>+F254</f>
        <v>SH9</v>
      </c>
    </row>
    <row r="255" spans="1:29" x14ac:dyDescent="0.2">
      <c r="A255" s="96"/>
      <c r="B255" s="97">
        <v>-1</v>
      </c>
      <c r="C255" s="9"/>
      <c r="F255" s="36"/>
      <c r="G255" s="98"/>
      <c r="H255" s="19"/>
      <c r="I255" s="19"/>
      <c r="J255" s="104"/>
      <c r="K255" s="104"/>
      <c r="L255" s="104"/>
      <c r="M255" s="87"/>
      <c r="N255" s="87"/>
      <c r="O255" s="87"/>
      <c r="P255" s="87"/>
      <c r="Q255" s="87"/>
      <c r="R255" s="87"/>
      <c r="S255" s="50">
        <v>0</v>
      </c>
      <c r="T255" s="98"/>
      <c r="U255" s="98"/>
      <c r="V255" s="87"/>
      <c r="W255" s="98"/>
      <c r="X255" s="98"/>
      <c r="Y255" s="98"/>
      <c r="Z255" s="98"/>
      <c r="AA255" s="98"/>
      <c r="AB255" s="19"/>
      <c r="AC255" s="105"/>
    </row>
    <row r="256" spans="1:29" x14ac:dyDescent="0.2">
      <c r="A256" s="96"/>
      <c r="B256" s="103">
        <f>IF(AND('AES Indiana Bill Calc.'!$D$17="SH",'AES Indiana Bill Calc.'!$D$18="No",'AES Indiana Bill Calc.'!$D$20="Yes 2019"),'AES Indiana Bill Calc.'!$D$19,-1)</f>
        <v>-1</v>
      </c>
      <c r="C256" s="1" t="s">
        <v>147</v>
      </c>
      <c r="F256" s="36" t="s">
        <v>177</v>
      </c>
      <c r="G256" s="17">
        <f>SUM(J256:M256,O256:P256,R256:AA256)</f>
        <v>54.870000000000005</v>
      </c>
      <c r="H256" s="19" t="e">
        <f>IF(ISBLANK(B256),0,+#REF!/B256)</f>
        <v>#REF!</v>
      </c>
      <c r="I256" s="19"/>
      <c r="J256" s="82">
        <f>IF(ISBLANK(B256),0,+J$213)</f>
        <v>55</v>
      </c>
      <c r="K256" s="82">
        <f>ROUND($B256*K$213,2)</f>
        <v>-0.12</v>
      </c>
      <c r="L256" s="82"/>
      <c r="M256" s="41"/>
      <c r="N256" s="17">
        <f>SUM(K256:L256)</f>
        <v>-0.12</v>
      </c>
      <c r="O256" s="41"/>
      <c r="P256" s="41"/>
      <c r="Q256" s="41"/>
      <c r="R256" s="41"/>
      <c r="S256" s="42">
        <f>ROUND($B256*S$213*S255,2)</f>
        <v>0</v>
      </c>
      <c r="T256" s="42">
        <f>ROUND($B256*T$213,2)</f>
        <v>0</v>
      </c>
      <c r="U256" s="42">
        <f>ROUND($B256*U$213,2)</f>
        <v>0</v>
      </c>
      <c r="V256" s="41">
        <f>ROUND($B256*V$206,2)</f>
        <v>0</v>
      </c>
      <c r="W256" s="42">
        <f>ROUND($B256*W$213,2)</f>
        <v>0</v>
      </c>
      <c r="X256" s="42">
        <f>ROUND($B256*X$213,2)</f>
        <v>-0.01</v>
      </c>
      <c r="Y256" s="42">
        <f>ROUND($B256*Y$213,2)</f>
        <v>0</v>
      </c>
      <c r="Z256" s="42">
        <f>ROUND($B256*Z$213,2)</f>
        <v>0</v>
      </c>
      <c r="AA256" s="42">
        <f>ROUND($B256*AA$213,2)</f>
        <v>0</v>
      </c>
      <c r="AB256" s="19">
        <f>SUM(U$213:AA$213)+(-V$213+V221)</f>
        <v>1.4498999999999998E-2</v>
      </c>
      <c r="AC256" s="94" t="str">
        <f>+F256</f>
        <v>SH9</v>
      </c>
    </row>
    <row r="257" spans="1:29" x14ac:dyDescent="0.2">
      <c r="A257" s="96"/>
      <c r="B257" s="97">
        <v>-1</v>
      </c>
      <c r="C257" s="97"/>
      <c r="F257" s="36"/>
      <c r="G257" s="98"/>
      <c r="H257" s="19"/>
      <c r="I257" s="19"/>
      <c r="J257" s="104"/>
      <c r="K257" s="104"/>
      <c r="L257" s="104"/>
      <c r="M257" s="87"/>
      <c r="N257" s="87"/>
      <c r="O257" s="87"/>
      <c r="P257" s="87"/>
      <c r="Q257" s="87"/>
      <c r="R257" s="87"/>
      <c r="S257" s="50">
        <v>1</v>
      </c>
      <c r="T257" s="98"/>
      <c r="U257" s="98"/>
      <c r="V257" s="87"/>
      <c r="W257" s="98"/>
      <c r="X257" s="98"/>
      <c r="Y257" s="98"/>
      <c r="Z257" s="98"/>
      <c r="AA257" s="98"/>
      <c r="AB257" s="19"/>
      <c r="AC257" s="105"/>
    </row>
    <row r="258" spans="1:29" x14ac:dyDescent="0.2">
      <c r="A258" s="96"/>
      <c r="B258" s="103">
        <f>IF(AND('AES Indiana Bill Calc.'!$D$17="SH",'AES Indiana Bill Calc.'!$D$18="Yes 100%",'AES Indiana Bill Calc.'!$D$20="Yes 2020"),'AES Indiana Bill Calc.'!$D$19,-1)</f>
        <v>-1</v>
      </c>
      <c r="C258" s="1" t="s">
        <v>148</v>
      </c>
      <c r="F258" s="36" t="s">
        <v>178</v>
      </c>
      <c r="G258" s="17">
        <f>SUM(J258:M258,O258:P258,R258:AA258)</f>
        <v>54.870000000000005</v>
      </c>
      <c r="H258" s="19" t="e">
        <f>IF(ISBLANK(B258),0,+#REF!/B258)</f>
        <v>#REF!</v>
      </c>
      <c r="I258" s="19"/>
      <c r="J258" s="82">
        <f>IF(ISBLANK(B258),0,+J$213)</f>
        <v>55</v>
      </c>
      <c r="K258" s="82">
        <f>ROUND($B258*K$213,2)</f>
        <v>-0.12</v>
      </c>
      <c r="L258" s="82"/>
      <c r="M258" s="41"/>
      <c r="N258" s="17">
        <f>SUM(K258:L258)</f>
        <v>-0.12</v>
      </c>
      <c r="O258" s="41"/>
      <c r="P258" s="41"/>
      <c r="Q258" s="41"/>
      <c r="R258" s="41"/>
      <c r="S258" s="42">
        <f>ROUND($B258*S$213*S257,2)</f>
        <v>0</v>
      </c>
      <c r="T258" s="42">
        <f>ROUND($B258*T$213,2)</f>
        <v>0</v>
      </c>
      <c r="U258" s="42">
        <f>ROUND($B258*U$213,2)</f>
        <v>0</v>
      </c>
      <c r="V258" s="41">
        <f>ROUND($B258*V$207,2)</f>
        <v>0</v>
      </c>
      <c r="W258" s="42">
        <f>ROUND($B258*W$213,2)</f>
        <v>0</v>
      </c>
      <c r="X258" s="42">
        <f>ROUND($B258*X$213,2)</f>
        <v>-0.01</v>
      </c>
      <c r="Y258" s="42">
        <f>ROUND($B258*Y$213,2)</f>
        <v>0</v>
      </c>
      <c r="Z258" s="42">
        <f>ROUND($B258*Z$213,2)</f>
        <v>0</v>
      </c>
      <c r="AA258" s="42">
        <f>ROUND($B258*AA$213,2)</f>
        <v>0</v>
      </c>
      <c r="AB258" s="19">
        <f>SUM(U$213:AA$213)+(-V$213+V223)</f>
        <v>1.4498999999999998E-2</v>
      </c>
      <c r="AC258" s="94" t="str">
        <f>+F258</f>
        <v>SH0</v>
      </c>
    </row>
    <row r="259" spans="1:29" x14ac:dyDescent="0.2">
      <c r="A259" s="96"/>
      <c r="B259" s="97">
        <v>-1</v>
      </c>
      <c r="C259" s="9"/>
      <c r="F259" s="36"/>
      <c r="G259" s="98"/>
      <c r="H259" s="19"/>
      <c r="I259" s="19"/>
      <c r="J259" s="104"/>
      <c r="K259" s="104"/>
      <c r="L259" s="104"/>
      <c r="M259" s="87"/>
      <c r="N259" s="87"/>
      <c r="O259" s="87"/>
      <c r="P259" s="87"/>
      <c r="Q259" s="87"/>
      <c r="R259" s="87"/>
      <c r="S259" s="50">
        <v>0.5</v>
      </c>
      <c r="T259" s="98"/>
      <c r="U259" s="98"/>
      <c r="V259" s="87"/>
      <c r="W259" s="98"/>
      <c r="X259" s="98"/>
      <c r="Y259" s="98"/>
      <c r="Z259" s="98"/>
      <c r="AA259" s="98"/>
      <c r="AB259" s="19"/>
      <c r="AC259" s="105"/>
    </row>
    <row r="260" spans="1:29" x14ac:dyDescent="0.2">
      <c r="A260" s="96"/>
      <c r="B260" s="103">
        <f>IF(AND('AES Indiana Bill Calc.'!$D$17="SH",'AES Indiana Bill Calc.'!$D$18="Yes 50%",'AES Indiana Bill Calc.'!$D$20="Yes 2020"),'AES Indiana Bill Calc.'!$D$19,-1)</f>
        <v>-1</v>
      </c>
      <c r="C260" s="1" t="s">
        <v>149</v>
      </c>
      <c r="F260" s="36" t="s">
        <v>178</v>
      </c>
      <c r="G260" s="17">
        <f>SUM(J260:M260,O260:P260,R260:AA260)</f>
        <v>54.870000000000005</v>
      </c>
      <c r="H260" s="19" t="e">
        <f>IF(ISBLANK(B260),0,+#REF!/B260)</f>
        <v>#REF!</v>
      </c>
      <c r="I260" s="19"/>
      <c r="J260" s="82">
        <f>IF(ISBLANK(B260),0,+J$213)</f>
        <v>55</v>
      </c>
      <c r="K260" s="82">
        <f>ROUND($B260*K$213,2)</f>
        <v>-0.12</v>
      </c>
      <c r="L260" s="82"/>
      <c r="M260" s="41"/>
      <c r="N260" s="17">
        <f>SUM(K260:L260)</f>
        <v>-0.12</v>
      </c>
      <c r="O260" s="41"/>
      <c r="P260" s="41"/>
      <c r="Q260" s="41"/>
      <c r="R260" s="41"/>
      <c r="S260" s="42">
        <f>ROUND($B260*S$213*S259,2)</f>
        <v>0</v>
      </c>
      <c r="T260" s="42">
        <f>ROUND($B260*T$213,2)</f>
        <v>0</v>
      </c>
      <c r="U260" s="42">
        <f>ROUND($B260*U$213,2)</f>
        <v>0</v>
      </c>
      <c r="V260" s="41">
        <f>ROUND($B260*V$207,2)</f>
        <v>0</v>
      </c>
      <c r="W260" s="42">
        <f>ROUND($B260*W$213,2)</f>
        <v>0</v>
      </c>
      <c r="X260" s="42">
        <f>ROUND($B260*X$213,2)</f>
        <v>-0.01</v>
      </c>
      <c r="Y260" s="42">
        <f>ROUND($B260*Y$213,2)</f>
        <v>0</v>
      </c>
      <c r="Z260" s="42">
        <f>ROUND($B260*Z$213,2)</f>
        <v>0</v>
      </c>
      <c r="AA260" s="42">
        <f>ROUND($B260*AA$213,2)</f>
        <v>0</v>
      </c>
      <c r="AB260" s="19">
        <f>SUM(U$213:AA$213)+(-V$213+V225)</f>
        <v>1.4498999999999998E-2</v>
      </c>
      <c r="AC260" s="94" t="str">
        <f>+F260</f>
        <v>SH0</v>
      </c>
    </row>
    <row r="261" spans="1:29" x14ac:dyDescent="0.2">
      <c r="A261" s="96"/>
      <c r="B261" s="97">
        <v>-1</v>
      </c>
      <c r="C261" s="9"/>
      <c r="F261" s="36"/>
      <c r="G261" s="98"/>
      <c r="H261" s="19"/>
      <c r="I261" s="19"/>
      <c r="J261" s="104"/>
      <c r="K261" s="104"/>
      <c r="L261" s="104"/>
      <c r="M261" s="87"/>
      <c r="N261" s="87"/>
      <c r="O261" s="87"/>
      <c r="P261" s="87"/>
      <c r="Q261" s="87"/>
      <c r="R261" s="87"/>
      <c r="S261" s="50">
        <v>0.25</v>
      </c>
      <c r="T261" s="98"/>
      <c r="U261" s="98"/>
      <c r="V261" s="87"/>
      <c r="W261" s="98"/>
      <c r="X261" s="98"/>
      <c r="Y261" s="98"/>
      <c r="Z261" s="98"/>
      <c r="AA261" s="98"/>
      <c r="AB261" s="19"/>
      <c r="AC261" s="105"/>
    </row>
    <row r="262" spans="1:29" x14ac:dyDescent="0.2">
      <c r="A262" s="96"/>
      <c r="B262" s="103">
        <f>IF(AND('AES Indiana Bill Calc.'!$D$17="SH",'AES Indiana Bill Calc.'!$D$18="Yes 25%",'AES Indiana Bill Calc.'!$D$20="Yes 2020"),'AES Indiana Bill Calc.'!$D$19,-1)</f>
        <v>-1</v>
      </c>
      <c r="C262" s="1" t="s">
        <v>150</v>
      </c>
      <c r="F262" s="36" t="s">
        <v>178</v>
      </c>
      <c r="G262" s="17">
        <f>SUM(J262:M262,O262:P262,R262:AA262)</f>
        <v>54.870000000000005</v>
      </c>
      <c r="H262" s="19" t="e">
        <f>IF(ISBLANK(B262),0,+#REF!/B262)</f>
        <v>#REF!</v>
      </c>
      <c r="I262" s="19"/>
      <c r="J262" s="82">
        <f>IF(ISBLANK(B262),0,+J$213)</f>
        <v>55</v>
      </c>
      <c r="K262" s="82">
        <f>ROUND($B262*K$213,2)</f>
        <v>-0.12</v>
      </c>
      <c r="L262" s="82"/>
      <c r="M262" s="41"/>
      <c r="N262" s="17">
        <f>SUM(K262:L262)</f>
        <v>-0.12</v>
      </c>
      <c r="O262" s="41"/>
      <c r="P262" s="41"/>
      <c r="Q262" s="41"/>
      <c r="R262" s="41"/>
      <c r="S262" s="42">
        <f>ROUND($B262*S$213*S261,2)</f>
        <v>0</v>
      </c>
      <c r="T262" s="42">
        <f>ROUND($B262*T$213,2)</f>
        <v>0</v>
      </c>
      <c r="U262" s="42">
        <f>ROUND($B262*U$213,2)</f>
        <v>0</v>
      </c>
      <c r="V262" s="41">
        <f>ROUND($B262*V$207,2)</f>
        <v>0</v>
      </c>
      <c r="W262" s="42">
        <f>ROUND($B262*W$213,2)</f>
        <v>0</v>
      </c>
      <c r="X262" s="42">
        <f>ROUND($B262*X$213,2)</f>
        <v>-0.01</v>
      </c>
      <c r="Y262" s="42">
        <f>ROUND($B262*Y$213,2)</f>
        <v>0</v>
      </c>
      <c r="Z262" s="42">
        <f>ROUND($B262*Z$213,2)</f>
        <v>0</v>
      </c>
      <c r="AA262" s="42">
        <f>ROUND($B262*AA$213,2)</f>
        <v>0</v>
      </c>
      <c r="AB262" s="19">
        <f>SUM(U$213:AA$213)+(-V$213+V227)</f>
        <v>1.4498999999999998E-2</v>
      </c>
      <c r="AC262" s="94" t="str">
        <f>+F262</f>
        <v>SH0</v>
      </c>
    </row>
    <row r="263" spans="1:29" x14ac:dyDescent="0.2">
      <c r="A263" s="96"/>
      <c r="B263" s="97">
        <v>-1</v>
      </c>
      <c r="C263" s="9"/>
      <c r="F263" s="36"/>
      <c r="G263" s="98"/>
      <c r="H263" s="19"/>
      <c r="I263" s="19"/>
      <c r="J263" s="104"/>
      <c r="K263" s="104"/>
      <c r="L263" s="104"/>
      <c r="M263" s="87"/>
      <c r="N263" s="87"/>
      <c r="O263" s="87"/>
      <c r="P263" s="87"/>
      <c r="Q263" s="87"/>
      <c r="R263" s="87"/>
      <c r="S263" s="50">
        <v>0.1</v>
      </c>
      <c r="T263" s="98"/>
      <c r="U263" s="98"/>
      <c r="V263" s="87"/>
      <c r="W263" s="98"/>
      <c r="X263" s="98"/>
      <c r="Y263" s="98"/>
      <c r="Z263" s="98"/>
      <c r="AA263" s="98"/>
      <c r="AB263" s="19"/>
      <c r="AC263" s="105"/>
    </row>
    <row r="264" spans="1:29" x14ac:dyDescent="0.2">
      <c r="A264" s="96"/>
      <c r="B264" s="103">
        <f>IF(AND('AES Indiana Bill Calc.'!$D$17="SH",'AES Indiana Bill Calc.'!$D$18="Yes 10%",'AES Indiana Bill Calc.'!$D$20="Yes 2020"),'AES Indiana Bill Calc.'!$D$19,-1)</f>
        <v>-1</v>
      </c>
      <c r="C264" s="1" t="s">
        <v>164</v>
      </c>
      <c r="F264" s="36" t="s">
        <v>178</v>
      </c>
      <c r="G264" s="17">
        <f>SUM(J264:M264,O264:P264,R264:AA264)</f>
        <v>54.870000000000005</v>
      </c>
      <c r="H264" s="19" t="e">
        <f>IF(ISBLANK(B264),0,+#REF!/B264)</f>
        <v>#REF!</v>
      </c>
      <c r="I264" s="19"/>
      <c r="J264" s="82">
        <f>IF(ISBLANK(B264),0,+J$213)</f>
        <v>55</v>
      </c>
      <c r="K264" s="82">
        <f>ROUND($B264*K$213,2)</f>
        <v>-0.12</v>
      </c>
      <c r="L264" s="82"/>
      <c r="M264" s="41"/>
      <c r="N264" s="17">
        <f>SUM(K264:L264)</f>
        <v>-0.12</v>
      </c>
      <c r="O264" s="41"/>
      <c r="P264" s="41"/>
      <c r="Q264" s="41"/>
      <c r="R264" s="41"/>
      <c r="S264" s="42">
        <f>ROUND($B264*S$213*S263,2)</f>
        <v>0</v>
      </c>
      <c r="T264" s="42">
        <f>ROUND($B264*T$213,2)</f>
        <v>0</v>
      </c>
      <c r="U264" s="42">
        <f>ROUND($B264*U$213,2)</f>
        <v>0</v>
      </c>
      <c r="V264" s="41">
        <f>ROUND($B264*V$207,2)</f>
        <v>0</v>
      </c>
      <c r="W264" s="42">
        <f>ROUND($B264*W$213,2)</f>
        <v>0</v>
      </c>
      <c r="X264" s="42">
        <f>ROUND($B264*X$213,2)</f>
        <v>-0.01</v>
      </c>
      <c r="Y264" s="42">
        <f>ROUND($B264*Y$213,2)</f>
        <v>0</v>
      </c>
      <c r="Z264" s="42">
        <f>ROUND($B264*Z$213,2)</f>
        <v>0</v>
      </c>
      <c r="AA264" s="42">
        <f>ROUND($B264*AA$213,2)</f>
        <v>0</v>
      </c>
      <c r="AB264" s="19">
        <f>SUM(U$213:AA$213)+(-V$213+V229)</f>
        <v>1.4498999999999998E-2</v>
      </c>
      <c r="AC264" s="94" t="str">
        <f>+F264</f>
        <v>SH0</v>
      </c>
    </row>
    <row r="265" spans="1:29" x14ac:dyDescent="0.2">
      <c r="A265" s="96"/>
      <c r="B265" s="97">
        <v>-1</v>
      </c>
      <c r="C265" s="9"/>
      <c r="F265" s="36"/>
      <c r="G265" s="98"/>
      <c r="H265" s="19"/>
      <c r="I265" s="19"/>
      <c r="J265" s="104"/>
      <c r="K265" s="104"/>
      <c r="L265" s="104"/>
      <c r="M265" s="87"/>
      <c r="N265" s="87"/>
      <c r="O265" s="87"/>
      <c r="P265" s="87"/>
      <c r="Q265" s="87"/>
      <c r="R265" s="87"/>
      <c r="S265" s="50">
        <v>0</v>
      </c>
      <c r="T265" s="98"/>
      <c r="U265" s="98"/>
      <c r="V265" s="87"/>
      <c r="W265" s="98"/>
      <c r="X265" s="98"/>
      <c r="Y265" s="98"/>
      <c r="Z265" s="98"/>
      <c r="AA265" s="98"/>
      <c r="AB265" s="19"/>
      <c r="AC265" s="105"/>
    </row>
    <row r="266" spans="1:29" x14ac:dyDescent="0.2">
      <c r="A266" s="96"/>
      <c r="B266" s="103">
        <f>IF(AND('AES Indiana Bill Calc.'!$D$17="SH",'AES Indiana Bill Calc.'!$D$18="No",'AES Indiana Bill Calc.'!$D$20="Yes 2020"),'AES Indiana Bill Calc.'!$D$19,-1)</f>
        <v>-1</v>
      </c>
      <c r="C266" s="1" t="s">
        <v>147</v>
      </c>
      <c r="F266" s="36" t="s">
        <v>178</v>
      </c>
      <c r="G266" s="17">
        <f>SUM(J266:M266,O266:P266,R266:AA266)</f>
        <v>54.870000000000005</v>
      </c>
      <c r="H266" s="19" t="e">
        <f>IF(ISBLANK(B266),0,+#REF!/B266)</f>
        <v>#REF!</v>
      </c>
      <c r="I266" s="19"/>
      <c r="J266" s="82">
        <f>IF(ISBLANK(B266),0,+J$213)</f>
        <v>55</v>
      </c>
      <c r="K266" s="82">
        <f>ROUND($B266*K$213,2)</f>
        <v>-0.12</v>
      </c>
      <c r="L266" s="82"/>
      <c r="M266" s="41"/>
      <c r="N266" s="17">
        <f>SUM(K266:L266)</f>
        <v>-0.12</v>
      </c>
      <c r="O266" s="41"/>
      <c r="P266" s="41"/>
      <c r="Q266" s="41"/>
      <c r="R266" s="41"/>
      <c r="S266" s="42">
        <f>ROUND($B266*S$213*S265,2)</f>
        <v>0</v>
      </c>
      <c r="T266" s="42">
        <f>ROUND($B266*T$213,2)</f>
        <v>0</v>
      </c>
      <c r="U266" s="42">
        <f>ROUND($B266*U$213,2)</f>
        <v>0</v>
      </c>
      <c r="V266" s="41">
        <f>ROUND($B266*V$207,2)</f>
        <v>0</v>
      </c>
      <c r="W266" s="42">
        <f>ROUND($B266*W$213,2)</f>
        <v>0</v>
      </c>
      <c r="X266" s="42">
        <f>ROUND($B266*X$213,2)</f>
        <v>-0.01</v>
      </c>
      <c r="Y266" s="42">
        <f>ROUND($B266*Y$213,2)</f>
        <v>0</v>
      </c>
      <c r="Z266" s="42">
        <f>ROUND($B266*Z$213,2)</f>
        <v>0</v>
      </c>
      <c r="AA266" s="42">
        <f>ROUND($B266*AA$213,2)</f>
        <v>0</v>
      </c>
      <c r="AB266" s="19">
        <f>SUM(U$213:AA$213)+(-V$213+V231)</f>
        <v>1.4498999999999998E-2</v>
      </c>
      <c r="AC266" s="94" t="str">
        <f>+F266</f>
        <v>SH0</v>
      </c>
    </row>
    <row r="267" spans="1:29" x14ac:dyDescent="0.2">
      <c r="A267" s="96"/>
      <c r="B267" s="97">
        <v>-1</v>
      </c>
      <c r="C267" s="97"/>
      <c r="F267" s="36"/>
      <c r="G267" s="98"/>
      <c r="H267" s="19"/>
      <c r="I267" s="19"/>
      <c r="J267" s="104"/>
      <c r="K267" s="104"/>
      <c r="L267" s="104"/>
      <c r="M267" s="87"/>
      <c r="N267" s="87"/>
      <c r="O267" s="87"/>
      <c r="P267" s="87"/>
      <c r="Q267" s="87"/>
      <c r="R267" s="87"/>
      <c r="S267" s="50">
        <v>1</v>
      </c>
      <c r="T267" s="98"/>
      <c r="U267" s="98"/>
      <c r="V267" s="87"/>
      <c r="W267" s="98"/>
      <c r="X267" s="98"/>
      <c r="Y267" s="98"/>
      <c r="Z267" s="98"/>
      <c r="AA267" s="98"/>
      <c r="AB267" s="19"/>
      <c r="AC267" s="105"/>
    </row>
    <row r="268" spans="1:29" x14ac:dyDescent="0.2">
      <c r="A268" s="96"/>
      <c r="B268" s="103">
        <f>IF(AND('AES Indiana Bill Calc.'!$D$17="SH",'AES Indiana Bill Calc.'!$D$18="Yes 100%",'AES Indiana Bill Calc.'!$D$20="Yes 2021"),'AES Indiana Bill Calc.'!$D$19,-1)</f>
        <v>-1</v>
      </c>
      <c r="C268" s="1" t="s">
        <v>148</v>
      </c>
      <c r="F268" s="36" t="s">
        <v>179</v>
      </c>
      <c r="G268" s="17">
        <f>SUM(J268:M268,O268:P268,R268:AA268)</f>
        <v>54.870000000000005</v>
      </c>
      <c r="H268" s="19" t="e">
        <f>IF(ISBLANK(B268),0,+#REF!/B268)</f>
        <v>#REF!</v>
      </c>
      <c r="I268" s="19"/>
      <c r="J268" s="82">
        <f>IF(ISBLANK(B268),0,+J$213)</f>
        <v>55</v>
      </c>
      <c r="K268" s="82">
        <f>ROUND($B268*K$213,2)</f>
        <v>-0.12</v>
      </c>
      <c r="L268" s="82"/>
      <c r="M268" s="41"/>
      <c r="N268" s="17">
        <f>SUM(K268:L268)</f>
        <v>-0.12</v>
      </c>
      <c r="O268" s="41"/>
      <c r="P268" s="41"/>
      <c r="Q268" s="41"/>
      <c r="R268" s="41"/>
      <c r="S268" s="42">
        <f>ROUND($B268*S$213*S267,2)</f>
        <v>0</v>
      </c>
      <c r="T268" s="42">
        <f>ROUND($B268*T$213,2)</f>
        <v>0</v>
      </c>
      <c r="U268" s="42">
        <f>ROUND($B268*U$213,2)</f>
        <v>0</v>
      </c>
      <c r="V268" s="41">
        <f>ROUND($B268*V$208,2)</f>
        <v>0</v>
      </c>
      <c r="W268" s="42">
        <f>ROUND($B268*W$213,2)</f>
        <v>0</v>
      </c>
      <c r="X268" s="42">
        <f>ROUND($B268*X$213,2)</f>
        <v>-0.01</v>
      </c>
      <c r="Y268" s="42">
        <f>ROUND($B268*Y$213,2)</f>
        <v>0</v>
      </c>
      <c r="Z268" s="42">
        <f>ROUND($B268*Z$213,2)</f>
        <v>0</v>
      </c>
      <c r="AA268" s="42">
        <f>ROUND($B268*AA$213,2)</f>
        <v>0</v>
      </c>
      <c r="AB268" s="19">
        <f>SUM(U$213:AA$213)+(-V$213+V233)</f>
        <v>1.4498999999999998E-2</v>
      </c>
      <c r="AC268" s="94" t="str">
        <f>+F268</f>
        <v>SH1</v>
      </c>
    </row>
    <row r="269" spans="1:29" x14ac:dyDescent="0.2">
      <c r="A269" s="96"/>
      <c r="B269" s="97">
        <v>-1</v>
      </c>
      <c r="C269" s="9"/>
      <c r="F269" s="36"/>
      <c r="G269" s="98"/>
      <c r="H269" s="19"/>
      <c r="I269" s="19"/>
      <c r="J269" s="104"/>
      <c r="K269" s="104"/>
      <c r="L269" s="104"/>
      <c r="M269" s="87"/>
      <c r="N269" s="87"/>
      <c r="O269" s="87"/>
      <c r="P269" s="87"/>
      <c r="Q269" s="87"/>
      <c r="R269" s="87"/>
      <c r="S269" s="50">
        <v>0.5</v>
      </c>
      <c r="T269" s="98"/>
      <c r="U269" s="98"/>
      <c r="V269" s="87"/>
      <c r="W269" s="98"/>
      <c r="X269" s="98"/>
      <c r="Y269" s="98"/>
      <c r="Z269" s="98"/>
      <c r="AA269" s="98"/>
      <c r="AB269" s="19"/>
      <c r="AC269" s="105"/>
    </row>
    <row r="270" spans="1:29" x14ac:dyDescent="0.2">
      <c r="A270" s="96"/>
      <c r="B270" s="103">
        <f>IF(AND('AES Indiana Bill Calc.'!$D$17="SH",'AES Indiana Bill Calc.'!$D$18="Yes 50%",'AES Indiana Bill Calc.'!$D$20="Yes 2021"),'AES Indiana Bill Calc.'!$D$19,-1)</f>
        <v>-1</v>
      </c>
      <c r="C270" s="1" t="s">
        <v>149</v>
      </c>
      <c r="F270" s="36" t="s">
        <v>179</v>
      </c>
      <c r="G270" s="17">
        <f>SUM(J270:M270,O270:P270,R270:AA270)</f>
        <v>54.870000000000005</v>
      </c>
      <c r="H270" s="19" t="e">
        <f>IF(ISBLANK(B270),0,+#REF!/B270)</f>
        <v>#REF!</v>
      </c>
      <c r="I270" s="19"/>
      <c r="J270" s="82">
        <f>IF(ISBLANK(B270),0,+J$213)</f>
        <v>55</v>
      </c>
      <c r="K270" s="82">
        <f>ROUND($B270*K$213,2)</f>
        <v>-0.12</v>
      </c>
      <c r="L270" s="82"/>
      <c r="M270" s="41"/>
      <c r="N270" s="17">
        <f>SUM(K270:L270)</f>
        <v>-0.12</v>
      </c>
      <c r="O270" s="41"/>
      <c r="P270" s="41"/>
      <c r="Q270" s="41"/>
      <c r="R270" s="41"/>
      <c r="S270" s="42">
        <f>ROUND($B270*S$213*S269,2)</f>
        <v>0</v>
      </c>
      <c r="T270" s="42">
        <f>ROUND($B270*T$213,2)</f>
        <v>0</v>
      </c>
      <c r="U270" s="42">
        <f>ROUND($B270*U$213,2)</f>
        <v>0</v>
      </c>
      <c r="V270" s="41">
        <f>ROUND($B270*V$208,2)</f>
        <v>0</v>
      </c>
      <c r="W270" s="42">
        <f>ROUND($B270*W$213,2)</f>
        <v>0</v>
      </c>
      <c r="X270" s="42">
        <f>ROUND($B270*X$213,2)</f>
        <v>-0.01</v>
      </c>
      <c r="Y270" s="42">
        <f>ROUND($B270*Y$213,2)</f>
        <v>0</v>
      </c>
      <c r="Z270" s="42">
        <f>ROUND($B270*Z$213,2)</f>
        <v>0</v>
      </c>
      <c r="AA270" s="42">
        <f>ROUND($B270*AA$213,2)</f>
        <v>0</v>
      </c>
      <c r="AB270" s="19">
        <f>SUM(U$213:AA$213)+(-V$213+V235)</f>
        <v>1.4498999999999998E-2</v>
      </c>
      <c r="AC270" s="94" t="str">
        <f>+F270</f>
        <v>SH1</v>
      </c>
    </row>
    <row r="271" spans="1:29" x14ac:dyDescent="0.2">
      <c r="A271" s="96"/>
      <c r="B271" s="97">
        <v>-1</v>
      </c>
      <c r="C271" s="9"/>
      <c r="F271" s="36"/>
      <c r="G271" s="98"/>
      <c r="H271" s="19"/>
      <c r="I271" s="19"/>
      <c r="J271" s="104"/>
      <c r="K271" s="104"/>
      <c r="L271" s="104"/>
      <c r="M271" s="87"/>
      <c r="N271" s="87"/>
      <c r="O271" s="87"/>
      <c r="P271" s="87"/>
      <c r="Q271" s="87"/>
      <c r="R271" s="87"/>
      <c r="S271" s="50">
        <v>0.25</v>
      </c>
      <c r="T271" s="98"/>
      <c r="U271" s="98"/>
      <c r="V271" s="87"/>
      <c r="W271" s="98"/>
      <c r="X271" s="98"/>
      <c r="Y271" s="98"/>
      <c r="Z271" s="98"/>
      <c r="AA271" s="98"/>
      <c r="AB271" s="19"/>
      <c r="AC271" s="105"/>
    </row>
    <row r="272" spans="1:29" x14ac:dyDescent="0.2">
      <c r="A272" s="96"/>
      <c r="B272" s="103">
        <f>IF(AND('AES Indiana Bill Calc.'!$D$17="SH",'AES Indiana Bill Calc.'!$D$18="Yes 25%",'AES Indiana Bill Calc.'!$D$20="Yes 2021"),'AES Indiana Bill Calc.'!$D$19,-1)</f>
        <v>-1</v>
      </c>
      <c r="C272" s="1" t="s">
        <v>150</v>
      </c>
      <c r="F272" s="36" t="s">
        <v>179</v>
      </c>
      <c r="G272" s="17">
        <f>SUM(J272:M272,O272:P272,R272:AA272)</f>
        <v>54.870000000000005</v>
      </c>
      <c r="H272" s="19" t="e">
        <f>IF(ISBLANK(B272),0,+#REF!/B272)</f>
        <v>#REF!</v>
      </c>
      <c r="I272" s="19"/>
      <c r="J272" s="82">
        <f>IF(ISBLANK(B272),0,+J$213)</f>
        <v>55</v>
      </c>
      <c r="K272" s="82">
        <f>ROUND($B272*K$213,2)</f>
        <v>-0.12</v>
      </c>
      <c r="L272" s="82"/>
      <c r="M272" s="41"/>
      <c r="N272" s="17">
        <f>SUM(K272:L272)</f>
        <v>-0.12</v>
      </c>
      <c r="O272" s="41"/>
      <c r="P272" s="41"/>
      <c r="Q272" s="41"/>
      <c r="R272" s="41"/>
      <c r="S272" s="42">
        <f>ROUND($B272*S$213*S271,2)</f>
        <v>0</v>
      </c>
      <c r="T272" s="42">
        <f>ROUND($B272*T$213,2)</f>
        <v>0</v>
      </c>
      <c r="U272" s="42">
        <f>ROUND($B272*U$213,2)</f>
        <v>0</v>
      </c>
      <c r="V272" s="41">
        <f>ROUND($B272*V$208,2)</f>
        <v>0</v>
      </c>
      <c r="W272" s="42">
        <f>ROUND($B272*W$213,2)</f>
        <v>0</v>
      </c>
      <c r="X272" s="42">
        <f>ROUND($B272*X$213,2)</f>
        <v>-0.01</v>
      </c>
      <c r="Y272" s="42">
        <f>ROUND($B272*Y$213,2)</f>
        <v>0</v>
      </c>
      <c r="Z272" s="42">
        <f>ROUND($B272*Z$213,2)</f>
        <v>0</v>
      </c>
      <c r="AA272" s="42">
        <f>ROUND($B272*AA$213,2)</f>
        <v>0</v>
      </c>
      <c r="AB272" s="19">
        <f>SUM(U$213:AA$213)+(-V$213+V237)</f>
        <v>1.4498999999999998E-2</v>
      </c>
      <c r="AC272" s="94" t="str">
        <f>+F272</f>
        <v>SH1</v>
      </c>
    </row>
    <row r="273" spans="1:29" x14ac:dyDescent="0.2">
      <c r="A273" s="96"/>
      <c r="B273" s="97">
        <v>-1</v>
      </c>
      <c r="C273" s="9"/>
      <c r="F273" s="36"/>
      <c r="G273" s="98"/>
      <c r="H273" s="19"/>
      <c r="I273" s="19"/>
      <c r="J273" s="104"/>
      <c r="K273" s="104"/>
      <c r="L273" s="104"/>
      <c r="M273" s="87"/>
      <c r="N273" s="87"/>
      <c r="O273" s="87"/>
      <c r="P273" s="87"/>
      <c r="Q273" s="87"/>
      <c r="R273" s="87"/>
      <c r="S273" s="50">
        <v>0.1</v>
      </c>
      <c r="T273" s="98"/>
      <c r="U273" s="98"/>
      <c r="V273" s="87"/>
      <c r="W273" s="98"/>
      <c r="X273" s="98"/>
      <c r="Y273" s="98"/>
      <c r="Z273" s="98"/>
      <c r="AA273" s="98"/>
      <c r="AB273" s="19"/>
      <c r="AC273" s="105"/>
    </row>
    <row r="274" spans="1:29" x14ac:dyDescent="0.2">
      <c r="A274" s="96"/>
      <c r="B274" s="103">
        <f>IF(AND('AES Indiana Bill Calc.'!$D$17="SH",'AES Indiana Bill Calc.'!$D$18="Yes 10%",'AES Indiana Bill Calc.'!$D$20="Yes 2021"),'AES Indiana Bill Calc.'!$D$19,-1)</f>
        <v>-1</v>
      </c>
      <c r="C274" s="1" t="s">
        <v>164</v>
      </c>
      <c r="F274" s="36" t="s">
        <v>179</v>
      </c>
      <c r="G274" s="17">
        <f>SUM(J274:M274,O274:P274,R274:AA274)</f>
        <v>54.870000000000005</v>
      </c>
      <c r="H274" s="19" t="e">
        <f>IF(ISBLANK(B274),0,+#REF!/B274)</f>
        <v>#REF!</v>
      </c>
      <c r="I274" s="19"/>
      <c r="J274" s="82">
        <f>IF(ISBLANK(B274),0,+J$213)</f>
        <v>55</v>
      </c>
      <c r="K274" s="82">
        <f>ROUND($B274*K$213,2)</f>
        <v>-0.12</v>
      </c>
      <c r="L274" s="82"/>
      <c r="M274" s="41"/>
      <c r="N274" s="17">
        <f>SUM(K274:L274)</f>
        <v>-0.12</v>
      </c>
      <c r="O274" s="41"/>
      <c r="P274" s="41"/>
      <c r="Q274" s="41"/>
      <c r="R274" s="41"/>
      <c r="S274" s="42">
        <f>ROUND($B274*S$213*S273,2)</f>
        <v>0</v>
      </c>
      <c r="T274" s="42">
        <f>ROUND($B274*T$213,2)</f>
        <v>0</v>
      </c>
      <c r="U274" s="42">
        <f>ROUND($B274*U$213,2)</f>
        <v>0</v>
      </c>
      <c r="V274" s="41">
        <f>ROUND($B274*V$208,2)</f>
        <v>0</v>
      </c>
      <c r="W274" s="42">
        <f>ROUND($B274*W$213,2)</f>
        <v>0</v>
      </c>
      <c r="X274" s="42">
        <f>ROUND($B274*X$213,2)</f>
        <v>-0.01</v>
      </c>
      <c r="Y274" s="42">
        <f>ROUND($B274*Y$213,2)</f>
        <v>0</v>
      </c>
      <c r="Z274" s="42">
        <f>ROUND($B274*Z$213,2)</f>
        <v>0</v>
      </c>
      <c r="AA274" s="42">
        <f>ROUND($B274*AA$213,2)</f>
        <v>0</v>
      </c>
      <c r="AB274" s="19">
        <f>SUM(U$213:AA$213)+(-V$213+V239)</f>
        <v>1.4498999999999998E-2</v>
      </c>
      <c r="AC274" s="94" t="str">
        <f>+F274</f>
        <v>SH1</v>
      </c>
    </row>
    <row r="275" spans="1:29" x14ac:dyDescent="0.2">
      <c r="A275" s="96"/>
      <c r="B275" s="97">
        <v>-1</v>
      </c>
      <c r="C275" s="9"/>
      <c r="F275" s="36"/>
      <c r="G275" s="98"/>
      <c r="H275" s="19"/>
      <c r="I275" s="19"/>
      <c r="J275" s="104"/>
      <c r="K275" s="104"/>
      <c r="L275" s="104"/>
      <c r="M275" s="87"/>
      <c r="N275" s="87"/>
      <c r="O275" s="87"/>
      <c r="P275" s="87"/>
      <c r="Q275" s="87"/>
      <c r="R275" s="87"/>
      <c r="S275" s="50">
        <v>0</v>
      </c>
      <c r="T275" s="98"/>
      <c r="U275" s="98"/>
      <c r="V275" s="87"/>
      <c r="W275" s="98"/>
      <c r="X275" s="98"/>
      <c r="Y275" s="98"/>
      <c r="Z275" s="98"/>
      <c r="AA275" s="98"/>
      <c r="AB275" s="19"/>
      <c r="AC275" s="105"/>
    </row>
    <row r="276" spans="1:29" x14ac:dyDescent="0.2">
      <c r="A276" s="96"/>
      <c r="B276" s="103">
        <f>IF(AND('AES Indiana Bill Calc.'!$D$17="SH",'AES Indiana Bill Calc.'!$D$18="No",'AES Indiana Bill Calc.'!$D$20="Yes 2021"),'AES Indiana Bill Calc.'!$D$19,-1)</f>
        <v>-1</v>
      </c>
      <c r="C276" s="1" t="s">
        <v>147</v>
      </c>
      <c r="F276" s="36" t="s">
        <v>179</v>
      </c>
      <c r="G276" s="17">
        <f>SUM(J276:M276,O276:P276,R276:AA276)</f>
        <v>54.870000000000005</v>
      </c>
      <c r="H276" s="19" t="e">
        <f>IF(ISBLANK(B276),0,+#REF!/B276)</f>
        <v>#REF!</v>
      </c>
      <c r="I276" s="19"/>
      <c r="J276" s="82">
        <f>IF(ISBLANK(B276),0,+J$213)</f>
        <v>55</v>
      </c>
      <c r="K276" s="82">
        <f>ROUND($B276*K$213,2)</f>
        <v>-0.12</v>
      </c>
      <c r="L276" s="82"/>
      <c r="M276" s="41"/>
      <c r="N276" s="17">
        <f>SUM(K276:L276)</f>
        <v>-0.12</v>
      </c>
      <c r="O276" s="41"/>
      <c r="P276" s="41"/>
      <c r="Q276" s="41"/>
      <c r="R276" s="41"/>
      <c r="S276" s="42">
        <f>ROUND($B276*S$213*S275,2)</f>
        <v>0</v>
      </c>
      <c r="T276" s="42">
        <f>ROUND($B276*T$213,2)</f>
        <v>0</v>
      </c>
      <c r="U276" s="42">
        <f>ROUND($B276*U$213,2)</f>
        <v>0</v>
      </c>
      <c r="V276" s="41">
        <f>ROUND($B276*V$208,2)</f>
        <v>0</v>
      </c>
      <c r="W276" s="42">
        <f>ROUND($B276*W$213,2)</f>
        <v>0</v>
      </c>
      <c r="X276" s="42">
        <f>ROUND($B276*X$213,2)</f>
        <v>-0.01</v>
      </c>
      <c r="Y276" s="42">
        <f>ROUND($B276*Y$213,2)</f>
        <v>0</v>
      </c>
      <c r="Z276" s="42">
        <f>ROUND($B276*Z$213,2)</f>
        <v>0</v>
      </c>
      <c r="AA276" s="42">
        <f>ROUND($B276*AA$213,2)</f>
        <v>0</v>
      </c>
      <c r="AB276" s="19">
        <f>SUM(U$213:AA$213)+(-V$213+V241)</f>
        <v>1.4498999999999998E-2</v>
      </c>
      <c r="AC276" s="94" t="str">
        <f>+F276</f>
        <v>SH1</v>
      </c>
    </row>
    <row r="277" spans="1:29" x14ac:dyDescent="0.2">
      <c r="A277" s="96"/>
      <c r="B277" s="97">
        <v>-1</v>
      </c>
      <c r="C277" s="97"/>
      <c r="F277" s="36"/>
      <c r="G277" s="98"/>
      <c r="H277" s="19"/>
      <c r="I277" s="19"/>
      <c r="J277" s="104"/>
      <c r="K277" s="104"/>
      <c r="L277" s="104"/>
      <c r="M277" s="87"/>
      <c r="N277" s="87"/>
      <c r="O277" s="87"/>
      <c r="P277" s="87"/>
      <c r="Q277" s="87"/>
      <c r="R277" s="87"/>
      <c r="S277" s="50">
        <v>1</v>
      </c>
      <c r="T277" s="98"/>
      <c r="U277" s="98"/>
      <c r="V277" s="87"/>
      <c r="W277" s="98"/>
      <c r="X277" s="98"/>
      <c r="Y277" s="98"/>
      <c r="Z277" s="98"/>
      <c r="AA277" s="98"/>
      <c r="AB277" s="19"/>
      <c r="AC277" s="105"/>
    </row>
    <row r="278" spans="1:29" x14ac:dyDescent="0.2">
      <c r="A278" s="96"/>
      <c r="B278" s="103">
        <f>IF(AND('AES Indiana Bill Calc.'!$D$17="SH",'AES Indiana Bill Calc.'!$D$18="Yes 100%",'AES Indiana Bill Calc.'!$D$20="Yes 2022"),'AES Indiana Bill Calc.'!$D$19,-1)</f>
        <v>-1</v>
      </c>
      <c r="C278" s="1" t="s">
        <v>148</v>
      </c>
      <c r="F278" s="36" t="s">
        <v>180</v>
      </c>
      <c r="G278" s="17">
        <f>SUM(J278:M278,O278:P278,R278:AA278)</f>
        <v>54.870000000000005</v>
      </c>
      <c r="H278" s="19" t="e">
        <f>IF(ISBLANK(B278),0,+#REF!/B278)</f>
        <v>#REF!</v>
      </c>
      <c r="I278" s="19"/>
      <c r="J278" s="82">
        <f>IF(ISBLANK(B278),0,+J$213)</f>
        <v>55</v>
      </c>
      <c r="K278" s="82">
        <f>ROUND($B278*K$213,2)</f>
        <v>-0.12</v>
      </c>
      <c r="L278" s="82"/>
      <c r="M278" s="41"/>
      <c r="N278" s="17">
        <f>SUM(K278:L278)</f>
        <v>-0.12</v>
      </c>
      <c r="O278" s="41"/>
      <c r="P278" s="41"/>
      <c r="Q278" s="41"/>
      <c r="R278" s="41"/>
      <c r="S278" s="42">
        <f>ROUND($B278*S$213*S277,2)</f>
        <v>0</v>
      </c>
      <c r="T278" s="42">
        <f>ROUND($B278*T$213,2)</f>
        <v>0</v>
      </c>
      <c r="U278" s="42">
        <f>ROUND($B278*U$213,2)</f>
        <v>0</v>
      </c>
      <c r="V278" s="41">
        <f>ROUND($B278*V$209,2)</f>
        <v>0</v>
      </c>
      <c r="W278" s="42">
        <f>ROUND($B278*W$213,2)</f>
        <v>0</v>
      </c>
      <c r="X278" s="42">
        <f>ROUND($B278*X$213,2)</f>
        <v>-0.01</v>
      </c>
      <c r="Y278" s="42">
        <f>ROUND($B278*Y$213,2)</f>
        <v>0</v>
      </c>
      <c r="Z278" s="42">
        <f>ROUND($B278*Z$213,2)</f>
        <v>0</v>
      </c>
      <c r="AA278" s="42">
        <f>ROUND($B278*AA$213,2)</f>
        <v>0</v>
      </c>
      <c r="AB278" s="19">
        <f>SUM(U$213:AA$213)+(-V$213+V243)</f>
        <v>1.4498999999999998E-2</v>
      </c>
      <c r="AC278" s="94" t="str">
        <f>+F278</f>
        <v>SH2</v>
      </c>
    </row>
    <row r="279" spans="1:29" x14ac:dyDescent="0.2">
      <c r="A279" s="96"/>
      <c r="B279" s="97">
        <v>-1</v>
      </c>
      <c r="C279" s="9"/>
      <c r="F279" s="36"/>
      <c r="G279" s="98"/>
      <c r="H279" s="19"/>
      <c r="I279" s="19"/>
      <c r="J279" s="104"/>
      <c r="K279" s="104"/>
      <c r="L279" s="104"/>
      <c r="M279" s="87"/>
      <c r="N279" s="87"/>
      <c r="O279" s="87"/>
      <c r="P279" s="87"/>
      <c r="Q279" s="87"/>
      <c r="R279" s="87"/>
      <c r="S279" s="50">
        <v>0.5</v>
      </c>
      <c r="T279" s="98"/>
      <c r="U279" s="98"/>
      <c r="V279" s="87"/>
      <c r="W279" s="98"/>
      <c r="X279" s="98"/>
      <c r="Y279" s="98"/>
      <c r="Z279" s="98"/>
      <c r="AA279" s="98"/>
      <c r="AB279" s="19"/>
      <c r="AC279" s="105"/>
    </row>
    <row r="280" spans="1:29" x14ac:dyDescent="0.2">
      <c r="A280" s="96"/>
      <c r="B280" s="103">
        <f>IF(AND('AES Indiana Bill Calc.'!$D$17="SH",'AES Indiana Bill Calc.'!$D$18="Yes 50%",'AES Indiana Bill Calc.'!$D$20="Yes 2022"),'AES Indiana Bill Calc.'!$D$19,-1)</f>
        <v>-1</v>
      </c>
      <c r="C280" s="1" t="s">
        <v>149</v>
      </c>
      <c r="F280" s="36" t="s">
        <v>180</v>
      </c>
      <c r="G280" s="17">
        <f>SUM(J280:M280,O280:P280,R280:AA280)</f>
        <v>54.870000000000005</v>
      </c>
      <c r="H280" s="19" t="e">
        <f>IF(ISBLANK(B280),0,+#REF!/B280)</f>
        <v>#REF!</v>
      </c>
      <c r="I280" s="19"/>
      <c r="J280" s="82">
        <f>IF(ISBLANK(B280),0,+J$213)</f>
        <v>55</v>
      </c>
      <c r="K280" s="82">
        <f>ROUND($B280*K$213,2)</f>
        <v>-0.12</v>
      </c>
      <c r="L280" s="82"/>
      <c r="M280" s="41"/>
      <c r="N280" s="17">
        <f>SUM(K280:L280)</f>
        <v>-0.12</v>
      </c>
      <c r="O280" s="41"/>
      <c r="P280" s="41"/>
      <c r="Q280" s="41"/>
      <c r="R280" s="41"/>
      <c r="S280" s="42">
        <f>ROUND($B280*S$213*S279,2)</f>
        <v>0</v>
      </c>
      <c r="T280" s="42">
        <f>ROUND($B280*T$213,2)</f>
        <v>0</v>
      </c>
      <c r="U280" s="42">
        <f>ROUND($B280*U$213,2)</f>
        <v>0</v>
      </c>
      <c r="V280" s="41">
        <f>ROUND($B280*V$209,2)</f>
        <v>0</v>
      </c>
      <c r="W280" s="42">
        <f>ROUND($B280*W$213,2)</f>
        <v>0</v>
      </c>
      <c r="X280" s="42">
        <f>ROUND($B280*X$213,2)</f>
        <v>-0.01</v>
      </c>
      <c r="Y280" s="42">
        <f>ROUND($B280*Y$213,2)</f>
        <v>0</v>
      </c>
      <c r="Z280" s="42">
        <f>ROUND($B280*Z$213,2)</f>
        <v>0</v>
      </c>
      <c r="AA280" s="42">
        <f>ROUND($B280*AA$213,2)</f>
        <v>0</v>
      </c>
      <c r="AB280" s="19">
        <f>SUM(U$213:AA$213)+(-V$213+V245)</f>
        <v>1.4498999999999998E-2</v>
      </c>
      <c r="AC280" s="94" t="str">
        <f>+F280</f>
        <v>SH2</v>
      </c>
    </row>
    <row r="281" spans="1:29" x14ac:dyDescent="0.2">
      <c r="A281" s="96"/>
      <c r="B281" s="97">
        <v>-1</v>
      </c>
      <c r="C281" s="9"/>
      <c r="F281" s="36"/>
      <c r="G281" s="98"/>
      <c r="H281" s="19"/>
      <c r="I281" s="19"/>
      <c r="J281" s="104"/>
      <c r="K281" s="104"/>
      <c r="L281" s="104"/>
      <c r="M281" s="87"/>
      <c r="N281" s="87"/>
      <c r="O281" s="87"/>
      <c r="P281" s="87"/>
      <c r="Q281" s="87"/>
      <c r="R281" s="87"/>
      <c r="S281" s="50">
        <v>0.25</v>
      </c>
      <c r="T281" s="98"/>
      <c r="U281" s="98"/>
      <c r="V281" s="87"/>
      <c r="W281" s="98"/>
      <c r="X281" s="98"/>
      <c r="Y281" s="98"/>
      <c r="Z281" s="98"/>
      <c r="AA281" s="98"/>
      <c r="AB281" s="19"/>
      <c r="AC281" s="105"/>
    </row>
    <row r="282" spans="1:29" x14ac:dyDescent="0.2">
      <c r="A282" s="96"/>
      <c r="B282" s="103">
        <f>IF(AND('AES Indiana Bill Calc.'!$D$17="SH",'AES Indiana Bill Calc.'!$D$18="Yes 25%",'AES Indiana Bill Calc.'!$D$20="Yes 2022"),'AES Indiana Bill Calc.'!$D$19,-1)</f>
        <v>-1</v>
      </c>
      <c r="C282" s="1" t="s">
        <v>150</v>
      </c>
      <c r="F282" s="36" t="s">
        <v>180</v>
      </c>
      <c r="G282" s="17">
        <f>SUM(J282:M282,O282:P282,R282:AA282)</f>
        <v>54.870000000000005</v>
      </c>
      <c r="H282" s="19" t="e">
        <f>IF(ISBLANK(B282),0,+#REF!/B282)</f>
        <v>#REF!</v>
      </c>
      <c r="I282" s="19"/>
      <c r="J282" s="82">
        <f>IF(ISBLANK(B282),0,+J$213)</f>
        <v>55</v>
      </c>
      <c r="K282" s="82">
        <f>ROUND($B282*K$213,2)</f>
        <v>-0.12</v>
      </c>
      <c r="L282" s="82"/>
      <c r="M282" s="41"/>
      <c r="N282" s="17">
        <f>SUM(K282:L282)</f>
        <v>-0.12</v>
      </c>
      <c r="O282" s="41"/>
      <c r="P282" s="41"/>
      <c r="Q282" s="41"/>
      <c r="R282" s="41"/>
      <c r="S282" s="42">
        <f>ROUND($B282*S$213*S281,2)</f>
        <v>0</v>
      </c>
      <c r="T282" s="42">
        <f>ROUND($B282*T$213,2)</f>
        <v>0</v>
      </c>
      <c r="U282" s="42">
        <f>ROUND($B282*U$213,2)</f>
        <v>0</v>
      </c>
      <c r="V282" s="41">
        <f>ROUND($B282*V$209,2)</f>
        <v>0</v>
      </c>
      <c r="W282" s="42">
        <f>ROUND($B282*W$213,2)</f>
        <v>0</v>
      </c>
      <c r="X282" s="42">
        <f>ROUND($B282*X$213,2)</f>
        <v>-0.01</v>
      </c>
      <c r="Y282" s="42">
        <f>ROUND($B282*Y$213,2)</f>
        <v>0</v>
      </c>
      <c r="Z282" s="42">
        <f>ROUND($B282*Z$213,2)</f>
        <v>0</v>
      </c>
      <c r="AA282" s="42">
        <f>ROUND($B282*AA$213,2)</f>
        <v>0</v>
      </c>
      <c r="AB282" s="19">
        <f>SUM(U$213:AA$213)+(-V$213+V247)</f>
        <v>1.4498999999999998E-2</v>
      </c>
      <c r="AC282" s="94" t="str">
        <f>+F282</f>
        <v>SH2</v>
      </c>
    </row>
    <row r="283" spans="1:29" x14ac:dyDescent="0.2">
      <c r="A283" s="96"/>
      <c r="B283" s="97">
        <v>-1</v>
      </c>
      <c r="C283" s="9"/>
      <c r="F283" s="36"/>
      <c r="G283" s="98"/>
      <c r="H283" s="19"/>
      <c r="I283" s="19"/>
      <c r="J283" s="104"/>
      <c r="K283" s="104"/>
      <c r="L283" s="104"/>
      <c r="M283" s="87"/>
      <c r="N283" s="87"/>
      <c r="O283" s="87"/>
      <c r="P283" s="87"/>
      <c r="Q283" s="87"/>
      <c r="R283" s="87"/>
      <c r="S283" s="50">
        <v>0.1</v>
      </c>
      <c r="T283" s="98"/>
      <c r="U283" s="98"/>
      <c r="V283" s="87"/>
      <c r="W283" s="98"/>
      <c r="X283" s="98"/>
      <c r="Y283" s="98"/>
      <c r="Z283" s="98"/>
      <c r="AA283" s="98"/>
      <c r="AB283" s="19"/>
      <c r="AC283" s="105"/>
    </row>
    <row r="284" spans="1:29" x14ac:dyDescent="0.2">
      <c r="A284" s="96"/>
      <c r="B284" s="103">
        <f>IF(AND('AES Indiana Bill Calc.'!$D$17="SH",'AES Indiana Bill Calc.'!$D$18="Yes 10%",'AES Indiana Bill Calc.'!$D$20="Yes 2022"),'AES Indiana Bill Calc.'!$D$19,-1)</f>
        <v>-1</v>
      </c>
      <c r="C284" s="1" t="s">
        <v>164</v>
      </c>
      <c r="F284" s="36" t="s">
        <v>180</v>
      </c>
      <c r="G284" s="17">
        <f>SUM(J284:M284,O284:P284,R284:AA284)</f>
        <v>54.870000000000005</v>
      </c>
      <c r="H284" s="19" t="e">
        <f>IF(ISBLANK(B284),0,+#REF!/B284)</f>
        <v>#REF!</v>
      </c>
      <c r="I284" s="19"/>
      <c r="J284" s="82">
        <f>IF(ISBLANK(B284),0,+J$213)</f>
        <v>55</v>
      </c>
      <c r="K284" s="82">
        <f>ROUND($B284*K$213,2)</f>
        <v>-0.12</v>
      </c>
      <c r="L284" s="82"/>
      <c r="M284" s="41"/>
      <c r="N284" s="17">
        <f>SUM(K284:L284)</f>
        <v>-0.12</v>
      </c>
      <c r="O284" s="41"/>
      <c r="P284" s="41"/>
      <c r="Q284" s="41"/>
      <c r="R284" s="41"/>
      <c r="S284" s="42">
        <f>ROUND($B284*S$213*S283,2)</f>
        <v>0</v>
      </c>
      <c r="T284" s="42">
        <f>ROUND($B284*T$213,2)</f>
        <v>0</v>
      </c>
      <c r="U284" s="42">
        <f>ROUND($B284*U$213,2)</f>
        <v>0</v>
      </c>
      <c r="V284" s="41">
        <f>ROUND($B284*V$209,2)</f>
        <v>0</v>
      </c>
      <c r="W284" s="42">
        <f>ROUND($B284*W$213,2)</f>
        <v>0</v>
      </c>
      <c r="X284" s="42">
        <f>ROUND($B284*X$213,2)</f>
        <v>-0.01</v>
      </c>
      <c r="Y284" s="42">
        <f>ROUND($B284*Y$213,2)</f>
        <v>0</v>
      </c>
      <c r="Z284" s="42">
        <f>ROUND($B284*Z$213,2)</f>
        <v>0</v>
      </c>
      <c r="AA284" s="42">
        <f>ROUND($B284*AA$213,2)</f>
        <v>0</v>
      </c>
      <c r="AB284" s="19">
        <f>SUM(U$213:AA$213)+(-V$213+V249)</f>
        <v>1.4498999999999998E-2</v>
      </c>
      <c r="AC284" s="94" t="str">
        <f>+F284</f>
        <v>SH2</v>
      </c>
    </row>
    <row r="285" spans="1:29" x14ac:dyDescent="0.2">
      <c r="A285" s="96"/>
      <c r="B285" s="97">
        <v>-1</v>
      </c>
      <c r="C285" s="9"/>
      <c r="F285" s="36"/>
      <c r="G285" s="98"/>
      <c r="H285" s="19"/>
      <c r="I285" s="19"/>
      <c r="J285" s="104"/>
      <c r="K285" s="104"/>
      <c r="L285" s="104"/>
      <c r="M285" s="87"/>
      <c r="N285" s="87"/>
      <c r="O285" s="87"/>
      <c r="P285" s="87"/>
      <c r="Q285" s="87"/>
      <c r="R285" s="87"/>
      <c r="S285" s="50">
        <v>0</v>
      </c>
      <c r="T285" s="98"/>
      <c r="U285" s="98"/>
      <c r="V285" s="87"/>
      <c r="W285" s="98"/>
      <c r="X285" s="98"/>
      <c r="Y285" s="98"/>
      <c r="Z285" s="98"/>
      <c r="AA285" s="98"/>
      <c r="AB285" s="19"/>
      <c r="AC285" s="105"/>
    </row>
    <row r="286" spans="1:29" x14ac:dyDescent="0.2">
      <c r="A286" s="96"/>
      <c r="B286" s="103">
        <f>IF(AND('AES Indiana Bill Calc.'!$D$17="SH",'AES Indiana Bill Calc.'!$D$18="No",'AES Indiana Bill Calc.'!$D$20="Yes 2022"),'AES Indiana Bill Calc.'!$D$19,-1)</f>
        <v>-1</v>
      </c>
      <c r="C286" s="1" t="s">
        <v>147</v>
      </c>
      <c r="F286" s="36" t="s">
        <v>180</v>
      </c>
      <c r="G286" s="17">
        <f>SUM(J286:M286,O286:P286,R286:AA286)</f>
        <v>54.870000000000005</v>
      </c>
      <c r="H286" s="19" t="e">
        <f>IF(ISBLANK(B286),0,+#REF!/B286)</f>
        <v>#REF!</v>
      </c>
      <c r="I286" s="19"/>
      <c r="J286" s="82">
        <f>IF(ISBLANK(B286),0,+J$213)</f>
        <v>55</v>
      </c>
      <c r="K286" s="82">
        <f>ROUND($B286*K$213,2)</f>
        <v>-0.12</v>
      </c>
      <c r="L286" s="82"/>
      <c r="M286" s="41"/>
      <c r="N286" s="17">
        <f>SUM(K286:L286)</f>
        <v>-0.12</v>
      </c>
      <c r="O286" s="41"/>
      <c r="P286" s="41"/>
      <c r="Q286" s="41"/>
      <c r="R286" s="41"/>
      <c r="S286" s="42">
        <f>ROUND($B286*S$213*S285,2)</f>
        <v>0</v>
      </c>
      <c r="T286" s="42">
        <f>ROUND($B286*T$213,2)</f>
        <v>0</v>
      </c>
      <c r="U286" s="42">
        <f>ROUND($B286*U$213,2)</f>
        <v>0</v>
      </c>
      <c r="V286" s="41">
        <f>ROUND($B286*V$209,2)</f>
        <v>0</v>
      </c>
      <c r="W286" s="42">
        <f>ROUND($B286*W$213,2)</f>
        <v>0</v>
      </c>
      <c r="X286" s="42">
        <f>ROUND($B286*X$213,2)</f>
        <v>-0.01</v>
      </c>
      <c r="Y286" s="42">
        <f>ROUND($B286*Y$213,2)</f>
        <v>0</v>
      </c>
      <c r="Z286" s="42">
        <f>ROUND($B286*Z$213,2)</f>
        <v>0</v>
      </c>
      <c r="AA286" s="42">
        <f>ROUND($B286*AA$213,2)</f>
        <v>0</v>
      </c>
      <c r="AB286" s="19">
        <f>SUM(U$213:AA$213)+(-V$213+V251)</f>
        <v>1.4498999999999998E-2</v>
      </c>
      <c r="AC286" s="94" t="str">
        <f>+F286</f>
        <v>SH2</v>
      </c>
    </row>
    <row r="287" spans="1:29" x14ac:dyDescent="0.2">
      <c r="A287" s="96"/>
      <c r="B287" s="103">
        <v>-1</v>
      </c>
      <c r="C287" s="1"/>
      <c r="F287" s="36"/>
      <c r="G287" s="17"/>
      <c r="H287" s="19"/>
      <c r="I287" s="19"/>
      <c r="J287" s="82"/>
      <c r="K287" s="82"/>
      <c r="L287" s="82"/>
      <c r="M287" s="41"/>
      <c r="N287" s="17"/>
      <c r="O287" s="41"/>
      <c r="P287" s="41"/>
      <c r="Q287" s="41"/>
      <c r="R287" s="41"/>
      <c r="S287" s="50">
        <v>1</v>
      </c>
      <c r="T287" s="42"/>
      <c r="U287" s="42"/>
      <c r="V287" s="41"/>
      <c r="W287" s="42"/>
      <c r="X287" s="42"/>
      <c r="Y287" s="42"/>
      <c r="Z287" s="42"/>
      <c r="AA287" s="42"/>
      <c r="AB287" s="19"/>
      <c r="AC287" s="94"/>
    </row>
    <row r="288" spans="1:29" x14ac:dyDescent="0.2">
      <c r="A288" s="96"/>
      <c r="B288" s="103">
        <f>IF(AND('AES Indiana Bill Calc.'!$D$17="SH",'AES Indiana Bill Calc.'!$D$18="Yes 100%",'AES Indiana Bill Calc.'!$D$20="Yes 2023"),'AES Indiana Bill Calc.'!$D$19,-1)</f>
        <v>-1</v>
      </c>
      <c r="C288" s="1" t="s">
        <v>148</v>
      </c>
      <c r="F288" s="36" t="s">
        <v>181</v>
      </c>
      <c r="G288" s="17">
        <f>SUM(J288:M288,O288:P288,R288:AA288)</f>
        <v>54.870000000000005</v>
      </c>
      <c r="H288" s="19" t="e">
        <f>IF(ISBLANK(B288),0,+#REF!/B288)</f>
        <v>#REF!</v>
      </c>
      <c r="I288" s="19"/>
      <c r="J288" s="82">
        <f>IF(ISBLANK(B288),0,+J$213)</f>
        <v>55</v>
      </c>
      <c r="K288" s="82">
        <f>ROUND($B288*K$213,2)</f>
        <v>-0.12</v>
      </c>
      <c r="L288" s="82"/>
      <c r="M288" s="41"/>
      <c r="N288" s="17">
        <f>SUM(K288:L288)</f>
        <v>-0.12</v>
      </c>
      <c r="O288" s="41"/>
      <c r="P288" s="41"/>
      <c r="Q288" s="41"/>
      <c r="R288" s="41"/>
      <c r="S288" s="42">
        <f>ROUND($B288*S$213*S287,2)</f>
        <v>0</v>
      </c>
      <c r="T288" s="42">
        <f>ROUND($B288*T$213,2)</f>
        <v>0</v>
      </c>
      <c r="U288" s="42">
        <f>ROUND($B288*U$213,2)</f>
        <v>0</v>
      </c>
      <c r="V288" s="41">
        <f>ROUND($B288*V$209,2)</f>
        <v>0</v>
      </c>
      <c r="W288" s="42">
        <f>ROUND($B288*W$213,2)</f>
        <v>0</v>
      </c>
      <c r="X288" s="42">
        <f>ROUND($B288*X$213,2)</f>
        <v>-0.01</v>
      </c>
      <c r="Y288" s="42">
        <f>ROUND($B288*Y$213,2)</f>
        <v>0</v>
      </c>
      <c r="Z288" s="42">
        <f>ROUND($B288*Z$213,2)</f>
        <v>0</v>
      </c>
      <c r="AA288" s="42">
        <f>ROUND($B288*AA$213,2)</f>
        <v>0</v>
      </c>
      <c r="AB288" s="19">
        <f>SUM(U$213:AA$213)+(-V$213+V253)</f>
        <v>1.4498999999999998E-2</v>
      </c>
      <c r="AC288" s="94" t="str">
        <f>+F288</f>
        <v>SH3</v>
      </c>
    </row>
    <row r="289" spans="1:29" x14ac:dyDescent="0.2">
      <c r="A289" s="96"/>
      <c r="B289" s="97">
        <v>-1</v>
      </c>
      <c r="C289" s="9"/>
      <c r="F289" s="36"/>
      <c r="G289" s="98"/>
      <c r="H289" s="19"/>
      <c r="I289" s="19"/>
      <c r="J289" s="104"/>
      <c r="K289" s="104"/>
      <c r="L289" s="104"/>
      <c r="M289" s="87"/>
      <c r="N289" s="87"/>
      <c r="O289" s="87"/>
      <c r="P289" s="87"/>
      <c r="Q289" s="87"/>
      <c r="R289" s="87"/>
      <c r="S289" s="50">
        <v>0.5</v>
      </c>
      <c r="T289" s="98"/>
      <c r="U289" s="98"/>
      <c r="V289" s="87"/>
      <c r="W289" s="98"/>
      <c r="X289" s="98"/>
      <c r="Y289" s="98"/>
      <c r="Z289" s="98"/>
      <c r="AA289" s="98"/>
      <c r="AB289" s="19"/>
      <c r="AC289" s="105"/>
    </row>
    <row r="290" spans="1:29" x14ac:dyDescent="0.2">
      <c r="A290" s="96"/>
      <c r="B290" s="103">
        <f>IF(AND('AES Indiana Bill Calc.'!$D$17="SH",'AES Indiana Bill Calc.'!$D$18="Yes 50%",'AES Indiana Bill Calc.'!$D$20="Yes 2023"),'AES Indiana Bill Calc.'!$D$19,-1)</f>
        <v>-1</v>
      </c>
      <c r="C290" s="1" t="s">
        <v>149</v>
      </c>
      <c r="F290" s="36" t="s">
        <v>181</v>
      </c>
      <c r="G290" s="17">
        <f>SUM(J290:M290,O290:P290,R290:AA290)</f>
        <v>54.870000000000005</v>
      </c>
      <c r="H290" s="19" t="e">
        <f>IF(ISBLANK(B290),0,+#REF!/B290)</f>
        <v>#REF!</v>
      </c>
      <c r="I290" s="19"/>
      <c r="J290" s="82">
        <f>IF(ISBLANK(B290),0,+J$213)</f>
        <v>55</v>
      </c>
      <c r="K290" s="82">
        <f>ROUND($B290*K$213,2)</f>
        <v>-0.12</v>
      </c>
      <c r="L290" s="82"/>
      <c r="M290" s="41"/>
      <c r="N290" s="17">
        <f>SUM(K290:L290)</f>
        <v>-0.12</v>
      </c>
      <c r="O290" s="41"/>
      <c r="P290" s="41"/>
      <c r="Q290" s="41"/>
      <c r="R290" s="41"/>
      <c r="S290" s="42">
        <f>ROUND($B290*S$213*S289,2)</f>
        <v>0</v>
      </c>
      <c r="T290" s="42">
        <f>ROUND($B290*T$213,2)</f>
        <v>0</v>
      </c>
      <c r="U290" s="42">
        <f>ROUND($B290*U$213,2)</f>
        <v>0</v>
      </c>
      <c r="V290" s="41">
        <f>ROUND($B290*V$210,2)</f>
        <v>0</v>
      </c>
      <c r="W290" s="42">
        <f>ROUND($B290*W$213,2)</f>
        <v>0</v>
      </c>
      <c r="X290" s="42">
        <f>ROUND($B290*X$213,2)</f>
        <v>-0.01</v>
      </c>
      <c r="Y290" s="42">
        <f>ROUND($B290*Y$213,2)</f>
        <v>0</v>
      </c>
      <c r="Z290" s="42">
        <f>ROUND($B290*Z$213,2)</f>
        <v>0</v>
      </c>
      <c r="AA290" s="42">
        <f>ROUND($B290*AA$213,2)</f>
        <v>0</v>
      </c>
      <c r="AB290" s="19">
        <f>SUM(U$213:AA$213)+(-V$213+V255)</f>
        <v>1.4498999999999998E-2</v>
      </c>
      <c r="AC290" s="94" t="str">
        <f>+F290</f>
        <v>SH3</v>
      </c>
    </row>
    <row r="291" spans="1:29" x14ac:dyDescent="0.2">
      <c r="A291" s="96"/>
      <c r="B291" s="97">
        <v>-1</v>
      </c>
      <c r="C291" s="9"/>
      <c r="F291" s="36"/>
      <c r="G291" s="98"/>
      <c r="H291" s="19"/>
      <c r="I291" s="19"/>
      <c r="J291" s="104"/>
      <c r="K291" s="104"/>
      <c r="L291" s="104"/>
      <c r="M291" s="87"/>
      <c r="N291" s="87"/>
      <c r="O291" s="87"/>
      <c r="P291" s="87"/>
      <c r="Q291" s="87"/>
      <c r="R291" s="87"/>
      <c r="S291" s="50">
        <v>0.25</v>
      </c>
      <c r="T291" s="98"/>
      <c r="U291" s="98"/>
      <c r="V291" s="87"/>
      <c r="W291" s="98"/>
      <c r="X291" s="98"/>
      <c r="Y291" s="98"/>
      <c r="Z291" s="98"/>
      <c r="AA291" s="98"/>
      <c r="AB291" s="19"/>
      <c r="AC291" s="105"/>
    </row>
    <row r="292" spans="1:29" x14ac:dyDescent="0.2">
      <c r="A292" s="96"/>
      <c r="B292" s="103">
        <f>IF(AND('AES Indiana Bill Calc.'!$D$17="SH",'AES Indiana Bill Calc.'!$D$18="Yes 25%",'AES Indiana Bill Calc.'!$D$20="Yes 2023"),'AES Indiana Bill Calc.'!$D$19,-1)</f>
        <v>-1</v>
      </c>
      <c r="C292" s="1" t="s">
        <v>150</v>
      </c>
      <c r="F292" s="36" t="s">
        <v>181</v>
      </c>
      <c r="G292" s="17">
        <f>SUM(J292:M292,O292:P292,R292:AA292)</f>
        <v>54.870000000000005</v>
      </c>
      <c r="H292" s="19" t="e">
        <f>IF(ISBLANK(B292),0,+#REF!/B292)</f>
        <v>#REF!</v>
      </c>
      <c r="I292" s="19"/>
      <c r="J292" s="82">
        <f>IF(ISBLANK(B292),0,+J$213)</f>
        <v>55</v>
      </c>
      <c r="K292" s="82">
        <f>ROUND($B292*K$213,2)</f>
        <v>-0.12</v>
      </c>
      <c r="L292" s="82"/>
      <c r="M292" s="41"/>
      <c r="N292" s="17">
        <f>SUM(K292:L292)</f>
        <v>-0.12</v>
      </c>
      <c r="O292" s="41"/>
      <c r="P292" s="41"/>
      <c r="Q292" s="41"/>
      <c r="R292" s="41"/>
      <c r="S292" s="42">
        <f>ROUND($B292*S$213*S291,2)</f>
        <v>0</v>
      </c>
      <c r="T292" s="42">
        <f>ROUND($B292*T$213,2)</f>
        <v>0</v>
      </c>
      <c r="U292" s="42">
        <f>ROUND($B292*U$213,2)</f>
        <v>0</v>
      </c>
      <c r="V292" s="41">
        <f>ROUND($B292*V$210,2)</f>
        <v>0</v>
      </c>
      <c r="W292" s="42">
        <f>ROUND($B292*W$213,2)</f>
        <v>0</v>
      </c>
      <c r="X292" s="42">
        <f>ROUND($B292*X$213,2)</f>
        <v>-0.01</v>
      </c>
      <c r="Y292" s="42">
        <f>ROUND($B292*Y$213,2)</f>
        <v>0</v>
      </c>
      <c r="Z292" s="42">
        <f>ROUND($B292*Z$213,2)</f>
        <v>0</v>
      </c>
      <c r="AA292" s="42">
        <f>ROUND($B292*AA$213,2)</f>
        <v>0</v>
      </c>
      <c r="AB292" s="19">
        <f>SUM(U$213:AA$213)+(-V$213+V257)</f>
        <v>1.4498999999999998E-2</v>
      </c>
      <c r="AC292" s="94" t="str">
        <f>+F292</f>
        <v>SH3</v>
      </c>
    </row>
    <row r="293" spans="1:29" x14ac:dyDescent="0.2">
      <c r="A293" s="96"/>
      <c r="B293" s="97">
        <v>-1</v>
      </c>
      <c r="C293" s="9"/>
      <c r="F293" s="36"/>
      <c r="G293" s="98"/>
      <c r="H293" s="19"/>
      <c r="I293" s="19"/>
      <c r="J293" s="104"/>
      <c r="K293" s="104"/>
      <c r="L293" s="104"/>
      <c r="M293" s="87"/>
      <c r="N293" s="87"/>
      <c r="O293" s="87"/>
      <c r="P293" s="87"/>
      <c r="Q293" s="87"/>
      <c r="R293" s="87"/>
      <c r="S293" s="50">
        <v>0.1</v>
      </c>
      <c r="T293" s="98"/>
      <c r="U293" s="98"/>
      <c r="V293" s="87"/>
      <c r="W293" s="98"/>
      <c r="X293" s="98"/>
      <c r="Y293" s="98"/>
      <c r="Z293" s="98"/>
      <c r="AA293" s="98"/>
      <c r="AB293" s="19"/>
      <c r="AC293" s="105"/>
    </row>
    <row r="294" spans="1:29" x14ac:dyDescent="0.2">
      <c r="A294" s="96"/>
      <c r="B294" s="103">
        <f>IF(AND('AES Indiana Bill Calc.'!$D$17="SH",'AES Indiana Bill Calc.'!$D$18="Yes 10%",'AES Indiana Bill Calc.'!$D$20="Yes 2023"),'AES Indiana Bill Calc.'!$D$19,-1)</f>
        <v>-1</v>
      </c>
      <c r="C294" s="1" t="s">
        <v>164</v>
      </c>
      <c r="F294" s="36" t="s">
        <v>181</v>
      </c>
      <c r="G294" s="17">
        <f>SUM(J294:M294,O294:P294,R294:AA294)</f>
        <v>54.870000000000005</v>
      </c>
      <c r="H294" s="19" t="e">
        <f>IF(ISBLANK(B294),0,+#REF!/B294)</f>
        <v>#REF!</v>
      </c>
      <c r="I294" s="19"/>
      <c r="J294" s="82">
        <f>IF(ISBLANK(B294),0,+J$213)</f>
        <v>55</v>
      </c>
      <c r="K294" s="82">
        <f>ROUND($B294*K$213,2)</f>
        <v>-0.12</v>
      </c>
      <c r="L294" s="82"/>
      <c r="M294" s="41"/>
      <c r="N294" s="17">
        <f>SUM(K294:L294)</f>
        <v>-0.12</v>
      </c>
      <c r="O294" s="41"/>
      <c r="P294" s="41"/>
      <c r="Q294" s="41"/>
      <c r="R294" s="41"/>
      <c r="S294" s="42">
        <f>ROUND($B294*S$213*S293,2)</f>
        <v>0</v>
      </c>
      <c r="T294" s="42">
        <f>ROUND($B294*T$213,2)</f>
        <v>0</v>
      </c>
      <c r="U294" s="42">
        <f>ROUND($B294*U$213,2)</f>
        <v>0</v>
      </c>
      <c r="V294" s="41">
        <f>ROUND($B294*V$210,2)</f>
        <v>0</v>
      </c>
      <c r="W294" s="42">
        <f>ROUND($B294*W$213,2)</f>
        <v>0</v>
      </c>
      <c r="X294" s="42">
        <f>ROUND($B294*X$213,2)</f>
        <v>-0.01</v>
      </c>
      <c r="Y294" s="42">
        <f>ROUND($B294*Y$213,2)</f>
        <v>0</v>
      </c>
      <c r="Z294" s="42">
        <f>ROUND($B294*Z$213,2)</f>
        <v>0</v>
      </c>
      <c r="AA294" s="42">
        <f>ROUND($B294*AA$213,2)</f>
        <v>0</v>
      </c>
      <c r="AB294" s="19">
        <f>SUM(U$213:AA$213)+(-V$213+V259)</f>
        <v>1.4498999999999998E-2</v>
      </c>
      <c r="AC294" s="94" t="str">
        <f>+F294</f>
        <v>SH3</v>
      </c>
    </row>
    <row r="295" spans="1:29" x14ac:dyDescent="0.2">
      <c r="A295" s="96"/>
      <c r="B295" s="97">
        <v>-1</v>
      </c>
      <c r="C295" s="9"/>
      <c r="F295" s="36"/>
      <c r="G295" s="98"/>
      <c r="H295" s="19"/>
      <c r="I295" s="19"/>
      <c r="J295" s="104"/>
      <c r="K295" s="104"/>
      <c r="L295" s="104"/>
      <c r="M295" s="87"/>
      <c r="N295" s="87"/>
      <c r="O295" s="87"/>
      <c r="P295" s="87"/>
      <c r="Q295" s="87"/>
      <c r="R295" s="87"/>
      <c r="S295" s="50">
        <v>0</v>
      </c>
      <c r="T295" s="98"/>
      <c r="U295" s="98"/>
      <c r="V295" s="87"/>
      <c r="W295" s="98"/>
      <c r="X295" s="98"/>
      <c r="Y295" s="98"/>
      <c r="Z295" s="98"/>
      <c r="AA295" s="98"/>
      <c r="AB295" s="19"/>
      <c r="AC295" s="105"/>
    </row>
    <row r="296" spans="1:29" x14ac:dyDescent="0.2">
      <c r="A296" s="96"/>
      <c r="B296" s="103">
        <f>IF(AND('AES Indiana Bill Calc.'!$D$17="SH",'AES Indiana Bill Calc.'!$D$18="No",'AES Indiana Bill Calc.'!$D$20="Yes 2023"),'AES Indiana Bill Calc.'!$D$19,-1)</f>
        <v>-1</v>
      </c>
      <c r="C296" s="1" t="s">
        <v>147</v>
      </c>
      <c r="F296" s="36" t="s">
        <v>181</v>
      </c>
      <c r="G296" s="17">
        <f>SUM(J296:M296,O296:P296,R296:AA296)</f>
        <v>54.870000000000005</v>
      </c>
      <c r="H296" s="19" t="e">
        <f>IF(ISBLANK(B296),0,+#REF!/B296)</f>
        <v>#REF!</v>
      </c>
      <c r="I296" s="19"/>
      <c r="J296" s="82">
        <f>IF(ISBLANK(B296),0,+J$213)</f>
        <v>55</v>
      </c>
      <c r="K296" s="82">
        <f>ROUND($B296*K$213,2)</f>
        <v>-0.12</v>
      </c>
      <c r="L296" s="82"/>
      <c r="M296" s="41"/>
      <c r="N296" s="17">
        <f>SUM(K296:L296)</f>
        <v>-0.12</v>
      </c>
      <c r="O296" s="41"/>
      <c r="P296" s="41"/>
      <c r="Q296" s="41"/>
      <c r="R296" s="41"/>
      <c r="S296" s="42">
        <f>ROUND($B296*S$213*S295,2)</f>
        <v>0</v>
      </c>
      <c r="T296" s="42">
        <f>ROUND($B296*T$213,2)</f>
        <v>0</v>
      </c>
      <c r="U296" s="42">
        <f>ROUND($B296*U$213,2)</f>
        <v>0</v>
      </c>
      <c r="V296" s="41">
        <f>ROUND($B296*V$210,2)</f>
        <v>0</v>
      </c>
      <c r="W296" s="42">
        <f>ROUND($B296*W$213,2)</f>
        <v>0</v>
      </c>
      <c r="X296" s="42">
        <f>ROUND($B296*X$213,2)</f>
        <v>-0.01</v>
      </c>
      <c r="Y296" s="42">
        <f>ROUND($B296*Y$213,2)</f>
        <v>0</v>
      </c>
      <c r="Z296" s="42">
        <f>ROUND($B296*Z$213,2)</f>
        <v>0</v>
      </c>
      <c r="AA296" s="42">
        <f>ROUND($B296*AA$213,2)</f>
        <v>0</v>
      </c>
      <c r="AB296" s="19">
        <f>SUM(U$213:AA$213)+(-V$213+V261)</f>
        <v>1.4498999999999998E-2</v>
      </c>
      <c r="AC296" s="94" t="str">
        <f>+F296</f>
        <v>SH3</v>
      </c>
    </row>
    <row r="297" spans="1:29" x14ac:dyDescent="0.2">
      <c r="A297" s="96"/>
      <c r="B297" s="103">
        <v>-1</v>
      </c>
      <c r="C297" s="1"/>
      <c r="F297" s="36"/>
      <c r="G297" s="17"/>
      <c r="H297" s="19"/>
      <c r="I297" s="19"/>
      <c r="J297" s="82"/>
      <c r="K297" s="82"/>
      <c r="L297" s="82"/>
      <c r="M297" s="41"/>
      <c r="N297" s="17"/>
      <c r="O297" s="41"/>
      <c r="P297" s="41"/>
      <c r="Q297" s="41"/>
      <c r="R297" s="41"/>
      <c r="S297" s="50">
        <v>1</v>
      </c>
      <c r="T297" s="42"/>
      <c r="U297" s="42"/>
      <c r="V297" s="41"/>
      <c r="W297" s="42"/>
      <c r="X297" s="42"/>
      <c r="Y297" s="42"/>
      <c r="Z297" s="42"/>
      <c r="AA297" s="42"/>
      <c r="AB297" s="19"/>
      <c r="AC297" s="94"/>
    </row>
    <row r="298" spans="1:29" x14ac:dyDescent="0.2">
      <c r="A298" s="96"/>
      <c r="B298" s="103">
        <f>IF(AND('AES Indiana Bill Calc.'!$D$17="SH",'AES Indiana Bill Calc.'!$D$18="Yes 100%",'AES Indiana Bill Calc.'!$D$20="Yes 2024"),'AES Indiana Bill Calc.'!$D$19,-1)</f>
        <v>-1</v>
      </c>
      <c r="C298" s="1" t="s">
        <v>148</v>
      </c>
      <c r="F298" s="36" t="s">
        <v>303</v>
      </c>
      <c r="G298" s="17">
        <f>SUM(J298:M298,O298:P298,R298:AA298)</f>
        <v>54.870000000000005</v>
      </c>
      <c r="H298" s="19" t="e">
        <f>IF(ISBLANK(B298),0,+#REF!/B298)</f>
        <v>#REF!</v>
      </c>
      <c r="I298" s="19"/>
      <c r="J298" s="82">
        <f>IF(ISBLANK(B298),0,+J$213)</f>
        <v>55</v>
      </c>
      <c r="K298" s="82">
        <f>ROUND($B298*K$213,2)</f>
        <v>-0.12</v>
      </c>
      <c r="L298" s="82"/>
      <c r="M298" s="41"/>
      <c r="N298" s="17">
        <f>SUM(K298:L298)</f>
        <v>-0.12</v>
      </c>
      <c r="O298" s="41"/>
      <c r="P298" s="41"/>
      <c r="Q298" s="41"/>
      <c r="R298" s="41"/>
      <c r="S298" s="42">
        <f>ROUND($B298*S$213*S297,2)</f>
        <v>0</v>
      </c>
      <c r="T298" s="42">
        <f>ROUND($B298*T$213,2)</f>
        <v>0</v>
      </c>
      <c r="U298" s="42">
        <f>ROUND($B298*U$213,2)</f>
        <v>0</v>
      </c>
      <c r="V298" s="41">
        <f>ROUND($B298*V$211,2)</f>
        <v>0</v>
      </c>
      <c r="W298" s="42">
        <f>ROUND($B298*W$213,2)</f>
        <v>0</v>
      </c>
      <c r="X298" s="42">
        <f>ROUND($B298*X$213,2)</f>
        <v>-0.01</v>
      </c>
      <c r="Y298" s="42">
        <f>ROUND($B298*Y$213,2)</f>
        <v>0</v>
      </c>
      <c r="Z298" s="42">
        <f>ROUND($B298*Z$213,2)</f>
        <v>0</v>
      </c>
      <c r="AA298" s="42">
        <f>ROUND($B298*AA$213,2)</f>
        <v>0</v>
      </c>
      <c r="AB298" s="19">
        <f>SUM(U$213:AA$213)+(-V$213+V263)</f>
        <v>1.4498999999999998E-2</v>
      </c>
      <c r="AC298" s="94" t="str">
        <f>+F298</f>
        <v>SH4</v>
      </c>
    </row>
    <row r="299" spans="1:29" x14ac:dyDescent="0.2">
      <c r="A299" s="96"/>
      <c r="B299" s="97">
        <v>-1</v>
      </c>
      <c r="C299" s="9"/>
      <c r="F299" s="36"/>
      <c r="G299" s="98"/>
      <c r="H299" s="19"/>
      <c r="I299" s="19"/>
      <c r="J299" s="104"/>
      <c r="K299" s="104"/>
      <c r="L299" s="104"/>
      <c r="M299" s="87"/>
      <c r="N299" s="87"/>
      <c r="O299" s="87"/>
      <c r="P299" s="87"/>
      <c r="Q299" s="87"/>
      <c r="R299" s="87"/>
      <c r="S299" s="50">
        <v>0.5</v>
      </c>
      <c r="T299" s="98"/>
      <c r="U299" s="98"/>
      <c r="V299" s="87"/>
      <c r="W299" s="98"/>
      <c r="X299" s="98"/>
      <c r="Y299" s="98"/>
      <c r="Z299" s="98"/>
      <c r="AA299" s="98"/>
      <c r="AB299" s="19"/>
      <c r="AC299" s="105"/>
    </row>
    <row r="300" spans="1:29" x14ac:dyDescent="0.2">
      <c r="A300" s="96"/>
      <c r="B300" s="103">
        <f>IF(AND('AES Indiana Bill Calc.'!$D$17="SH",'AES Indiana Bill Calc.'!$D$18="Yes 50%",'AES Indiana Bill Calc.'!$D$20="Yes 2024"),'AES Indiana Bill Calc.'!$D$19,-1)</f>
        <v>-1</v>
      </c>
      <c r="C300" s="1" t="s">
        <v>149</v>
      </c>
      <c r="F300" s="36" t="s">
        <v>303</v>
      </c>
      <c r="G300" s="17">
        <f>SUM(J300:M300,O300:P300,R300:AA300)</f>
        <v>54.870000000000005</v>
      </c>
      <c r="H300" s="19" t="e">
        <f>IF(ISBLANK(B300),0,+#REF!/B300)</f>
        <v>#REF!</v>
      </c>
      <c r="I300" s="19"/>
      <c r="J300" s="82">
        <f>IF(ISBLANK(B300),0,+J$213)</f>
        <v>55</v>
      </c>
      <c r="K300" s="82">
        <f>ROUND($B300*K$213,2)</f>
        <v>-0.12</v>
      </c>
      <c r="L300" s="82"/>
      <c r="M300" s="41"/>
      <c r="N300" s="17">
        <f>SUM(K300:L300)</f>
        <v>-0.12</v>
      </c>
      <c r="O300" s="41"/>
      <c r="P300" s="41"/>
      <c r="Q300" s="41"/>
      <c r="R300" s="41"/>
      <c r="S300" s="42">
        <f>ROUND($B300*S$213*S299,2)</f>
        <v>0</v>
      </c>
      <c r="T300" s="42">
        <f>ROUND($B300*T$213,2)</f>
        <v>0</v>
      </c>
      <c r="U300" s="42">
        <f>ROUND($B300*U$213,2)</f>
        <v>0</v>
      </c>
      <c r="V300" s="41">
        <f>ROUND($B300*V$211,2)</f>
        <v>0</v>
      </c>
      <c r="W300" s="42">
        <f>ROUND($B300*W$213,2)</f>
        <v>0</v>
      </c>
      <c r="X300" s="42">
        <f>ROUND($B300*X$213,2)</f>
        <v>-0.01</v>
      </c>
      <c r="Y300" s="42">
        <f>ROUND($B300*Y$213,2)</f>
        <v>0</v>
      </c>
      <c r="Z300" s="42">
        <f>ROUND($B300*Z$213,2)</f>
        <v>0</v>
      </c>
      <c r="AA300" s="42">
        <f>ROUND($B300*AA$213,2)</f>
        <v>0</v>
      </c>
      <c r="AB300" s="19">
        <f>SUM(U$213:AA$213)+(-V$213+V265)</f>
        <v>1.4498999999999998E-2</v>
      </c>
      <c r="AC300" s="94" t="str">
        <f>+F300</f>
        <v>SH4</v>
      </c>
    </row>
    <row r="301" spans="1:29" x14ac:dyDescent="0.2">
      <c r="A301" s="96"/>
      <c r="B301" s="97">
        <v>-1</v>
      </c>
      <c r="C301" s="9"/>
      <c r="F301" s="36"/>
      <c r="G301" s="98"/>
      <c r="H301" s="19"/>
      <c r="I301" s="19"/>
      <c r="J301" s="104"/>
      <c r="K301" s="104"/>
      <c r="L301" s="104"/>
      <c r="M301" s="87"/>
      <c r="N301" s="87"/>
      <c r="O301" s="87"/>
      <c r="P301" s="87"/>
      <c r="Q301" s="87"/>
      <c r="R301" s="87"/>
      <c r="S301" s="50">
        <v>0.25</v>
      </c>
      <c r="T301" s="98"/>
      <c r="U301" s="98"/>
      <c r="V301" s="87"/>
      <c r="W301" s="98"/>
      <c r="X301" s="98"/>
      <c r="Y301" s="98"/>
      <c r="Z301" s="98"/>
      <c r="AA301" s="98"/>
      <c r="AB301" s="19"/>
      <c r="AC301" s="105"/>
    </row>
    <row r="302" spans="1:29" x14ac:dyDescent="0.2">
      <c r="A302" s="96"/>
      <c r="B302" s="103">
        <f>IF(AND('AES Indiana Bill Calc.'!$D$17="SH",'AES Indiana Bill Calc.'!$D$18="Yes 25%",'AES Indiana Bill Calc.'!$D$20="Yes 2024"),'AES Indiana Bill Calc.'!$D$19,-1)</f>
        <v>-1</v>
      </c>
      <c r="C302" s="1" t="s">
        <v>150</v>
      </c>
      <c r="F302" s="36" t="s">
        <v>303</v>
      </c>
      <c r="G302" s="17">
        <f>SUM(J302:M302,O302:P302,R302:AA302)</f>
        <v>54.870000000000005</v>
      </c>
      <c r="H302" s="19" t="e">
        <f>IF(ISBLANK(B302),0,+#REF!/B302)</f>
        <v>#REF!</v>
      </c>
      <c r="I302" s="19"/>
      <c r="J302" s="82">
        <f>IF(ISBLANK(B302),0,+J$213)</f>
        <v>55</v>
      </c>
      <c r="K302" s="82">
        <f>ROUND($B302*K$213,2)</f>
        <v>-0.12</v>
      </c>
      <c r="L302" s="82"/>
      <c r="M302" s="41"/>
      <c r="N302" s="17">
        <f>SUM(K302:L302)</f>
        <v>-0.12</v>
      </c>
      <c r="O302" s="41"/>
      <c r="P302" s="41"/>
      <c r="Q302" s="41"/>
      <c r="R302" s="41"/>
      <c r="S302" s="42">
        <f>ROUND($B302*S$213*S301,2)</f>
        <v>0</v>
      </c>
      <c r="T302" s="42">
        <f>ROUND($B302*T$213,2)</f>
        <v>0</v>
      </c>
      <c r="U302" s="42">
        <f>ROUND($B302*U$213,2)</f>
        <v>0</v>
      </c>
      <c r="V302" s="41">
        <f>ROUND($B302*V$211,2)</f>
        <v>0</v>
      </c>
      <c r="W302" s="42">
        <f>ROUND($B302*W$213,2)</f>
        <v>0</v>
      </c>
      <c r="X302" s="42">
        <f>ROUND($B302*X$213,2)</f>
        <v>-0.01</v>
      </c>
      <c r="Y302" s="42">
        <f>ROUND($B302*Y$213,2)</f>
        <v>0</v>
      </c>
      <c r="Z302" s="42">
        <f>ROUND($B302*Z$213,2)</f>
        <v>0</v>
      </c>
      <c r="AA302" s="42">
        <f>ROUND($B302*AA$213,2)</f>
        <v>0</v>
      </c>
      <c r="AB302" s="19">
        <f>SUM(U$213:AA$213)+(-V$213+V267)</f>
        <v>1.4498999999999998E-2</v>
      </c>
      <c r="AC302" s="94" t="str">
        <f>+F302</f>
        <v>SH4</v>
      </c>
    </row>
    <row r="303" spans="1:29" x14ac:dyDescent="0.2">
      <c r="A303" s="96"/>
      <c r="B303" s="97">
        <v>-1</v>
      </c>
      <c r="C303" s="9"/>
      <c r="F303" s="36"/>
      <c r="G303" s="98"/>
      <c r="H303" s="19"/>
      <c r="I303" s="19"/>
      <c r="J303" s="104"/>
      <c r="K303" s="104"/>
      <c r="L303" s="104"/>
      <c r="M303" s="87"/>
      <c r="N303" s="87"/>
      <c r="O303" s="87"/>
      <c r="P303" s="87"/>
      <c r="Q303" s="87"/>
      <c r="R303" s="87"/>
      <c r="S303" s="50">
        <v>0.1</v>
      </c>
      <c r="T303" s="98"/>
      <c r="U303" s="98"/>
      <c r="V303" s="87"/>
      <c r="W303" s="98"/>
      <c r="X303" s="98"/>
      <c r="Y303" s="98"/>
      <c r="Z303" s="98"/>
      <c r="AA303" s="98"/>
      <c r="AB303" s="19"/>
      <c r="AC303" s="105"/>
    </row>
    <row r="304" spans="1:29" x14ac:dyDescent="0.2">
      <c r="A304" s="96"/>
      <c r="B304" s="103">
        <f>IF(AND('AES Indiana Bill Calc.'!$D$17="SH",'AES Indiana Bill Calc.'!$D$18="Yes 10%",'AES Indiana Bill Calc.'!$D$20="Yes 2024"),'AES Indiana Bill Calc.'!$D$19,-1)</f>
        <v>-1</v>
      </c>
      <c r="C304" s="1" t="s">
        <v>164</v>
      </c>
      <c r="F304" s="36" t="s">
        <v>303</v>
      </c>
      <c r="G304" s="17">
        <f>SUM(J304:M304,O304:P304,R304:AA304)</f>
        <v>54.870000000000005</v>
      </c>
      <c r="H304" s="19" t="e">
        <f>IF(ISBLANK(B304),0,+#REF!/B304)</f>
        <v>#REF!</v>
      </c>
      <c r="I304" s="19"/>
      <c r="J304" s="82">
        <f>IF(ISBLANK(B304),0,+J$213)</f>
        <v>55</v>
      </c>
      <c r="K304" s="82">
        <f>ROUND($B304*K$213,2)</f>
        <v>-0.12</v>
      </c>
      <c r="L304" s="82"/>
      <c r="M304" s="41"/>
      <c r="N304" s="17">
        <f>SUM(K304:L304)</f>
        <v>-0.12</v>
      </c>
      <c r="O304" s="41"/>
      <c r="P304" s="41"/>
      <c r="Q304" s="41"/>
      <c r="R304" s="41"/>
      <c r="S304" s="42">
        <f>ROUND($B304*S$213*S303,2)</f>
        <v>0</v>
      </c>
      <c r="T304" s="42">
        <f>ROUND($B304*T$213,2)</f>
        <v>0</v>
      </c>
      <c r="U304" s="42">
        <f>ROUND($B304*U$213,2)</f>
        <v>0</v>
      </c>
      <c r="V304" s="41">
        <f>ROUND($B304*V$211,2)</f>
        <v>0</v>
      </c>
      <c r="W304" s="42">
        <f>ROUND($B304*W$213,2)</f>
        <v>0</v>
      </c>
      <c r="X304" s="42">
        <f>ROUND($B304*X$213,2)</f>
        <v>-0.01</v>
      </c>
      <c r="Y304" s="42">
        <f>ROUND($B304*Y$213,2)</f>
        <v>0</v>
      </c>
      <c r="Z304" s="42">
        <f>ROUND($B304*Z$213,2)</f>
        <v>0</v>
      </c>
      <c r="AA304" s="42">
        <f>ROUND($B304*AA$213,2)</f>
        <v>0</v>
      </c>
      <c r="AB304" s="19">
        <f>SUM(U$213:AA$213)+(-V$213+V269)</f>
        <v>1.4498999999999998E-2</v>
      </c>
      <c r="AC304" s="94" t="str">
        <f>+F304</f>
        <v>SH4</v>
      </c>
    </row>
    <row r="305" spans="1:29" x14ac:dyDescent="0.2">
      <c r="A305" s="96"/>
      <c r="B305" s="97">
        <v>-1</v>
      </c>
      <c r="C305" s="9"/>
      <c r="F305" s="36"/>
      <c r="G305" s="98"/>
      <c r="H305" s="19"/>
      <c r="I305" s="19"/>
      <c r="J305" s="104"/>
      <c r="K305" s="104"/>
      <c r="L305" s="104"/>
      <c r="M305" s="87"/>
      <c r="N305" s="87"/>
      <c r="O305" s="87"/>
      <c r="P305" s="87"/>
      <c r="Q305" s="87"/>
      <c r="R305" s="87"/>
      <c r="S305" s="50">
        <v>0</v>
      </c>
      <c r="T305" s="98"/>
      <c r="U305" s="98"/>
      <c r="V305" s="87"/>
      <c r="W305" s="98"/>
      <c r="X305" s="98"/>
      <c r="Y305" s="98"/>
      <c r="Z305" s="98"/>
      <c r="AA305" s="98"/>
      <c r="AB305" s="19"/>
      <c r="AC305" s="105"/>
    </row>
    <row r="306" spans="1:29" x14ac:dyDescent="0.2">
      <c r="A306" s="96"/>
      <c r="B306" s="103">
        <f>IF(AND('AES Indiana Bill Calc.'!$D$17="SH",'AES Indiana Bill Calc.'!$D$18="No",'AES Indiana Bill Calc.'!$D$20="Yes 2024"),'AES Indiana Bill Calc.'!$D$19,-1)</f>
        <v>-1</v>
      </c>
      <c r="C306" s="1" t="s">
        <v>147</v>
      </c>
      <c r="F306" s="36" t="s">
        <v>303</v>
      </c>
      <c r="G306" s="17">
        <f>SUM(J306:M306,O306:P306,R306:AA306)</f>
        <v>54.870000000000005</v>
      </c>
      <c r="H306" s="19" t="e">
        <f>IF(ISBLANK(B306),0,+#REF!/B306)</f>
        <v>#REF!</v>
      </c>
      <c r="I306" s="19"/>
      <c r="J306" s="82">
        <f>IF(ISBLANK(B306),0,+J$213)</f>
        <v>55</v>
      </c>
      <c r="K306" s="82">
        <f>ROUND($B306*K$213,2)</f>
        <v>-0.12</v>
      </c>
      <c r="L306" s="82"/>
      <c r="M306" s="41"/>
      <c r="N306" s="17">
        <f>SUM(K306:L306)</f>
        <v>-0.12</v>
      </c>
      <c r="O306" s="41"/>
      <c r="P306" s="41"/>
      <c r="Q306" s="41"/>
      <c r="R306" s="41"/>
      <c r="S306" s="42">
        <f>ROUND($B306*S$213*S305,2)</f>
        <v>0</v>
      </c>
      <c r="T306" s="42">
        <f>ROUND($B306*T$213,2)</f>
        <v>0</v>
      </c>
      <c r="U306" s="42">
        <f>ROUND($B306*U$213,2)</f>
        <v>0</v>
      </c>
      <c r="V306" s="41">
        <f>ROUND($B306*V$211,2)</f>
        <v>0</v>
      </c>
      <c r="W306" s="42">
        <f>ROUND($B306*W$213,2)</f>
        <v>0</v>
      </c>
      <c r="X306" s="42">
        <f>ROUND($B306*X$213,2)</f>
        <v>-0.01</v>
      </c>
      <c r="Y306" s="42">
        <f>ROUND($B306*Y$213,2)</f>
        <v>0</v>
      </c>
      <c r="Z306" s="42">
        <f>ROUND($B306*Z$213,2)</f>
        <v>0</v>
      </c>
      <c r="AA306" s="42">
        <f>ROUND($B306*AA$213,2)</f>
        <v>0</v>
      </c>
      <c r="AB306" s="19">
        <f>SUM(U$213:AA$213)+(-V$213+V271)</f>
        <v>1.4498999999999998E-2</v>
      </c>
      <c r="AC306" s="94" t="str">
        <f>+F306</f>
        <v>SH4</v>
      </c>
    </row>
    <row r="307" spans="1:29" x14ac:dyDescent="0.2">
      <c r="A307" s="96"/>
      <c r="B307" s="103">
        <v>-1</v>
      </c>
      <c r="C307" s="1"/>
      <c r="F307" s="36"/>
      <c r="G307" s="17"/>
      <c r="H307" s="19"/>
      <c r="I307" s="19"/>
      <c r="J307" s="82"/>
      <c r="K307" s="82"/>
      <c r="L307" s="82"/>
      <c r="M307" s="41"/>
      <c r="N307" s="17"/>
      <c r="O307" s="41"/>
      <c r="P307" s="41"/>
      <c r="Q307" s="41"/>
      <c r="R307" s="41"/>
      <c r="S307" s="50">
        <v>1</v>
      </c>
      <c r="T307" s="42"/>
      <c r="U307" s="42"/>
      <c r="V307" s="41"/>
      <c r="W307" s="42"/>
      <c r="X307" s="42"/>
      <c r="Y307" s="42"/>
      <c r="Z307" s="42"/>
      <c r="AA307" s="42"/>
      <c r="AB307" s="19"/>
      <c r="AC307" s="94"/>
    </row>
    <row r="308" spans="1:29" x14ac:dyDescent="0.2">
      <c r="A308" s="96"/>
      <c r="B308" s="103">
        <f>IF(AND('AES Indiana Bill Calc.'!$D$17="SH",'AES Indiana Bill Calc.'!$D$18="Yes 100%",'AES Indiana Bill Calc.'!$D$20="Yes 2025"),'AES Indiana Bill Calc.'!$D$19,-1)</f>
        <v>-1</v>
      </c>
      <c r="C308" s="1" t="s">
        <v>148</v>
      </c>
      <c r="F308" s="36" t="s">
        <v>327</v>
      </c>
      <c r="G308" s="17">
        <f>SUM(J308:M308,O308:P308,R308:AA308)</f>
        <v>54.870000000000005</v>
      </c>
      <c r="H308" s="19" t="e">
        <f>IF(ISBLANK(B308),0,+#REF!/B308)</f>
        <v>#REF!</v>
      </c>
      <c r="I308" s="19"/>
      <c r="J308" s="82">
        <f>IF(ISBLANK(B308),0,+J$213)</f>
        <v>55</v>
      </c>
      <c r="K308" s="82">
        <f>ROUND($B308*K$213,2)</f>
        <v>-0.12</v>
      </c>
      <c r="L308" s="82"/>
      <c r="M308" s="41"/>
      <c r="N308" s="17">
        <f>SUM(K308:L308)</f>
        <v>-0.12</v>
      </c>
      <c r="O308" s="41"/>
      <c r="P308" s="41"/>
      <c r="Q308" s="41"/>
      <c r="R308" s="41"/>
      <c r="S308" s="42">
        <f>ROUND($B308*S$213*S307,2)</f>
        <v>0</v>
      </c>
      <c r="T308" s="42">
        <f>ROUND($B308*T$213,2)</f>
        <v>0</v>
      </c>
      <c r="U308" s="42">
        <f>ROUND($B308*U$213,2)</f>
        <v>0</v>
      </c>
      <c r="V308" s="41">
        <f>ROUND($B308*V$212,2)</f>
        <v>0</v>
      </c>
      <c r="W308" s="42">
        <f>ROUND($B308*W$213,2)</f>
        <v>0</v>
      </c>
      <c r="X308" s="42">
        <f>ROUND($B308*X$213,2)</f>
        <v>-0.01</v>
      </c>
      <c r="Y308" s="42">
        <f>ROUND($B308*Y$213,2)</f>
        <v>0</v>
      </c>
      <c r="Z308" s="42">
        <f>ROUND($B308*Z$213,2)</f>
        <v>0</v>
      </c>
      <c r="AA308" s="42">
        <f>ROUND($B308*AA$213,2)</f>
        <v>0</v>
      </c>
      <c r="AB308" s="19">
        <f>SUM(U$213:AA$213)+(-V$213+V273)</f>
        <v>1.4498999999999998E-2</v>
      </c>
      <c r="AC308" s="94" t="str">
        <f>+F308</f>
        <v>SH5</v>
      </c>
    </row>
    <row r="309" spans="1:29" x14ac:dyDescent="0.2">
      <c r="A309" s="96"/>
      <c r="B309" s="97">
        <v>-1</v>
      </c>
      <c r="C309" s="9"/>
      <c r="F309" s="36"/>
      <c r="G309" s="98"/>
      <c r="H309" s="19"/>
      <c r="I309" s="19"/>
      <c r="J309" s="104"/>
      <c r="K309" s="104"/>
      <c r="L309" s="104"/>
      <c r="M309" s="87"/>
      <c r="N309" s="87"/>
      <c r="O309" s="87"/>
      <c r="P309" s="87"/>
      <c r="Q309" s="87"/>
      <c r="R309" s="87"/>
      <c r="S309" s="50">
        <v>0.5</v>
      </c>
      <c r="T309" s="98"/>
      <c r="U309" s="98"/>
      <c r="V309" s="87"/>
      <c r="W309" s="98"/>
      <c r="X309" s="98"/>
      <c r="Y309" s="98"/>
      <c r="Z309" s="98"/>
      <c r="AA309" s="98"/>
      <c r="AB309" s="19"/>
      <c r="AC309" s="105"/>
    </row>
    <row r="310" spans="1:29" x14ac:dyDescent="0.2">
      <c r="A310" s="96"/>
      <c r="B310" s="103">
        <f>IF(AND('AES Indiana Bill Calc.'!$D$17="SH",'AES Indiana Bill Calc.'!$D$18="Yes 50%",'AES Indiana Bill Calc.'!$D$20="Yes 2025"),'AES Indiana Bill Calc.'!$D$19,-1)</f>
        <v>-1</v>
      </c>
      <c r="C310" s="1" t="s">
        <v>149</v>
      </c>
      <c r="F310" s="36" t="s">
        <v>327</v>
      </c>
      <c r="G310" s="17">
        <f>SUM(J310:M310,O310:P310,R310:AA310)</f>
        <v>54.870000000000005</v>
      </c>
      <c r="H310" s="19" t="e">
        <f>IF(ISBLANK(B310),0,+#REF!/B310)</f>
        <v>#REF!</v>
      </c>
      <c r="I310" s="19"/>
      <c r="J310" s="82">
        <f>IF(ISBLANK(B310),0,+J$213)</f>
        <v>55</v>
      </c>
      <c r="K310" s="82">
        <f>ROUND($B310*K$213,2)</f>
        <v>-0.12</v>
      </c>
      <c r="L310" s="82"/>
      <c r="M310" s="41"/>
      <c r="N310" s="17">
        <f>SUM(K310:L310)</f>
        <v>-0.12</v>
      </c>
      <c r="O310" s="41"/>
      <c r="P310" s="41"/>
      <c r="Q310" s="41"/>
      <c r="R310" s="41"/>
      <c r="S310" s="42">
        <f>ROUND($B310*S$213*S309,2)</f>
        <v>0</v>
      </c>
      <c r="T310" s="42">
        <f>ROUND($B310*T$213,2)</f>
        <v>0</v>
      </c>
      <c r="U310" s="42">
        <f>ROUND($B310*U$213,2)</f>
        <v>0</v>
      </c>
      <c r="V310" s="41">
        <f>ROUND($B310*V$212,2)</f>
        <v>0</v>
      </c>
      <c r="W310" s="42">
        <f>ROUND($B310*W$213,2)</f>
        <v>0</v>
      </c>
      <c r="X310" s="42">
        <f>ROUND($B310*X$213,2)</f>
        <v>-0.01</v>
      </c>
      <c r="Y310" s="42">
        <f>ROUND($B310*Y$213,2)</f>
        <v>0</v>
      </c>
      <c r="Z310" s="42">
        <f>ROUND($B310*Z$213,2)</f>
        <v>0</v>
      </c>
      <c r="AA310" s="42">
        <f>ROUND($B310*AA$213,2)</f>
        <v>0</v>
      </c>
      <c r="AB310" s="19">
        <f>SUM(U$213:AA$213)+(-V$213+V275)</f>
        <v>1.4498999999999998E-2</v>
      </c>
      <c r="AC310" s="94" t="str">
        <f>+F310</f>
        <v>SH5</v>
      </c>
    </row>
    <row r="311" spans="1:29" x14ac:dyDescent="0.2">
      <c r="A311" s="96"/>
      <c r="B311" s="97">
        <v>-1</v>
      </c>
      <c r="C311" s="9"/>
      <c r="F311" s="36"/>
      <c r="G311" s="98"/>
      <c r="H311" s="19"/>
      <c r="I311" s="19"/>
      <c r="J311" s="104"/>
      <c r="K311" s="104"/>
      <c r="L311" s="104"/>
      <c r="M311" s="87"/>
      <c r="N311" s="87"/>
      <c r="O311" s="87"/>
      <c r="P311" s="87"/>
      <c r="Q311" s="87"/>
      <c r="R311" s="87"/>
      <c r="S311" s="50">
        <v>0.25</v>
      </c>
      <c r="T311" s="98"/>
      <c r="U311" s="98"/>
      <c r="V311" s="87"/>
      <c r="W311" s="98"/>
      <c r="X311" s="98"/>
      <c r="Y311" s="98"/>
      <c r="Z311" s="98"/>
      <c r="AA311" s="98"/>
      <c r="AB311" s="19"/>
      <c r="AC311" s="105"/>
    </row>
    <row r="312" spans="1:29" x14ac:dyDescent="0.2">
      <c r="A312" s="96"/>
      <c r="B312" s="103">
        <f>IF(AND('AES Indiana Bill Calc.'!$D$17="SH",'AES Indiana Bill Calc.'!$D$18="Yes 25%",'AES Indiana Bill Calc.'!$D$20="Yes 2025"),'AES Indiana Bill Calc.'!$D$19,-1)</f>
        <v>-1</v>
      </c>
      <c r="C312" s="1" t="s">
        <v>150</v>
      </c>
      <c r="F312" s="36" t="s">
        <v>327</v>
      </c>
      <c r="G312" s="17">
        <f>SUM(J312:M312,O312:P312,R312:AA312)</f>
        <v>54.870000000000005</v>
      </c>
      <c r="H312" s="19" t="e">
        <f>IF(ISBLANK(B312),0,+#REF!/B312)</f>
        <v>#REF!</v>
      </c>
      <c r="I312" s="19"/>
      <c r="J312" s="82">
        <f>IF(ISBLANK(B312),0,+J$213)</f>
        <v>55</v>
      </c>
      <c r="K312" s="82">
        <f>ROUND($B312*K$213,2)</f>
        <v>-0.12</v>
      </c>
      <c r="L312" s="82"/>
      <c r="M312" s="41"/>
      <c r="N312" s="17">
        <f>SUM(K312:L312)</f>
        <v>-0.12</v>
      </c>
      <c r="O312" s="41"/>
      <c r="P312" s="41"/>
      <c r="Q312" s="41"/>
      <c r="R312" s="41"/>
      <c r="S312" s="42">
        <f>ROUND($B312*S$213*S311,2)</f>
        <v>0</v>
      </c>
      <c r="T312" s="42">
        <f>ROUND($B312*T$213,2)</f>
        <v>0</v>
      </c>
      <c r="U312" s="42">
        <f>ROUND($B312*U$213,2)</f>
        <v>0</v>
      </c>
      <c r="V312" s="41">
        <f>ROUND($B312*V$212,2)</f>
        <v>0</v>
      </c>
      <c r="W312" s="42">
        <f>ROUND($B312*W$213,2)</f>
        <v>0</v>
      </c>
      <c r="X312" s="42">
        <f>ROUND($B312*X$213,2)</f>
        <v>-0.01</v>
      </c>
      <c r="Y312" s="42">
        <f>ROUND($B312*Y$213,2)</f>
        <v>0</v>
      </c>
      <c r="Z312" s="42">
        <f>ROUND($B312*Z$213,2)</f>
        <v>0</v>
      </c>
      <c r="AA312" s="42">
        <f>ROUND($B312*AA$213,2)</f>
        <v>0</v>
      </c>
      <c r="AB312" s="19">
        <f>SUM(U$213:AA$213)+(-V$213+V277)</f>
        <v>1.4498999999999998E-2</v>
      </c>
      <c r="AC312" s="94" t="str">
        <f>+F312</f>
        <v>SH5</v>
      </c>
    </row>
    <row r="313" spans="1:29" x14ac:dyDescent="0.2">
      <c r="A313" s="96"/>
      <c r="B313" s="97">
        <v>-1</v>
      </c>
      <c r="C313" s="9"/>
      <c r="F313" s="36"/>
      <c r="G313" s="98"/>
      <c r="H313" s="19"/>
      <c r="I313" s="19"/>
      <c r="J313" s="104"/>
      <c r="K313" s="104"/>
      <c r="L313" s="104"/>
      <c r="M313" s="87"/>
      <c r="N313" s="87"/>
      <c r="O313" s="87"/>
      <c r="P313" s="87"/>
      <c r="Q313" s="87"/>
      <c r="R313" s="87"/>
      <c r="S313" s="50">
        <v>0.1</v>
      </c>
      <c r="T313" s="98"/>
      <c r="U313" s="98"/>
      <c r="V313" s="87"/>
      <c r="W313" s="98"/>
      <c r="X313" s="98"/>
      <c r="Y313" s="98"/>
      <c r="Z313" s="98"/>
      <c r="AA313" s="98"/>
      <c r="AB313" s="19"/>
      <c r="AC313" s="105"/>
    </row>
    <row r="314" spans="1:29" x14ac:dyDescent="0.2">
      <c r="A314" s="96"/>
      <c r="B314" s="103">
        <f>IF(AND('AES Indiana Bill Calc.'!$D$17="SH",'AES Indiana Bill Calc.'!$D$18="Yes 10%",'AES Indiana Bill Calc.'!$D$20="Yes 2025"),'AES Indiana Bill Calc.'!$D$19,-1)</f>
        <v>-1</v>
      </c>
      <c r="C314" s="1" t="s">
        <v>164</v>
      </c>
      <c r="F314" s="36" t="s">
        <v>327</v>
      </c>
      <c r="G314" s="17">
        <f>SUM(J314:M314,O314:P314,R314:AA314)</f>
        <v>54.870000000000005</v>
      </c>
      <c r="H314" s="19" t="e">
        <f>IF(ISBLANK(B314),0,+#REF!/B314)</f>
        <v>#REF!</v>
      </c>
      <c r="I314" s="19"/>
      <c r="J314" s="82">
        <f>IF(ISBLANK(B314),0,+J$213)</f>
        <v>55</v>
      </c>
      <c r="K314" s="82">
        <f>ROUND($B314*K$213,2)</f>
        <v>-0.12</v>
      </c>
      <c r="L314" s="82"/>
      <c r="M314" s="41"/>
      <c r="N314" s="17">
        <f>SUM(K314:L314)</f>
        <v>-0.12</v>
      </c>
      <c r="O314" s="41"/>
      <c r="P314" s="41"/>
      <c r="Q314" s="41"/>
      <c r="R314" s="41"/>
      <c r="S314" s="42">
        <f>ROUND($B314*S$213*S313,2)</f>
        <v>0</v>
      </c>
      <c r="T314" s="42">
        <f>ROUND($B314*T$213,2)</f>
        <v>0</v>
      </c>
      <c r="U314" s="42">
        <f>ROUND($B314*U$213,2)</f>
        <v>0</v>
      </c>
      <c r="V314" s="41">
        <f>ROUND($B314*V$212,2)</f>
        <v>0</v>
      </c>
      <c r="W314" s="42">
        <f>ROUND($B314*W$213,2)</f>
        <v>0</v>
      </c>
      <c r="X314" s="42">
        <f>ROUND($B314*X$213,2)</f>
        <v>-0.01</v>
      </c>
      <c r="Y314" s="42">
        <f>ROUND($B314*Y$213,2)</f>
        <v>0</v>
      </c>
      <c r="Z314" s="42">
        <f>ROUND($B314*Z$213,2)</f>
        <v>0</v>
      </c>
      <c r="AA314" s="42">
        <f>ROUND($B314*AA$213,2)</f>
        <v>0</v>
      </c>
      <c r="AB314" s="19">
        <f>SUM(U$213:AA$213)+(-V$213+V279)</f>
        <v>1.4498999999999998E-2</v>
      </c>
      <c r="AC314" s="94" t="str">
        <f>+F314</f>
        <v>SH5</v>
      </c>
    </row>
    <row r="315" spans="1:29" x14ac:dyDescent="0.2">
      <c r="A315" s="96"/>
      <c r="B315" s="97">
        <v>-1</v>
      </c>
      <c r="C315" s="9"/>
      <c r="F315" s="36"/>
      <c r="G315" s="98"/>
      <c r="H315" s="19"/>
      <c r="I315" s="19"/>
      <c r="J315" s="104"/>
      <c r="K315" s="104"/>
      <c r="L315" s="104"/>
      <c r="M315" s="87"/>
      <c r="N315" s="87"/>
      <c r="O315" s="87"/>
      <c r="P315" s="87"/>
      <c r="Q315" s="87"/>
      <c r="R315" s="87"/>
      <c r="S315" s="50">
        <v>0</v>
      </c>
      <c r="T315" s="98"/>
      <c r="U315" s="98"/>
      <c r="V315" s="87"/>
      <c r="W315" s="98"/>
      <c r="X315" s="98"/>
      <c r="Y315" s="98"/>
      <c r="Z315" s="98"/>
      <c r="AA315" s="98"/>
      <c r="AB315" s="19"/>
      <c r="AC315" s="105"/>
    </row>
    <row r="316" spans="1:29" x14ac:dyDescent="0.2">
      <c r="A316" s="96"/>
      <c r="B316" s="103">
        <f>IF(AND('AES Indiana Bill Calc.'!$D$17="SH",'AES Indiana Bill Calc.'!$D$18="No",'AES Indiana Bill Calc.'!$D$20="Yes 2025"),'AES Indiana Bill Calc.'!$D$19,-1)</f>
        <v>-1</v>
      </c>
      <c r="C316" s="1" t="s">
        <v>147</v>
      </c>
      <c r="F316" s="36" t="s">
        <v>327</v>
      </c>
      <c r="G316" s="17">
        <f>SUM(J316:M316,O316:P316,R316:AA316)</f>
        <v>54.870000000000005</v>
      </c>
      <c r="H316" s="19" t="e">
        <f>IF(ISBLANK(B316),0,+#REF!/B316)</f>
        <v>#REF!</v>
      </c>
      <c r="I316" s="19"/>
      <c r="J316" s="82">
        <f>IF(ISBLANK(B316),0,+J$213)</f>
        <v>55</v>
      </c>
      <c r="K316" s="82">
        <f>ROUND($B316*K$213,2)</f>
        <v>-0.12</v>
      </c>
      <c r="L316" s="82"/>
      <c r="M316" s="41"/>
      <c r="N316" s="17">
        <f>SUM(K316:L316)</f>
        <v>-0.12</v>
      </c>
      <c r="O316" s="41"/>
      <c r="P316" s="41"/>
      <c r="Q316" s="41"/>
      <c r="R316" s="41"/>
      <c r="S316" s="42">
        <f>ROUND($B316*S$213*S315,2)</f>
        <v>0</v>
      </c>
      <c r="T316" s="42">
        <f>ROUND($B316*T$213,2)</f>
        <v>0</v>
      </c>
      <c r="U316" s="42">
        <f>ROUND($B316*U$213,2)</f>
        <v>0</v>
      </c>
      <c r="V316" s="41">
        <f>ROUND($B316*V$212,2)</f>
        <v>0</v>
      </c>
      <c r="W316" s="42">
        <f>ROUND($B316*W$213,2)</f>
        <v>0</v>
      </c>
      <c r="X316" s="42">
        <f>ROUND($B316*X$213,2)</f>
        <v>-0.01</v>
      </c>
      <c r="Y316" s="42">
        <f>ROUND($B316*Y$213,2)</f>
        <v>0</v>
      </c>
      <c r="Z316" s="42">
        <f>ROUND($B316*Z$213,2)</f>
        <v>0</v>
      </c>
      <c r="AA316" s="42">
        <f>ROUND($B316*AA$213,2)</f>
        <v>0</v>
      </c>
      <c r="AB316" s="19">
        <f>SUM(U$213:AA$213)+(-V$213+V281)</f>
        <v>1.4498999999999998E-2</v>
      </c>
      <c r="AC316" s="94" t="str">
        <f>+F316</f>
        <v>SH5</v>
      </c>
    </row>
    <row r="317" spans="1:29" x14ac:dyDescent="0.2">
      <c r="A317" s="96"/>
      <c r="B317" s="103">
        <v>-1</v>
      </c>
      <c r="C317" s="1"/>
      <c r="F317" s="36"/>
      <c r="G317" s="17"/>
      <c r="H317" s="19"/>
      <c r="I317" s="19"/>
      <c r="J317" s="82"/>
      <c r="K317" s="82"/>
      <c r="L317" s="82"/>
      <c r="M317" s="41"/>
      <c r="N317" s="17"/>
      <c r="O317" s="41"/>
      <c r="P317" s="41"/>
      <c r="Q317" s="41"/>
      <c r="R317" s="41"/>
      <c r="S317" s="42"/>
      <c r="T317" s="42"/>
      <c r="U317" s="42"/>
      <c r="V317" s="41"/>
      <c r="W317" s="42"/>
      <c r="X317" s="42"/>
      <c r="Y317" s="42"/>
      <c r="Z317" s="42"/>
      <c r="AA317" s="42"/>
      <c r="AB317" s="19"/>
      <c r="AC317" s="94"/>
    </row>
    <row r="318" spans="1:29" x14ac:dyDescent="0.2">
      <c r="B318" s="103">
        <v>-1</v>
      </c>
      <c r="C318" s="9"/>
      <c r="G318" s="17"/>
      <c r="H318" s="19"/>
      <c r="I318" s="19"/>
      <c r="J318" s="16"/>
      <c r="K318" s="16"/>
      <c r="L318" s="16"/>
      <c r="M318" s="8"/>
      <c r="N318" s="8"/>
      <c r="O318" s="8"/>
      <c r="P318" s="8"/>
      <c r="Q318" s="8"/>
      <c r="R318" s="8"/>
      <c r="S318" s="17"/>
      <c r="T318" s="17"/>
      <c r="U318" s="17"/>
      <c r="V318" s="27">
        <f>+T9</f>
        <v>0</v>
      </c>
      <c r="W318" s="6" t="s">
        <v>172</v>
      </c>
      <c r="X318" s="17"/>
      <c r="Y318" s="17"/>
      <c r="Z318" s="17"/>
      <c r="AA318" s="17"/>
      <c r="AB318" s="19" t="e">
        <f>+AB$213-V$213+#REF!</f>
        <v>#REF!</v>
      </c>
    </row>
    <row r="319" spans="1:29" x14ac:dyDescent="0.2">
      <c r="B319" s="103">
        <v>-1</v>
      </c>
      <c r="C319" s="9"/>
      <c r="H319" s="19"/>
      <c r="I319" s="19"/>
      <c r="J319" s="16"/>
      <c r="K319" s="16"/>
      <c r="L319" s="16"/>
      <c r="M319" s="8"/>
      <c r="N319" s="8"/>
      <c r="O319" s="8"/>
      <c r="P319" s="8"/>
      <c r="Q319" s="8"/>
      <c r="R319" s="8"/>
      <c r="S319" s="17"/>
      <c r="T319" s="17"/>
      <c r="U319" s="17"/>
      <c r="V319" s="27">
        <f>+T11</f>
        <v>0</v>
      </c>
      <c r="W319" s="6" t="s">
        <v>154</v>
      </c>
      <c r="X319" s="17"/>
      <c r="Y319" s="17"/>
      <c r="Z319" s="17"/>
      <c r="AA319" s="17"/>
      <c r="AB319" s="19">
        <f>+AB$213-V$213+V318</f>
        <v>1.3791999999999999E-2</v>
      </c>
    </row>
    <row r="320" spans="1:29" x14ac:dyDescent="0.2">
      <c r="B320" s="103">
        <v>-1</v>
      </c>
      <c r="C320" s="9"/>
      <c r="H320" s="19"/>
      <c r="I320" s="19"/>
      <c r="J320" s="16"/>
      <c r="K320" s="16"/>
      <c r="L320" s="16"/>
      <c r="M320" s="8"/>
      <c r="N320" s="8"/>
      <c r="O320" s="8"/>
      <c r="P320" s="8"/>
      <c r="Q320" s="8"/>
      <c r="R320" s="8"/>
      <c r="S320" s="17"/>
      <c r="T320" s="17"/>
      <c r="U320" s="17"/>
      <c r="V320" s="27">
        <f>+T13</f>
        <v>0</v>
      </c>
      <c r="W320" s="6" t="s">
        <v>155</v>
      </c>
      <c r="X320" s="17"/>
      <c r="Y320" s="17"/>
      <c r="Z320" s="17"/>
      <c r="AA320" s="17"/>
      <c r="AB320" s="19">
        <f>+AB$213-V$213+V319</f>
        <v>1.3791999999999999E-2</v>
      </c>
    </row>
    <row r="321" spans="1:29" x14ac:dyDescent="0.2">
      <c r="B321" s="103">
        <v>-1</v>
      </c>
      <c r="C321" s="9"/>
      <c r="H321" s="19"/>
      <c r="I321" s="19"/>
      <c r="J321" s="16"/>
      <c r="K321" s="16"/>
      <c r="L321" s="16"/>
      <c r="M321" s="8"/>
      <c r="N321" s="8"/>
      <c r="O321" s="8"/>
      <c r="P321" s="8"/>
      <c r="Q321" s="8"/>
      <c r="R321" s="8"/>
      <c r="S321" s="17"/>
      <c r="T321" s="17"/>
      <c r="U321" s="17"/>
      <c r="V321" s="27">
        <f>T15</f>
        <v>0</v>
      </c>
      <c r="W321" s="6" t="s">
        <v>156</v>
      </c>
      <c r="X321" s="17"/>
      <c r="Y321" s="17"/>
      <c r="Z321" s="17"/>
      <c r="AA321" s="17"/>
      <c r="AB321" s="19"/>
    </row>
    <row r="322" spans="1:29" x14ac:dyDescent="0.2">
      <c r="B322" s="103">
        <v>-1</v>
      </c>
      <c r="C322" s="9"/>
      <c r="H322" s="19"/>
      <c r="I322" s="19"/>
      <c r="J322" s="16"/>
      <c r="K322" s="16"/>
      <c r="L322" s="16"/>
      <c r="M322" s="8"/>
      <c r="N322" s="8"/>
      <c r="O322" s="8"/>
      <c r="P322" s="8"/>
      <c r="Q322" s="8"/>
      <c r="R322" s="8"/>
      <c r="S322" s="17"/>
      <c r="T322" s="17"/>
      <c r="U322" s="17"/>
      <c r="V322" s="27">
        <f>$T$18</f>
        <v>6.0000000000000002E-6</v>
      </c>
      <c r="W322" s="6" t="s">
        <v>157</v>
      </c>
      <c r="X322" s="17"/>
      <c r="Y322" s="17"/>
      <c r="Z322" s="17"/>
      <c r="AA322" s="17"/>
      <c r="AB322" s="19"/>
    </row>
    <row r="323" spans="1:29" x14ac:dyDescent="0.2">
      <c r="B323" s="103">
        <v>-1</v>
      </c>
      <c r="C323" s="9"/>
      <c r="H323" s="19"/>
      <c r="I323" s="19"/>
      <c r="J323" s="16"/>
      <c r="K323" s="16"/>
      <c r="L323" s="16"/>
      <c r="M323" s="8"/>
      <c r="N323" s="8"/>
      <c r="O323" s="8"/>
      <c r="P323" s="8"/>
      <c r="Q323" s="8"/>
      <c r="R323" s="8"/>
      <c r="S323" s="17"/>
      <c r="T323" s="17"/>
      <c r="U323" s="17"/>
      <c r="V323" s="27">
        <f>$T$20</f>
        <v>3.4999999999999997E-5</v>
      </c>
      <c r="W323" s="6" t="s">
        <v>158</v>
      </c>
      <c r="X323" s="17"/>
      <c r="Y323" s="17"/>
      <c r="Z323" s="17"/>
      <c r="AA323" s="17"/>
      <c r="AB323" s="19"/>
    </row>
    <row r="324" spans="1:29" x14ac:dyDescent="0.2">
      <c r="B324" s="103">
        <v>-1</v>
      </c>
      <c r="C324" s="9"/>
      <c r="H324" s="19"/>
      <c r="I324" s="19"/>
      <c r="J324" s="16"/>
      <c r="K324" s="16"/>
      <c r="L324" s="16"/>
      <c r="M324" s="8"/>
      <c r="N324" s="8"/>
      <c r="O324" s="8"/>
      <c r="P324" s="8"/>
      <c r="Q324" s="8"/>
      <c r="R324" s="8"/>
      <c r="S324" s="17"/>
      <c r="T324" s="17"/>
      <c r="U324" s="17"/>
      <c r="V324" s="27">
        <f>$T$22</f>
        <v>-3.9999999999999998E-6</v>
      </c>
      <c r="W324" s="6" t="s">
        <v>159</v>
      </c>
      <c r="X324" s="17"/>
      <c r="Y324" s="17"/>
      <c r="Z324" s="17"/>
      <c r="AA324" s="17"/>
      <c r="AB324" s="19"/>
    </row>
    <row r="325" spans="1:29" x14ac:dyDescent="0.2">
      <c r="B325" s="103">
        <v>-1</v>
      </c>
      <c r="C325" s="9"/>
      <c r="H325" s="19"/>
      <c r="I325" s="19"/>
      <c r="J325" s="16"/>
      <c r="K325" s="16"/>
      <c r="L325" s="16"/>
      <c r="M325" s="8"/>
      <c r="N325" s="8"/>
      <c r="O325" s="8"/>
      <c r="P325" s="8"/>
      <c r="Q325" s="8"/>
      <c r="R325" s="8"/>
      <c r="S325" s="17"/>
      <c r="T325" s="17"/>
      <c r="U325" s="17"/>
      <c r="V325" s="27">
        <f>$T$24</f>
        <v>0</v>
      </c>
      <c r="W325" s="6" t="s">
        <v>160</v>
      </c>
      <c r="X325" s="17"/>
      <c r="Y325" s="17"/>
      <c r="Z325" s="17"/>
      <c r="AA325" s="17"/>
      <c r="AB325" s="19"/>
    </row>
    <row r="326" spans="1:29" x14ac:dyDescent="0.2">
      <c r="B326" s="103">
        <v>-1</v>
      </c>
      <c r="C326" s="9"/>
      <c r="H326" s="19"/>
      <c r="I326" s="19"/>
      <c r="J326" s="16"/>
      <c r="K326" s="16"/>
      <c r="L326" s="16"/>
      <c r="M326" s="8"/>
      <c r="N326" s="8"/>
      <c r="O326" s="8"/>
      <c r="P326" s="8"/>
      <c r="Q326" s="8"/>
      <c r="R326" s="8"/>
      <c r="S326" s="17"/>
      <c r="T326" s="17"/>
      <c r="U326" s="17"/>
      <c r="V326" s="19">
        <f>T26</f>
        <v>0</v>
      </c>
      <c r="W326" s="6" t="s">
        <v>161</v>
      </c>
      <c r="X326" s="17"/>
      <c r="Y326" s="17"/>
      <c r="Z326" s="17"/>
      <c r="AA326" s="17"/>
      <c r="AB326" s="19"/>
    </row>
    <row r="327" spans="1:29" x14ac:dyDescent="0.2">
      <c r="B327" s="103">
        <v>-1</v>
      </c>
      <c r="C327" s="9"/>
      <c r="H327" s="19"/>
      <c r="I327" s="19"/>
      <c r="J327" s="16"/>
      <c r="K327" s="16"/>
      <c r="L327" s="16"/>
      <c r="M327" s="8"/>
      <c r="N327" s="8"/>
      <c r="O327" s="8"/>
      <c r="P327" s="8"/>
      <c r="Q327" s="8"/>
      <c r="R327" s="8"/>
      <c r="S327" s="17"/>
      <c r="T327" s="17"/>
      <c r="U327" s="17"/>
      <c r="V327" s="19">
        <f>T28</f>
        <v>0</v>
      </c>
      <c r="W327" s="6" t="s">
        <v>296</v>
      </c>
      <c r="X327" s="17"/>
      <c r="Y327" s="17"/>
      <c r="Z327" s="17"/>
      <c r="AA327" s="17"/>
      <c r="AB327" s="19"/>
    </row>
    <row r="328" spans="1:29" x14ac:dyDescent="0.2">
      <c r="B328" s="103">
        <v>-1</v>
      </c>
      <c r="C328" s="9"/>
      <c r="H328" s="19"/>
      <c r="I328" s="19"/>
      <c r="J328" s="16"/>
      <c r="K328" s="16"/>
      <c r="L328" s="16"/>
      <c r="M328" s="8"/>
      <c r="N328" s="8"/>
      <c r="O328" s="8"/>
      <c r="P328" s="8"/>
      <c r="Q328" s="8"/>
      <c r="R328" s="8"/>
      <c r="S328" s="17"/>
      <c r="T328" s="17"/>
      <c r="U328" s="17"/>
      <c r="V328" s="19">
        <f>T30</f>
        <v>4.065E-3</v>
      </c>
      <c r="W328" s="6" t="s">
        <v>172</v>
      </c>
      <c r="X328" s="17"/>
      <c r="Y328" s="17"/>
      <c r="Z328" s="17"/>
      <c r="AA328" s="17"/>
      <c r="AB328" s="19"/>
    </row>
    <row r="329" spans="1:29" x14ac:dyDescent="0.2">
      <c r="B329" s="103">
        <v>-1</v>
      </c>
      <c r="C329" s="4"/>
      <c r="D329" s="73">
        <v>155</v>
      </c>
      <c r="F329" s="72"/>
      <c r="G329" s="70"/>
      <c r="H329" s="70"/>
      <c r="I329" s="75"/>
      <c r="J329" s="159">
        <v>55</v>
      </c>
      <c r="K329" s="160">
        <v>0.13331799999999999</v>
      </c>
      <c r="L329" s="160">
        <v>0.118838</v>
      </c>
      <c r="M329" s="160">
        <v>0.105146</v>
      </c>
      <c r="N329" s="71"/>
      <c r="O329" s="71"/>
      <c r="P329" s="71"/>
      <c r="Q329" s="71"/>
      <c r="R329" s="5"/>
      <c r="S329" s="27">
        <f>+M$4</f>
        <v>1.8E-3</v>
      </c>
      <c r="T329" s="27">
        <f t="shared" ref="T329:AA329" si="22">+R$4</f>
        <v>3.9020000000000001E-3</v>
      </c>
      <c r="U329" s="117">
        <f>+S$4</f>
        <v>1.523E-3</v>
      </c>
      <c r="V329" s="27">
        <f t="shared" si="22"/>
        <v>1.0000999999999999E-2</v>
      </c>
      <c r="W329" s="27">
        <f t="shared" si="22"/>
        <v>0</v>
      </c>
      <c r="X329" s="27">
        <f t="shared" si="22"/>
        <v>8.8730000000000007E-3</v>
      </c>
      <c r="Y329" s="27">
        <f t="shared" si="22"/>
        <v>-8.1800000000000004E-4</v>
      </c>
      <c r="Z329" s="27">
        <f t="shared" si="22"/>
        <v>4.2139999999999999E-3</v>
      </c>
      <c r="AA329" s="27">
        <f t="shared" si="22"/>
        <v>7.0699999999999995E-4</v>
      </c>
      <c r="AB329" s="19">
        <f>SUM(U329:Z329)</f>
        <v>2.3792999999999998E-2</v>
      </c>
    </row>
    <row r="330" spans="1:29" x14ac:dyDescent="0.2">
      <c r="A330" s="1"/>
      <c r="B330" s="103">
        <v>-1</v>
      </c>
      <c r="C330" s="1" t="s">
        <v>182</v>
      </c>
      <c r="D330" s="149" t="s">
        <v>182</v>
      </c>
      <c r="F330" s="72"/>
      <c r="G330" s="70"/>
      <c r="H330" s="70"/>
      <c r="I330" s="75"/>
      <c r="J330" s="73"/>
      <c r="K330" s="73">
        <v>5000</v>
      </c>
      <c r="L330" s="70"/>
      <c r="M330" s="70"/>
      <c r="N330" s="70"/>
      <c r="O330" s="70"/>
      <c r="P330" s="70"/>
      <c r="Q330" s="142" t="s">
        <v>173</v>
      </c>
    </row>
    <row r="331" spans="1:29" x14ac:dyDescent="0.2">
      <c r="B331" s="103">
        <v>-1</v>
      </c>
      <c r="C331" s="33" t="s">
        <v>127</v>
      </c>
      <c r="D331" s="33" t="s">
        <v>127</v>
      </c>
      <c r="F331" s="12"/>
      <c r="I331" s="19"/>
      <c r="J331" s="12" t="s">
        <v>137</v>
      </c>
      <c r="K331" s="258" t="s">
        <v>28</v>
      </c>
      <c r="L331" s="258"/>
      <c r="M331" s="12"/>
      <c r="N331" s="12"/>
      <c r="O331" s="12"/>
      <c r="P331" s="12"/>
      <c r="Q331" s="12"/>
      <c r="R331" s="12"/>
      <c r="S331" s="12">
        <v>21</v>
      </c>
      <c r="T331" s="12">
        <v>6</v>
      </c>
      <c r="U331" s="12">
        <v>3</v>
      </c>
      <c r="V331" s="12">
        <v>22</v>
      </c>
      <c r="W331" s="12">
        <v>13</v>
      </c>
      <c r="X331" s="12">
        <v>20</v>
      </c>
      <c r="Y331" s="12">
        <v>24</v>
      </c>
      <c r="Z331" s="12">
        <v>25</v>
      </c>
      <c r="AA331" s="12">
        <v>26</v>
      </c>
    </row>
    <row r="332" spans="1:29" x14ac:dyDescent="0.2">
      <c r="A332" s="13"/>
      <c r="B332" s="103" t="s">
        <v>140</v>
      </c>
      <c r="C332" s="31" t="s">
        <v>183</v>
      </c>
      <c r="D332" s="13" t="s">
        <v>140</v>
      </c>
      <c r="F332" s="13" t="s">
        <v>141</v>
      </c>
      <c r="G332" s="13" t="s">
        <v>142</v>
      </c>
      <c r="H332" s="13" t="s">
        <v>143</v>
      </c>
      <c r="I332" s="19"/>
      <c r="J332" s="13" t="s">
        <v>144</v>
      </c>
      <c r="K332" s="13" t="s">
        <v>162</v>
      </c>
      <c r="L332" s="13" t="s">
        <v>163</v>
      </c>
      <c r="M332" s="13" t="s">
        <v>184</v>
      </c>
      <c r="N332" s="142" t="s">
        <v>138</v>
      </c>
      <c r="O332" s="13"/>
      <c r="P332" s="13"/>
      <c r="Q332" s="13"/>
      <c r="R332" s="13"/>
      <c r="S332" s="13" t="s">
        <v>106</v>
      </c>
      <c r="T332" s="13" t="s">
        <v>36</v>
      </c>
      <c r="U332" s="138" t="s">
        <v>38</v>
      </c>
      <c r="V332" s="13" t="s">
        <v>107</v>
      </c>
      <c r="W332" s="13" t="s">
        <v>108</v>
      </c>
      <c r="X332" s="13" t="s">
        <v>109</v>
      </c>
      <c r="Y332" s="138" t="s">
        <v>44</v>
      </c>
      <c r="Z332" s="138" t="s">
        <v>46</v>
      </c>
      <c r="AA332" s="138" t="s">
        <v>48</v>
      </c>
      <c r="AB332" s="66" t="s">
        <v>110</v>
      </c>
    </row>
    <row r="333" spans="1:29" x14ac:dyDescent="0.2">
      <c r="B333" s="103">
        <v>-1</v>
      </c>
      <c r="C333" s="34"/>
      <c r="F333" s="12"/>
      <c r="G333" s="12"/>
      <c r="H333" s="12"/>
      <c r="I333" s="19"/>
      <c r="J333" s="12"/>
      <c r="K333" s="35">
        <f>IF(D334&gt;K$330,+K$330,D334)</f>
        <v>0</v>
      </c>
      <c r="L333" s="35">
        <f>IF(D334&gt;K333,+D334-K333,0)</f>
        <v>0</v>
      </c>
      <c r="M333" s="34">
        <f>IF(B334&gt;D334,+B334-D334,0)</f>
        <v>0</v>
      </c>
      <c r="N333" s="34"/>
      <c r="O333" s="34"/>
      <c r="P333" s="34"/>
      <c r="Q333" s="34"/>
      <c r="R333" s="12"/>
      <c r="S333" s="50">
        <v>1</v>
      </c>
      <c r="T333" s="12"/>
      <c r="U333" s="12"/>
      <c r="V333" s="12"/>
      <c r="W333" s="12"/>
      <c r="X333" s="12"/>
      <c r="Y333" s="12"/>
      <c r="Z333" s="12"/>
      <c r="AA333" s="12"/>
    </row>
    <row r="334" spans="1:29" x14ac:dyDescent="0.2">
      <c r="A334" s="1" t="s">
        <v>148</v>
      </c>
      <c r="B334" s="103">
        <f>IF(AND('AES Indiana Bill Calc.'!$D$17="SE",'AES Indiana Bill Calc.'!$D$18="Yes 100%",'AES Indiana Bill Calc.'!$D$20="No"),'AES Indiana Bill Calc.'!$D$19,-1)</f>
        <v>-1</v>
      </c>
      <c r="C334" s="103" t="b">
        <f>IF(AND('AES Indiana Bill Calc.'!$D$17="SE",'AES Indiana Bill Calc.'!$D$18="Yes 100%",'AES Indiana Bill Calc.'!$D$20="No"),'AES Indiana Bill Calc.'!$D$23)</f>
        <v>0</v>
      </c>
      <c r="D334" s="2">
        <f>ROUND(C334*D$329,0)</f>
        <v>0</v>
      </c>
      <c r="F334" s="36" t="s">
        <v>57</v>
      </c>
      <c r="G334" s="17">
        <f>SUM(J334:M334,O334:P334,R334:AA334)</f>
        <v>54.980000000000004</v>
      </c>
      <c r="H334" s="19" t="e">
        <f>IF(ISBLANK(B334),0,+#REF!/B334)</f>
        <v>#REF!</v>
      </c>
      <c r="I334" s="19"/>
      <c r="J334" s="16">
        <f>IF(ISBLANK(B334),0,+J$329)</f>
        <v>55</v>
      </c>
      <c r="K334" s="16">
        <f>ROUND(K333*K$329,2)</f>
        <v>0</v>
      </c>
      <c r="L334" s="16">
        <f>ROUND(L333*L$329,2)</f>
        <v>0</v>
      </c>
      <c r="M334" s="16">
        <f>ROUND(M333*M$329,2)</f>
        <v>0</v>
      </c>
      <c r="N334" s="16">
        <f>SUM(K334:M334)</f>
        <v>0</v>
      </c>
      <c r="O334" s="16"/>
      <c r="P334" s="16"/>
      <c r="Q334" s="16"/>
      <c r="R334" s="8"/>
      <c r="S334" s="17">
        <f>ROUND($B334*S$329*S333,2)</f>
        <v>0</v>
      </c>
      <c r="T334" s="17">
        <f t="shared" ref="T334:AA334" si="23">ROUND($B334*T$329,2)</f>
        <v>0</v>
      </c>
      <c r="U334" s="17">
        <f t="shared" si="23"/>
        <v>0</v>
      </c>
      <c r="V334" s="17">
        <f t="shared" si="23"/>
        <v>-0.01</v>
      </c>
      <c r="W334" s="17">
        <f t="shared" si="23"/>
        <v>0</v>
      </c>
      <c r="X334" s="17">
        <f t="shared" si="23"/>
        <v>-0.01</v>
      </c>
      <c r="Y334" s="17">
        <f t="shared" si="23"/>
        <v>0</v>
      </c>
      <c r="Z334" s="17">
        <f t="shared" si="23"/>
        <v>0</v>
      </c>
      <c r="AA334" s="17">
        <f t="shared" si="23"/>
        <v>0</v>
      </c>
      <c r="AB334" s="19">
        <f>SUM(U329:AA329)</f>
        <v>2.4499999999999997E-2</v>
      </c>
      <c r="AC334" s="67" t="str">
        <f>+F334</f>
        <v>SE</v>
      </c>
    </row>
    <row r="335" spans="1:29" x14ac:dyDescent="0.2">
      <c r="A335" s="9"/>
      <c r="B335" s="103">
        <v>-1</v>
      </c>
      <c r="C335" s="34"/>
      <c r="F335" s="12"/>
      <c r="G335" s="12"/>
      <c r="H335" s="12"/>
      <c r="I335" s="19"/>
      <c r="J335" s="12"/>
      <c r="K335" s="35">
        <f>IF(D336&gt;K$330,+K$330,D336)</f>
        <v>0</v>
      </c>
      <c r="L335" s="35">
        <f>IF(D336&gt;K335,+D336-K335,0)</f>
        <v>0</v>
      </c>
      <c r="M335" s="34">
        <f>IF(B336&gt;D336,+B336-D336,0)</f>
        <v>0</v>
      </c>
      <c r="N335" s="34"/>
      <c r="O335" s="34"/>
      <c r="P335" s="34"/>
      <c r="Q335" s="34"/>
      <c r="R335" s="12"/>
      <c r="S335" s="50">
        <v>0.5</v>
      </c>
      <c r="T335" s="12"/>
      <c r="U335" s="12"/>
      <c r="V335" s="12"/>
      <c r="W335" s="12"/>
      <c r="X335" s="12"/>
      <c r="Y335" s="12"/>
      <c r="Z335" s="12"/>
      <c r="AA335" s="12"/>
    </row>
    <row r="336" spans="1:29" x14ac:dyDescent="0.2">
      <c r="A336" s="1" t="s">
        <v>149</v>
      </c>
      <c r="B336" s="103">
        <f>IF(AND('AES Indiana Bill Calc.'!$D$17="SE",'AES Indiana Bill Calc.'!$D$18="Yes 50%",'AES Indiana Bill Calc.'!$D$20="No"),'AES Indiana Bill Calc.'!$D$19,-1)</f>
        <v>-1</v>
      </c>
      <c r="C336" s="103" t="b">
        <f>IF(AND('AES Indiana Bill Calc.'!$D$17="SE",'AES Indiana Bill Calc.'!$D$18="Yes 50%",'AES Indiana Bill Calc.'!$D$20="No"),'AES Indiana Bill Calc.'!$D$23)</f>
        <v>0</v>
      </c>
      <c r="D336" s="2">
        <f>ROUND(C336*D$329,0)</f>
        <v>0</v>
      </c>
      <c r="F336" s="36" t="s">
        <v>57</v>
      </c>
      <c r="G336" s="17">
        <f>SUM(J336:M336,O336:P336,R336:AA336)</f>
        <v>54.980000000000004</v>
      </c>
      <c r="H336" s="19" t="e">
        <f>IF(ISBLANK(B336),0,+#REF!/B336)</f>
        <v>#REF!</v>
      </c>
      <c r="I336" s="19"/>
      <c r="J336" s="16">
        <f>IF(ISBLANK(B336),0,+J$329)</f>
        <v>55</v>
      </c>
      <c r="K336" s="16">
        <f>ROUND(K335*K$329,2)</f>
        <v>0</v>
      </c>
      <c r="L336" s="16">
        <f>ROUND(L335*L$329,2)</f>
        <v>0</v>
      </c>
      <c r="M336" s="16">
        <f>ROUND(M335*M$329,2)</f>
        <v>0</v>
      </c>
      <c r="N336" s="16">
        <f>SUM(K336:M336)</f>
        <v>0</v>
      </c>
      <c r="O336" s="16"/>
      <c r="P336" s="16"/>
      <c r="Q336" s="16"/>
      <c r="R336" s="8"/>
      <c r="S336" s="17">
        <f>ROUND($B336*S$329*S335,2)</f>
        <v>0</v>
      </c>
      <c r="T336" s="17">
        <f t="shared" ref="T336:AA336" si="24">ROUND($B336*T$329,2)</f>
        <v>0</v>
      </c>
      <c r="U336" s="17">
        <f t="shared" si="24"/>
        <v>0</v>
      </c>
      <c r="V336" s="17">
        <f t="shared" si="24"/>
        <v>-0.01</v>
      </c>
      <c r="W336" s="17">
        <f t="shared" si="24"/>
        <v>0</v>
      </c>
      <c r="X336" s="17">
        <f t="shared" si="24"/>
        <v>-0.01</v>
      </c>
      <c r="Y336" s="17">
        <f t="shared" si="24"/>
        <v>0</v>
      </c>
      <c r="Z336" s="17">
        <f t="shared" si="24"/>
        <v>0</v>
      </c>
      <c r="AA336" s="17">
        <f t="shared" si="24"/>
        <v>0</v>
      </c>
      <c r="AB336" s="19">
        <f>SUM(U331:AA331)</f>
        <v>133</v>
      </c>
      <c r="AC336" s="67" t="str">
        <f>+F336</f>
        <v>SE</v>
      </c>
    </row>
    <row r="337" spans="1:29" x14ac:dyDescent="0.2">
      <c r="A337" s="9"/>
      <c r="B337" s="103">
        <v>-1</v>
      </c>
      <c r="C337" s="34"/>
      <c r="F337" s="12"/>
      <c r="G337" s="12"/>
      <c r="H337" s="12"/>
      <c r="I337" s="19"/>
      <c r="J337" s="12"/>
      <c r="K337" s="35">
        <f>IF(D338&gt;K$330,+K$330,D338)</f>
        <v>0</v>
      </c>
      <c r="L337" s="35">
        <f>IF(D338&gt;K337,+D338-K337,0)</f>
        <v>0</v>
      </c>
      <c r="M337" s="34">
        <f>IF(B338&gt;D338,+B338-D338,0)</f>
        <v>0</v>
      </c>
      <c r="N337" s="34"/>
      <c r="O337" s="34"/>
      <c r="P337" s="34"/>
      <c r="Q337" s="34"/>
      <c r="R337" s="12"/>
      <c r="S337" s="50">
        <v>0.25</v>
      </c>
      <c r="T337" s="12"/>
      <c r="U337" s="12"/>
      <c r="V337" s="12"/>
      <c r="W337" s="12"/>
      <c r="X337" s="12"/>
      <c r="Y337" s="12"/>
      <c r="Z337" s="12"/>
      <c r="AA337" s="12"/>
    </row>
    <row r="338" spans="1:29" x14ac:dyDescent="0.2">
      <c r="A338" s="1" t="s">
        <v>150</v>
      </c>
      <c r="B338" s="103">
        <f>IF(AND('AES Indiana Bill Calc.'!$D$17="SE",'AES Indiana Bill Calc.'!$D$18="Yes 25%",'AES Indiana Bill Calc.'!$D$20="No"),'AES Indiana Bill Calc.'!$D$19,-1)</f>
        <v>-1</v>
      </c>
      <c r="C338" s="103" t="b">
        <f>IF(AND('AES Indiana Bill Calc.'!$D$17="SE",'AES Indiana Bill Calc.'!$D$18="Yes 25%",'AES Indiana Bill Calc.'!$D$20="No"),'AES Indiana Bill Calc.'!$D$23)</f>
        <v>0</v>
      </c>
      <c r="D338" s="2">
        <f>ROUND(C338*D$329,0)</f>
        <v>0</v>
      </c>
      <c r="F338" s="36" t="s">
        <v>57</v>
      </c>
      <c r="G338" s="17">
        <f>SUM(J338:M338,O338:P338,R338:AA338)</f>
        <v>54.980000000000004</v>
      </c>
      <c r="H338" s="19" t="e">
        <f>IF(ISBLANK(B338),0,+#REF!/B338)</f>
        <v>#REF!</v>
      </c>
      <c r="I338" s="19"/>
      <c r="J338" s="16">
        <f>IF(ISBLANK(B338),0,+J$329)</f>
        <v>55</v>
      </c>
      <c r="K338" s="16">
        <f>ROUND(K337*K$329,2)</f>
        <v>0</v>
      </c>
      <c r="L338" s="16">
        <f>ROUND(L337*L$329,2)</f>
        <v>0</v>
      </c>
      <c r="M338" s="16">
        <f>ROUND(M337*M$329,2)</f>
        <v>0</v>
      </c>
      <c r="N338" s="16">
        <f>SUM(K338:M338)</f>
        <v>0</v>
      </c>
      <c r="O338" s="16"/>
      <c r="P338" s="16"/>
      <c r="Q338" s="16"/>
      <c r="R338" s="8"/>
      <c r="S338" s="17">
        <f>ROUND($B338*S$329*S337,2)</f>
        <v>0</v>
      </c>
      <c r="T338" s="17">
        <f t="shared" ref="T338:AA338" si="25">ROUND($B338*T$329,2)</f>
        <v>0</v>
      </c>
      <c r="U338" s="17">
        <f t="shared" si="25"/>
        <v>0</v>
      </c>
      <c r="V338" s="17">
        <f t="shared" si="25"/>
        <v>-0.01</v>
      </c>
      <c r="W338" s="17">
        <f t="shared" si="25"/>
        <v>0</v>
      </c>
      <c r="X338" s="17">
        <f t="shared" si="25"/>
        <v>-0.01</v>
      </c>
      <c r="Y338" s="17">
        <f t="shared" si="25"/>
        <v>0</v>
      </c>
      <c r="Z338" s="17">
        <f t="shared" si="25"/>
        <v>0</v>
      </c>
      <c r="AA338" s="17">
        <f t="shared" si="25"/>
        <v>0</v>
      </c>
      <c r="AB338" s="19">
        <f>SUM(U333:AA333)</f>
        <v>0</v>
      </c>
      <c r="AC338" s="67" t="str">
        <f>+F338</f>
        <v>SE</v>
      </c>
    </row>
    <row r="339" spans="1:29" x14ac:dyDescent="0.2">
      <c r="A339" s="9"/>
      <c r="B339" s="103">
        <v>-1</v>
      </c>
      <c r="C339" s="34"/>
      <c r="F339" s="12"/>
      <c r="G339" s="12"/>
      <c r="H339" s="12"/>
      <c r="I339" s="19"/>
      <c r="J339" s="12"/>
      <c r="K339" s="35">
        <f>IF(D340&gt;K$330,+K$330,D340)</f>
        <v>0</v>
      </c>
      <c r="L339" s="35">
        <f>IF(D340&gt;K339,+D340-K339,0)</f>
        <v>0</v>
      </c>
      <c r="M339" s="34">
        <f>IF(B340&gt;D340,+B340-D340,0)</f>
        <v>0</v>
      </c>
      <c r="N339" s="34"/>
      <c r="O339" s="34"/>
      <c r="P339" s="34"/>
      <c r="Q339" s="34"/>
      <c r="R339" s="12"/>
      <c r="S339" s="50">
        <v>0.1</v>
      </c>
      <c r="T339" s="12"/>
      <c r="U339" s="12"/>
      <c r="V339" s="12"/>
      <c r="W339" s="12"/>
      <c r="X339" s="12"/>
      <c r="Y339" s="12"/>
      <c r="Z339" s="12"/>
      <c r="AA339" s="12"/>
    </row>
    <row r="340" spans="1:29" x14ac:dyDescent="0.2">
      <c r="A340" s="1" t="s">
        <v>164</v>
      </c>
      <c r="B340" s="103">
        <f>IF(AND('AES Indiana Bill Calc.'!$D$17="SE",'AES Indiana Bill Calc.'!$D$18="Yes 10%",'AES Indiana Bill Calc.'!$D$20="No"),'AES Indiana Bill Calc.'!$D$19,-1)</f>
        <v>-1</v>
      </c>
      <c r="C340" s="103" t="b">
        <f>IF(AND('AES Indiana Bill Calc.'!$D$17="SE",'AES Indiana Bill Calc.'!$D$18="Yes 10%",'AES Indiana Bill Calc.'!$D$20="No"),'AES Indiana Bill Calc.'!$D$23)</f>
        <v>0</v>
      </c>
      <c r="D340" s="2">
        <f>ROUND(C340*D$329,0)</f>
        <v>0</v>
      </c>
      <c r="F340" s="36" t="s">
        <v>57</v>
      </c>
      <c r="G340" s="17">
        <f>SUM(J340:M340,O340:P340,R340:AA340)</f>
        <v>54.980000000000004</v>
      </c>
      <c r="H340" s="19" t="e">
        <f>IF(ISBLANK(B340),0,+#REF!/B340)</f>
        <v>#REF!</v>
      </c>
      <c r="I340" s="19"/>
      <c r="J340" s="16">
        <f>IF(ISBLANK(B340),0,+J$329)</f>
        <v>55</v>
      </c>
      <c r="K340" s="16">
        <f>ROUND(K339*K$329,2)</f>
        <v>0</v>
      </c>
      <c r="L340" s="16">
        <f>ROUND(L339*L$329,2)</f>
        <v>0</v>
      </c>
      <c r="M340" s="16">
        <f>ROUND(M339*M$329,2)</f>
        <v>0</v>
      </c>
      <c r="N340" s="16">
        <f>SUM(K340:M340)</f>
        <v>0</v>
      </c>
      <c r="O340" s="16"/>
      <c r="P340" s="16"/>
      <c r="Q340" s="16"/>
      <c r="R340" s="8"/>
      <c r="S340" s="17">
        <f>ROUND($B340*S$329*S339,2)</f>
        <v>0</v>
      </c>
      <c r="T340" s="17">
        <f t="shared" ref="T340:AA340" si="26">ROUND($B340*T$329,2)</f>
        <v>0</v>
      </c>
      <c r="U340" s="17">
        <f t="shared" si="26"/>
        <v>0</v>
      </c>
      <c r="V340" s="17">
        <f t="shared" si="26"/>
        <v>-0.01</v>
      </c>
      <c r="W340" s="17">
        <f t="shared" si="26"/>
        <v>0</v>
      </c>
      <c r="X340" s="17">
        <f t="shared" si="26"/>
        <v>-0.01</v>
      </c>
      <c r="Y340" s="17">
        <f t="shared" si="26"/>
        <v>0</v>
      </c>
      <c r="Z340" s="17">
        <f t="shared" si="26"/>
        <v>0</v>
      </c>
      <c r="AA340" s="17">
        <f t="shared" si="26"/>
        <v>0</v>
      </c>
      <c r="AB340" s="19">
        <f>SUM(U335:AA335)</f>
        <v>0</v>
      </c>
      <c r="AC340" s="67" t="str">
        <f>+F340</f>
        <v>SE</v>
      </c>
    </row>
    <row r="341" spans="1:29" x14ac:dyDescent="0.2">
      <c r="A341" s="9"/>
      <c r="B341" s="103">
        <v>-1</v>
      </c>
      <c r="C341" s="34"/>
      <c r="F341" s="12"/>
      <c r="G341" s="12"/>
      <c r="H341" s="12"/>
      <c r="I341" s="19"/>
      <c r="J341" s="12"/>
      <c r="K341" s="35">
        <f>IF(D342&gt;K$330,+K$330,D342)</f>
        <v>0</v>
      </c>
      <c r="L341" s="35">
        <f>IF(D342&gt;K341,+D342-K341,0)</f>
        <v>0</v>
      </c>
      <c r="M341" s="34">
        <f>IF(B342&gt;D342,+B342-D342,0)</f>
        <v>0</v>
      </c>
      <c r="N341" s="34"/>
      <c r="O341" s="34"/>
      <c r="P341" s="34"/>
      <c r="Q341" s="34"/>
      <c r="R341" s="12"/>
      <c r="S341" s="50">
        <v>0</v>
      </c>
      <c r="T341" s="12"/>
      <c r="U341" s="12"/>
      <c r="V341" s="12"/>
      <c r="W341" s="12"/>
      <c r="X341" s="12"/>
      <c r="Y341" s="12"/>
      <c r="Z341" s="12"/>
      <c r="AA341" s="12"/>
    </row>
    <row r="342" spans="1:29" x14ac:dyDescent="0.2">
      <c r="A342" s="1" t="s">
        <v>147</v>
      </c>
      <c r="B342" s="103">
        <f>IF(AND('AES Indiana Bill Calc.'!$D$17="SE",'AES Indiana Bill Calc.'!$D$18="No",'AES Indiana Bill Calc.'!$D$20="No"),'AES Indiana Bill Calc.'!$D$19,-1)</f>
        <v>-1</v>
      </c>
      <c r="C342" s="103" t="b">
        <f>IF(AND('AES Indiana Bill Calc.'!$D$17="SE",'AES Indiana Bill Calc.'!$D$18="No",'AES Indiana Bill Calc.'!$D$20="No"),'AES Indiana Bill Calc.'!$D$23)</f>
        <v>0</v>
      </c>
      <c r="D342" s="2">
        <f>ROUND(C342*D$329,0)</f>
        <v>0</v>
      </c>
      <c r="F342" s="36" t="s">
        <v>57</v>
      </c>
      <c r="G342" s="17">
        <f>SUM(J342:M342,O342:P342,R342:AA342)</f>
        <v>54.980000000000004</v>
      </c>
      <c r="H342" s="19" t="e">
        <f>IF(ISBLANK(B342),0,+#REF!/B342)</f>
        <v>#REF!</v>
      </c>
      <c r="I342" s="19"/>
      <c r="J342" s="16">
        <f>IF(ISBLANK(B342),0,+J$329)</f>
        <v>55</v>
      </c>
      <c r="K342" s="16">
        <f>ROUND(K341*K$329,2)</f>
        <v>0</v>
      </c>
      <c r="L342" s="16">
        <f>ROUND(L341*L$329,2)</f>
        <v>0</v>
      </c>
      <c r="M342" s="16">
        <f>ROUND(M341*M$329,2)</f>
        <v>0</v>
      </c>
      <c r="N342" s="16">
        <f>SUM(K342:M342)</f>
        <v>0</v>
      </c>
      <c r="O342" s="16"/>
      <c r="P342" s="16"/>
      <c r="Q342" s="16"/>
      <c r="R342" s="8"/>
      <c r="S342" s="17">
        <f>ROUND($B342*S$329*S341,2)</f>
        <v>0</v>
      </c>
      <c r="T342" s="17">
        <f t="shared" ref="T342:AA342" si="27">ROUND($B342*T$329,2)</f>
        <v>0</v>
      </c>
      <c r="U342" s="17">
        <f t="shared" si="27"/>
        <v>0</v>
      </c>
      <c r="V342" s="17">
        <f t="shared" si="27"/>
        <v>-0.01</v>
      </c>
      <c r="W342" s="17">
        <f t="shared" si="27"/>
        <v>0</v>
      </c>
      <c r="X342" s="17">
        <f t="shared" si="27"/>
        <v>-0.01</v>
      </c>
      <c r="Y342" s="17">
        <f t="shared" si="27"/>
        <v>0</v>
      </c>
      <c r="Z342" s="17">
        <f t="shared" si="27"/>
        <v>0</v>
      </c>
      <c r="AA342" s="17">
        <f t="shared" si="27"/>
        <v>0</v>
      </c>
      <c r="AB342" s="19">
        <f>SUM(U337:AA337)</f>
        <v>0</v>
      </c>
      <c r="AC342" s="67" t="str">
        <f>+F342</f>
        <v>SE</v>
      </c>
    </row>
    <row r="343" spans="1:29" x14ac:dyDescent="0.2">
      <c r="B343" s="103">
        <v>-1</v>
      </c>
      <c r="C343" s="34"/>
      <c r="F343" s="12"/>
      <c r="G343" s="12"/>
      <c r="H343" s="12"/>
      <c r="I343" s="19"/>
      <c r="J343" s="12"/>
      <c r="K343" s="35">
        <f>IF(D344&gt;K$330,+K$330,D344)</f>
        <v>0</v>
      </c>
      <c r="L343" s="35">
        <f>IF(D344&gt;K343,+D344-K343,0)</f>
        <v>0</v>
      </c>
      <c r="M343" s="34">
        <f>IF(B344&gt;D344,+B344-D344,0)</f>
        <v>0</v>
      </c>
      <c r="N343" s="34"/>
      <c r="O343" s="34"/>
      <c r="P343" s="34"/>
      <c r="Q343" s="34"/>
      <c r="R343" s="12"/>
      <c r="S343" s="50">
        <v>1</v>
      </c>
      <c r="T343" s="12"/>
      <c r="U343" s="12"/>
      <c r="V343" s="12"/>
      <c r="W343" s="12"/>
      <c r="X343" s="12"/>
      <c r="Y343" s="12"/>
      <c r="Z343" s="12"/>
      <c r="AA343" s="12"/>
    </row>
    <row r="344" spans="1:29" x14ac:dyDescent="0.2">
      <c r="A344" s="1" t="s">
        <v>148</v>
      </c>
      <c r="B344" s="103">
        <f>IF(AND('AES Indiana Bill Calc.'!$D$17="SE",'AES Indiana Bill Calc.'!$D$18="Yes 100%",'AES Indiana Bill Calc.'!$D$20="Yes Before 2018"),'AES Indiana Bill Calc.'!$D$19,-1)</f>
        <v>-1</v>
      </c>
      <c r="C344" s="103" t="b">
        <f>IF(AND('AES Indiana Bill Calc.'!$D$17="SE",'AES Indiana Bill Calc.'!$D$18="Yes 100%",'AES Indiana Bill Calc.'!$D$20="Yes Before 2018"),'AES Indiana Bill Calc.'!$D$23)</f>
        <v>0</v>
      </c>
      <c r="D344" s="2">
        <f>ROUND(C344*D$329,0)</f>
        <v>0</v>
      </c>
      <c r="F344" s="36" t="s">
        <v>185</v>
      </c>
      <c r="G344" s="17">
        <f>SUM(J344:M344,O344:P344,R344:AA344)</f>
        <v>54.99</v>
      </c>
      <c r="H344" s="19" t="e">
        <f>IF(ISBLANK(B344),0,+#REF!/B344)</f>
        <v>#REF!</v>
      </c>
      <c r="I344" s="19"/>
      <c r="J344" s="16">
        <f>IF(ISBLANK(B344),0,+J$329)</f>
        <v>55</v>
      </c>
      <c r="K344" s="16">
        <f>ROUND(K343*K$329,2)</f>
        <v>0</v>
      </c>
      <c r="L344" s="16">
        <f>ROUND(L343*L$329,2)</f>
        <v>0</v>
      </c>
      <c r="M344" s="16">
        <f>ROUND(M343*M$329,2)</f>
        <v>0</v>
      </c>
      <c r="N344" s="16">
        <f>SUM(K344:M344)</f>
        <v>0</v>
      </c>
      <c r="O344" s="16"/>
      <c r="P344" s="16"/>
      <c r="Q344" s="16"/>
      <c r="R344" s="8"/>
      <c r="S344" s="17">
        <f>ROUND($B344*S$329*S343,2)</f>
        <v>0</v>
      </c>
      <c r="T344" s="17">
        <f>ROUND($B344*T$329,2)</f>
        <v>0</v>
      </c>
      <c r="U344" s="17">
        <f>ROUND($B344*U$329,2)</f>
        <v>0</v>
      </c>
      <c r="V344" s="17">
        <f>ROUND($B344*V$320,2)</f>
        <v>0</v>
      </c>
      <c r="W344" s="17">
        <f>ROUND($B344*W$329,2)</f>
        <v>0</v>
      </c>
      <c r="X344" s="17">
        <f>ROUND($B344*X$329,2)</f>
        <v>-0.01</v>
      </c>
      <c r="Y344" s="17">
        <f>ROUND($B344*Y$329,2)</f>
        <v>0</v>
      </c>
      <c r="Z344" s="17">
        <f>ROUND($B344*Z$329,2)</f>
        <v>0</v>
      </c>
      <c r="AA344" s="17">
        <f>ROUND($B344*AA$329,2)</f>
        <v>0</v>
      </c>
      <c r="AB344" s="19">
        <f>SUM(U339:AA339)</f>
        <v>0</v>
      </c>
      <c r="AC344" s="67" t="str">
        <f>+F344</f>
        <v>SE7</v>
      </c>
    </row>
    <row r="345" spans="1:29" x14ac:dyDescent="0.2">
      <c r="A345" s="9"/>
      <c r="B345" s="103">
        <v>-1</v>
      </c>
      <c r="C345" s="34"/>
      <c r="F345" s="12"/>
      <c r="G345" s="12"/>
      <c r="H345" s="12"/>
      <c r="I345" s="19"/>
      <c r="J345" s="12"/>
      <c r="K345" s="35">
        <f>IF(D346&gt;K$330,+K$330,D346)</f>
        <v>0</v>
      </c>
      <c r="L345" s="35">
        <f>IF(D346&gt;K345,+D346-K345,0)</f>
        <v>0</v>
      </c>
      <c r="M345" s="34">
        <f>IF(B346&gt;D346,+B346-D346,0)</f>
        <v>0</v>
      </c>
      <c r="N345" s="34"/>
      <c r="O345" s="34"/>
      <c r="P345" s="34"/>
      <c r="Q345" s="34"/>
      <c r="R345" s="12"/>
      <c r="S345" s="50">
        <v>0.5</v>
      </c>
      <c r="T345" s="12"/>
      <c r="U345" s="12"/>
      <c r="V345" s="12"/>
      <c r="W345" s="12"/>
      <c r="X345" s="12"/>
      <c r="Y345" s="12"/>
      <c r="Z345" s="12"/>
      <c r="AA345" s="12"/>
    </row>
    <row r="346" spans="1:29" x14ac:dyDescent="0.2">
      <c r="A346" s="1" t="s">
        <v>149</v>
      </c>
      <c r="B346" s="103">
        <f>IF(AND('AES Indiana Bill Calc.'!$D$17="SE",'AES Indiana Bill Calc.'!$D$18="Yes 50%",'AES Indiana Bill Calc.'!$D$20="Yes Before 2018"),'AES Indiana Bill Calc.'!$D$19,-1)</f>
        <v>-1</v>
      </c>
      <c r="C346" s="103" t="b">
        <f>IF(AND('AES Indiana Bill Calc.'!$D$17="SE",'AES Indiana Bill Calc.'!$D$18="Yes 50%",'AES Indiana Bill Calc.'!$D$20="Yes Before 2018"),'AES Indiana Bill Calc.'!$D$23)</f>
        <v>0</v>
      </c>
      <c r="D346" s="2">
        <f>ROUND(C346*D$329,0)</f>
        <v>0</v>
      </c>
      <c r="F346" s="36" t="s">
        <v>185</v>
      </c>
      <c r="G346" s="17">
        <f>SUM(J346:M346,O346:P346,R346:AA346)</f>
        <v>54.99</v>
      </c>
      <c r="H346" s="19" t="e">
        <f>IF(ISBLANK(B346),0,+#REF!/B346)</f>
        <v>#REF!</v>
      </c>
      <c r="I346" s="19"/>
      <c r="J346" s="16">
        <f>IF(ISBLANK(B346),0,+J$329)</f>
        <v>55</v>
      </c>
      <c r="K346" s="16">
        <f>ROUND(K345*K$329,2)</f>
        <v>0</v>
      </c>
      <c r="L346" s="16">
        <f>ROUND(L345*L$329,2)</f>
        <v>0</v>
      </c>
      <c r="M346" s="16">
        <f>ROUND(M345*M$329,2)</f>
        <v>0</v>
      </c>
      <c r="N346" s="16">
        <f>SUM(K346:M346)</f>
        <v>0</v>
      </c>
      <c r="O346" s="16"/>
      <c r="P346" s="16"/>
      <c r="Q346" s="16"/>
      <c r="R346" s="8"/>
      <c r="S346" s="17">
        <f>ROUND($B346*S$329*S345,2)</f>
        <v>0</v>
      </c>
      <c r="T346" s="17">
        <f>ROUND($B346*T$329,2)</f>
        <v>0</v>
      </c>
      <c r="U346" s="17">
        <f>ROUND($B346*U$329,2)</f>
        <v>0</v>
      </c>
      <c r="V346" s="17">
        <f>ROUND($B346*V$320,2)</f>
        <v>0</v>
      </c>
      <c r="W346" s="17">
        <f>ROUND($B346*W$329,2)</f>
        <v>0</v>
      </c>
      <c r="X346" s="17">
        <f>ROUND($B346*X$329,2)</f>
        <v>-0.01</v>
      </c>
      <c r="Y346" s="17">
        <f>ROUND($B346*Y$329,2)</f>
        <v>0</v>
      </c>
      <c r="Z346" s="17">
        <f>ROUND($B346*Z$329,2)</f>
        <v>0</v>
      </c>
      <c r="AA346" s="17">
        <f>ROUND($B346*AA$329,2)</f>
        <v>0</v>
      </c>
      <c r="AB346" s="19">
        <f>SUM(U341:AA341)</f>
        <v>0</v>
      </c>
      <c r="AC346" s="67" t="str">
        <f>+F346</f>
        <v>SE7</v>
      </c>
    </row>
    <row r="347" spans="1:29" x14ac:dyDescent="0.2">
      <c r="A347" s="9"/>
      <c r="B347" s="103">
        <v>-1</v>
      </c>
      <c r="C347" s="34"/>
      <c r="F347" s="12"/>
      <c r="G347" s="12"/>
      <c r="H347" s="12"/>
      <c r="I347" s="19"/>
      <c r="J347" s="12"/>
      <c r="K347" s="35">
        <f>IF(D348&gt;K$330,+K$330,D348)</f>
        <v>0</v>
      </c>
      <c r="L347" s="35">
        <f>IF(D348&gt;K347,+D348-K347,0)</f>
        <v>0</v>
      </c>
      <c r="M347" s="34">
        <f>IF(B348&gt;D348,+B348-D348,0)</f>
        <v>0</v>
      </c>
      <c r="N347" s="34"/>
      <c r="O347" s="34"/>
      <c r="P347" s="34"/>
      <c r="Q347" s="34"/>
      <c r="R347" s="12"/>
      <c r="S347" s="50">
        <v>0.25</v>
      </c>
      <c r="T347" s="12"/>
      <c r="U347" s="12"/>
      <c r="V347" s="12"/>
      <c r="W347" s="12"/>
      <c r="X347" s="12"/>
      <c r="Y347" s="12"/>
      <c r="Z347" s="12"/>
      <c r="AA347" s="12"/>
    </row>
    <row r="348" spans="1:29" x14ac:dyDescent="0.2">
      <c r="A348" s="1" t="s">
        <v>150</v>
      </c>
      <c r="B348" s="103">
        <f>IF(AND('AES Indiana Bill Calc.'!$D$17="SE",'AES Indiana Bill Calc.'!$D$18="Yes 25%",'AES Indiana Bill Calc.'!$D$20="Yes Before 2018"),'AES Indiana Bill Calc.'!$D$19,-1)</f>
        <v>-1</v>
      </c>
      <c r="C348" s="103" t="b">
        <f>IF(AND('AES Indiana Bill Calc.'!$D$17="SE",'AES Indiana Bill Calc.'!$D$18="Yes 25%",'AES Indiana Bill Calc.'!$D$20="Yes Before 2018"),'AES Indiana Bill Calc.'!$D$23)</f>
        <v>0</v>
      </c>
      <c r="D348" s="2">
        <f>ROUND(C348*D$329,0)</f>
        <v>0</v>
      </c>
      <c r="F348" s="36" t="s">
        <v>185</v>
      </c>
      <c r="G348" s="17">
        <f>SUM(J348:M348,O348:P348,R348:AA348)</f>
        <v>54.99</v>
      </c>
      <c r="H348" s="19" t="e">
        <f>IF(ISBLANK(B348),0,+#REF!/B348)</f>
        <v>#REF!</v>
      </c>
      <c r="I348" s="19"/>
      <c r="J348" s="16">
        <f>IF(ISBLANK(B348),0,+J$329)</f>
        <v>55</v>
      </c>
      <c r="K348" s="16">
        <f>ROUND(K347*K$329,2)</f>
        <v>0</v>
      </c>
      <c r="L348" s="16">
        <f>ROUND(L347*L$329,2)</f>
        <v>0</v>
      </c>
      <c r="M348" s="16">
        <f>ROUND(M347*M$329,2)</f>
        <v>0</v>
      </c>
      <c r="N348" s="16">
        <f>SUM(K348:M348)</f>
        <v>0</v>
      </c>
      <c r="O348" s="16"/>
      <c r="P348" s="16"/>
      <c r="Q348" s="16"/>
      <c r="R348" s="8"/>
      <c r="S348" s="17">
        <f>ROUND($B348*S$329*S347,2)</f>
        <v>0</v>
      </c>
      <c r="T348" s="17">
        <f>ROUND($B348*T$329,2)</f>
        <v>0</v>
      </c>
      <c r="U348" s="17">
        <f>ROUND($B348*U$329,2)</f>
        <v>0</v>
      </c>
      <c r="V348" s="17">
        <f>ROUND($B348*V$320,2)</f>
        <v>0</v>
      </c>
      <c r="W348" s="17">
        <f>ROUND($B348*W$329,2)</f>
        <v>0</v>
      </c>
      <c r="X348" s="17">
        <f>ROUND($B348*X$329,2)</f>
        <v>-0.01</v>
      </c>
      <c r="Y348" s="17">
        <f>ROUND($B348*Y$329,2)</f>
        <v>0</v>
      </c>
      <c r="Z348" s="17">
        <f>ROUND($B348*Z$329,2)</f>
        <v>0</v>
      </c>
      <c r="AA348" s="17">
        <f>ROUND($B348*AA$329,2)</f>
        <v>0</v>
      </c>
      <c r="AB348" s="19">
        <f>SUM(U343:AA343)</f>
        <v>0</v>
      </c>
      <c r="AC348" s="67" t="str">
        <f>+F348</f>
        <v>SE7</v>
      </c>
    </row>
    <row r="349" spans="1:29" x14ac:dyDescent="0.2">
      <c r="A349" s="9"/>
      <c r="B349" s="103">
        <v>-1</v>
      </c>
      <c r="C349" s="34"/>
      <c r="F349" s="12"/>
      <c r="G349" s="12"/>
      <c r="H349" s="12"/>
      <c r="I349" s="19"/>
      <c r="J349" s="12"/>
      <c r="K349" s="35">
        <f>IF(D350&gt;K$330,+K$330,D350)</f>
        <v>0</v>
      </c>
      <c r="L349" s="35">
        <f>IF(D350&gt;K349,+D350-K349,0)</f>
        <v>0</v>
      </c>
      <c r="M349" s="34">
        <f>IF(B350&gt;D350,+B350-D350,0)</f>
        <v>0</v>
      </c>
      <c r="N349" s="34"/>
      <c r="O349" s="34"/>
      <c r="P349" s="34"/>
      <c r="Q349" s="34"/>
      <c r="R349" s="12"/>
      <c r="S349" s="50">
        <v>0.1</v>
      </c>
      <c r="T349" s="12"/>
      <c r="U349" s="12"/>
      <c r="V349" s="12"/>
      <c r="W349" s="12"/>
      <c r="X349" s="12"/>
      <c r="Y349" s="12"/>
      <c r="Z349" s="12"/>
      <c r="AA349" s="12"/>
    </row>
    <row r="350" spans="1:29" x14ac:dyDescent="0.2">
      <c r="A350" s="1" t="s">
        <v>164</v>
      </c>
      <c r="B350" s="103">
        <f>IF(AND('AES Indiana Bill Calc.'!$D$17="SE",'AES Indiana Bill Calc.'!$D$18="Yes 10%",'AES Indiana Bill Calc.'!$D$20="Yes Before 2018"),'AES Indiana Bill Calc.'!$D$19,-1)</f>
        <v>-1</v>
      </c>
      <c r="C350" s="103" t="b">
        <f>IF(AND('AES Indiana Bill Calc.'!$D$17="SE",'AES Indiana Bill Calc.'!$D$18="Yes 10%",'AES Indiana Bill Calc.'!$D$20="Yes Before 2018"),'AES Indiana Bill Calc.'!$D$23)</f>
        <v>0</v>
      </c>
      <c r="D350" s="2">
        <f>ROUND(C350*D$329,0)</f>
        <v>0</v>
      </c>
      <c r="F350" s="36" t="s">
        <v>185</v>
      </c>
      <c r="G350" s="17">
        <f>SUM(J350:M350,O350:P350,R350:AA350)</f>
        <v>54.99</v>
      </c>
      <c r="H350" s="19" t="e">
        <f>IF(ISBLANK(B350),0,+#REF!/B350)</f>
        <v>#REF!</v>
      </c>
      <c r="I350" s="19"/>
      <c r="J350" s="16">
        <f>IF(ISBLANK(B350),0,+J$329)</f>
        <v>55</v>
      </c>
      <c r="K350" s="16">
        <f>ROUND(K349*K$329,2)</f>
        <v>0</v>
      </c>
      <c r="L350" s="16">
        <f>ROUND(L349*L$329,2)</f>
        <v>0</v>
      </c>
      <c r="M350" s="16">
        <f>ROUND(M349*M$329,2)</f>
        <v>0</v>
      </c>
      <c r="N350" s="16">
        <f>SUM(K350:M350)</f>
        <v>0</v>
      </c>
      <c r="O350" s="16"/>
      <c r="P350" s="16"/>
      <c r="Q350" s="16"/>
      <c r="R350" s="8"/>
      <c r="S350" s="17">
        <f>ROUND($B350*S$329*S349,2)</f>
        <v>0</v>
      </c>
      <c r="T350" s="17">
        <f>ROUND($B350*T$329,2)</f>
        <v>0</v>
      </c>
      <c r="U350" s="17">
        <f>ROUND($B350*U$329,2)</f>
        <v>0</v>
      </c>
      <c r="V350" s="17">
        <f>ROUND($B350*V$320,2)</f>
        <v>0</v>
      </c>
      <c r="W350" s="17">
        <f>ROUND($B350*W$329,2)</f>
        <v>0</v>
      </c>
      <c r="X350" s="17">
        <f>ROUND($B350*X$329,2)</f>
        <v>-0.01</v>
      </c>
      <c r="Y350" s="17">
        <f>ROUND($B350*Y$329,2)</f>
        <v>0</v>
      </c>
      <c r="Z350" s="17">
        <f>ROUND($B350*Z$329,2)</f>
        <v>0</v>
      </c>
      <c r="AA350" s="17">
        <f>ROUND($B350*AA$329,2)</f>
        <v>0</v>
      </c>
      <c r="AB350" s="19">
        <f>SUM(U345:AA345)</f>
        <v>0</v>
      </c>
      <c r="AC350" s="67" t="str">
        <f>+F350</f>
        <v>SE7</v>
      </c>
    </row>
    <row r="351" spans="1:29" x14ac:dyDescent="0.2">
      <c r="A351" s="9"/>
      <c r="B351" s="103">
        <v>-1</v>
      </c>
      <c r="C351" s="34"/>
      <c r="F351" s="12"/>
      <c r="G351" s="12"/>
      <c r="H351" s="12"/>
      <c r="I351" s="19"/>
      <c r="J351" s="12"/>
      <c r="K351" s="35">
        <f>IF(D352&gt;K$330,+K$330,D352)</f>
        <v>0</v>
      </c>
      <c r="L351" s="35">
        <f>IF(D352&gt;K351,+D352-K351,0)</f>
        <v>0</v>
      </c>
      <c r="M351" s="34">
        <f>IF(B352&gt;D352,+B352-D352,0)</f>
        <v>0</v>
      </c>
      <c r="N351" s="34"/>
      <c r="O351" s="34"/>
      <c r="P351" s="34"/>
      <c r="Q351" s="34"/>
      <c r="R351" s="12"/>
      <c r="S351" s="50">
        <v>0</v>
      </c>
      <c r="T351" s="12"/>
      <c r="U351" s="12"/>
      <c r="V351" s="12"/>
      <c r="W351" s="12"/>
      <c r="X351" s="12"/>
      <c r="Y351" s="12"/>
      <c r="Z351" s="12"/>
      <c r="AA351" s="12"/>
    </row>
    <row r="352" spans="1:29" x14ac:dyDescent="0.2">
      <c r="A352" s="1" t="s">
        <v>147</v>
      </c>
      <c r="B352" s="103">
        <f>IF(AND('AES Indiana Bill Calc.'!$D$17="SE",'AES Indiana Bill Calc.'!$D$18="No",'AES Indiana Bill Calc.'!$D$20="Yes Before 2018"),'AES Indiana Bill Calc.'!$D$19,-1)</f>
        <v>-1</v>
      </c>
      <c r="C352" s="103" t="b">
        <f>IF(AND('AES Indiana Bill Calc.'!$D$17="SE",'AES Indiana Bill Calc.'!$D$18="No",'AES Indiana Bill Calc.'!$D$20="Yes Before 2018"),'AES Indiana Bill Calc.'!$D$23)</f>
        <v>0</v>
      </c>
      <c r="D352" s="2">
        <f>ROUND(C352*D$329,0)</f>
        <v>0</v>
      </c>
      <c r="F352" s="36" t="s">
        <v>185</v>
      </c>
      <c r="G352" s="17">
        <f>SUM(J352:M352,O352:P352,R352:AA352)</f>
        <v>54.99</v>
      </c>
      <c r="H352" s="19" t="e">
        <f>IF(ISBLANK(B352),0,+#REF!/B352)</f>
        <v>#REF!</v>
      </c>
      <c r="I352" s="19"/>
      <c r="J352" s="16">
        <f>IF(ISBLANK(B352),0,+J$329)</f>
        <v>55</v>
      </c>
      <c r="K352" s="16">
        <f>ROUND(K351*K$329,2)</f>
        <v>0</v>
      </c>
      <c r="L352" s="16">
        <f>ROUND(L351*L$329,2)</f>
        <v>0</v>
      </c>
      <c r="M352" s="16">
        <f>ROUND(M351*M$329,2)</f>
        <v>0</v>
      </c>
      <c r="N352" s="16">
        <f>SUM(K352:M352)</f>
        <v>0</v>
      </c>
      <c r="O352" s="16"/>
      <c r="P352" s="16"/>
      <c r="Q352" s="16"/>
      <c r="R352" s="8"/>
      <c r="S352" s="17">
        <f>ROUND($B352*S$329*S351,2)</f>
        <v>0</v>
      </c>
      <c r="T352" s="17">
        <f>ROUND($B352*T$329,2)</f>
        <v>0</v>
      </c>
      <c r="U352" s="17">
        <f>ROUND($B352*U$329,2)</f>
        <v>0</v>
      </c>
      <c r="V352" s="17">
        <f>ROUND($B352*V$320,2)</f>
        <v>0</v>
      </c>
      <c r="W352" s="17">
        <f>ROUND($B352*W$329,2)</f>
        <v>0</v>
      </c>
      <c r="X352" s="17">
        <f>ROUND($B352*X$329,2)</f>
        <v>-0.01</v>
      </c>
      <c r="Y352" s="17">
        <f>ROUND($B352*Y$329,2)</f>
        <v>0</v>
      </c>
      <c r="Z352" s="17">
        <f>ROUND($B352*Z$329,2)</f>
        <v>0</v>
      </c>
      <c r="AA352" s="17">
        <f>ROUND($B352*AA$329,2)</f>
        <v>0</v>
      </c>
      <c r="AB352" s="19">
        <f>SUM(U347:AA347)</f>
        <v>0</v>
      </c>
      <c r="AC352" s="67" t="str">
        <f>+F352</f>
        <v>SE7</v>
      </c>
    </row>
    <row r="353" spans="1:29" x14ac:dyDescent="0.2">
      <c r="B353" s="103">
        <v>-1</v>
      </c>
      <c r="C353" s="34"/>
      <c r="F353" s="12"/>
      <c r="G353" s="12"/>
      <c r="H353" s="12"/>
      <c r="I353" s="19"/>
      <c r="J353" s="12"/>
      <c r="K353" s="35">
        <f>IF(D354&gt;K$330,+K$330,D354)</f>
        <v>0</v>
      </c>
      <c r="L353" s="35">
        <f>IF(D354&gt;K353,+D354-K353,0)</f>
        <v>0</v>
      </c>
      <c r="M353" s="34">
        <f>IF(B354&gt;D354,+B354-D354,0)</f>
        <v>0</v>
      </c>
      <c r="N353" s="34"/>
      <c r="O353" s="34"/>
      <c r="P353" s="34"/>
      <c r="Q353" s="34"/>
      <c r="R353" s="12"/>
      <c r="S353" s="50">
        <v>1</v>
      </c>
      <c r="T353" s="12"/>
      <c r="U353" s="12"/>
      <c r="V353" s="12"/>
      <c r="W353" s="12"/>
      <c r="X353" s="12"/>
      <c r="Y353" s="12"/>
      <c r="Z353" s="12"/>
      <c r="AA353" s="12"/>
    </row>
    <row r="354" spans="1:29" x14ac:dyDescent="0.2">
      <c r="A354" s="1" t="s">
        <v>148</v>
      </c>
      <c r="B354" s="103">
        <f>IF(AND('AES Indiana Bill Calc.'!$D$17="SE",'AES Indiana Bill Calc.'!$D$18="Yes 100%",'AES Indiana Bill Calc.'!$D$20="Yes 2018"),'AES Indiana Bill Calc.'!$D$19,-1)</f>
        <v>-1</v>
      </c>
      <c r="C354" s="103" t="b">
        <f>IF(AND('AES Indiana Bill Calc.'!$D$17="SE",'AES Indiana Bill Calc.'!$D$18="Yes 100%",'AES Indiana Bill Calc.'!$D$20="Yes 2018"),'AES Indiana Bill Calc.'!$D$23)</f>
        <v>0</v>
      </c>
      <c r="D354" s="2">
        <f>ROUND(C354*D$329,0)</f>
        <v>0</v>
      </c>
      <c r="F354" s="36" t="s">
        <v>186</v>
      </c>
      <c r="G354" s="17">
        <f>SUM(J354:M354,O354:P354,R354:AA354)</f>
        <v>54.99</v>
      </c>
      <c r="H354" s="19" t="e">
        <f>IF(ISBLANK(B354),0,+#REF!/B354)</f>
        <v>#REF!</v>
      </c>
      <c r="I354" s="19"/>
      <c r="J354" s="16">
        <f>IF(ISBLANK(B354),0,+J$329)</f>
        <v>55</v>
      </c>
      <c r="K354" s="16">
        <f>ROUND(K353*K$329,2)</f>
        <v>0</v>
      </c>
      <c r="L354" s="16">
        <f>ROUND(L353*L$329,2)</f>
        <v>0</v>
      </c>
      <c r="M354" s="16">
        <f>ROUND(M353*M$329,2)</f>
        <v>0</v>
      </c>
      <c r="N354" s="16">
        <f>SUM(K354:M354)</f>
        <v>0</v>
      </c>
      <c r="O354" s="16"/>
      <c r="P354" s="16"/>
      <c r="Q354" s="16"/>
      <c r="R354" s="8"/>
      <c r="S354" s="17">
        <f>ROUND($B354*S$329*S353,2)</f>
        <v>0</v>
      </c>
      <c r="T354" s="17">
        <f>ROUND($B354*T$329,2)</f>
        <v>0</v>
      </c>
      <c r="U354" s="17">
        <f>ROUND($B354*U$329,2)</f>
        <v>0</v>
      </c>
      <c r="V354" s="17">
        <f>ROUND($B354*V$321,2)</f>
        <v>0</v>
      </c>
      <c r="W354" s="17">
        <f>ROUND($B354*W$329,2)</f>
        <v>0</v>
      </c>
      <c r="X354" s="17">
        <f>ROUND($B354*X$329,2)</f>
        <v>-0.01</v>
      </c>
      <c r="Y354" s="17">
        <f>ROUND($B354*Y$329,2)</f>
        <v>0</v>
      </c>
      <c r="Z354" s="17">
        <f>ROUND($B354*Z$329,2)</f>
        <v>0</v>
      </c>
      <c r="AA354" s="17">
        <f>ROUND($B354*AA$329,2)</f>
        <v>0</v>
      </c>
      <c r="AB354" s="19">
        <f>SUM(U349:AA349)</f>
        <v>0</v>
      </c>
      <c r="AC354" s="67" t="str">
        <f>+F354</f>
        <v>SE8</v>
      </c>
    </row>
    <row r="355" spans="1:29" x14ac:dyDescent="0.2">
      <c r="A355" s="9"/>
      <c r="B355" s="103">
        <v>-1</v>
      </c>
      <c r="C355" s="34"/>
      <c r="F355" s="12"/>
      <c r="G355" s="12"/>
      <c r="H355" s="12"/>
      <c r="I355" s="19"/>
      <c r="J355" s="12"/>
      <c r="K355" s="35">
        <f>IF(D356&gt;K$330,+K$330,D356)</f>
        <v>0</v>
      </c>
      <c r="L355" s="35">
        <f>IF(D356&gt;K355,+D356-K355,0)</f>
        <v>0</v>
      </c>
      <c r="M355" s="34">
        <f>IF(B356&gt;D356,+B356-D356,0)</f>
        <v>0</v>
      </c>
      <c r="N355" s="34"/>
      <c r="O355" s="34"/>
      <c r="P355" s="34"/>
      <c r="Q355" s="34"/>
      <c r="R355" s="12"/>
      <c r="S355" s="50">
        <v>0.5</v>
      </c>
      <c r="T355" s="12"/>
      <c r="U355" s="12"/>
      <c r="V355" s="12"/>
      <c r="W355" s="12"/>
      <c r="X355" s="12"/>
      <c r="Y355" s="12"/>
      <c r="Z355" s="12"/>
      <c r="AA355" s="12"/>
    </row>
    <row r="356" spans="1:29" x14ac:dyDescent="0.2">
      <c r="A356" s="1" t="s">
        <v>149</v>
      </c>
      <c r="B356" s="103">
        <f>IF(AND('AES Indiana Bill Calc.'!$D$17="SE",'AES Indiana Bill Calc.'!$D$18="Yes 50%",'AES Indiana Bill Calc.'!$D$20="Yes 2018"),'AES Indiana Bill Calc.'!$D$19,-1)</f>
        <v>-1</v>
      </c>
      <c r="C356" s="103" t="b">
        <f>IF(AND('AES Indiana Bill Calc.'!$D$17="SE",'AES Indiana Bill Calc.'!$D$18="Yes 50%",'AES Indiana Bill Calc.'!$D$20="Yes 2018"),'AES Indiana Bill Calc.'!$D$23)</f>
        <v>0</v>
      </c>
      <c r="D356" s="2">
        <f>ROUND(C356*D$329,0)</f>
        <v>0</v>
      </c>
      <c r="F356" s="36" t="s">
        <v>186</v>
      </c>
      <c r="G356" s="17">
        <f>SUM(J356:M356,O356:P356,R356:AA356)</f>
        <v>54.99</v>
      </c>
      <c r="H356" s="19" t="e">
        <f>IF(ISBLANK(B356),0,+#REF!/B356)</f>
        <v>#REF!</v>
      </c>
      <c r="I356" s="19"/>
      <c r="J356" s="16">
        <f>IF(ISBLANK(B356),0,+J$329)</f>
        <v>55</v>
      </c>
      <c r="K356" s="16">
        <f>ROUND(K355*K$329,2)</f>
        <v>0</v>
      </c>
      <c r="L356" s="16">
        <f>ROUND(L355*L$329,2)</f>
        <v>0</v>
      </c>
      <c r="M356" s="16">
        <f>ROUND(M355*M$329,2)</f>
        <v>0</v>
      </c>
      <c r="N356" s="16">
        <f>SUM(K356:M356)</f>
        <v>0</v>
      </c>
      <c r="O356" s="16"/>
      <c r="P356" s="16"/>
      <c r="Q356" s="16"/>
      <c r="R356" s="8"/>
      <c r="S356" s="17">
        <f>ROUND($B356*S$329*S355,2)</f>
        <v>0</v>
      </c>
      <c r="T356" s="17">
        <f>ROUND($B356*T$329,2)</f>
        <v>0</v>
      </c>
      <c r="U356" s="17">
        <f>ROUND($B356*U$329,2)</f>
        <v>0</v>
      </c>
      <c r="V356" s="17">
        <f>ROUND($B356*V$321,2)</f>
        <v>0</v>
      </c>
      <c r="W356" s="17">
        <f>ROUND($B356*W$329,2)</f>
        <v>0</v>
      </c>
      <c r="X356" s="17">
        <f>ROUND($B356*X$329,2)</f>
        <v>-0.01</v>
      </c>
      <c r="Y356" s="17">
        <f>ROUND($B356*Y$329,2)</f>
        <v>0</v>
      </c>
      <c r="Z356" s="17">
        <f>ROUND($B356*Z$329,2)</f>
        <v>0</v>
      </c>
      <c r="AA356" s="17">
        <f>ROUND($B356*AA$329,2)</f>
        <v>0</v>
      </c>
      <c r="AB356" s="19">
        <f>SUM(U351:AA351)</f>
        <v>0</v>
      </c>
      <c r="AC356" s="67" t="str">
        <f>+F356</f>
        <v>SE8</v>
      </c>
    </row>
    <row r="357" spans="1:29" x14ac:dyDescent="0.2">
      <c r="A357" s="9"/>
      <c r="B357" s="103">
        <v>-1</v>
      </c>
      <c r="C357" s="34"/>
      <c r="F357" s="12"/>
      <c r="G357" s="12"/>
      <c r="H357" s="12"/>
      <c r="I357" s="19"/>
      <c r="J357" s="12"/>
      <c r="K357" s="35">
        <f>IF(D358&gt;K$330,+K$330,D358)</f>
        <v>0</v>
      </c>
      <c r="L357" s="35">
        <f>IF(D358&gt;K357,+D358-K357,0)</f>
        <v>0</v>
      </c>
      <c r="M357" s="34">
        <f>IF(B358&gt;D358,+B358-D358,0)</f>
        <v>0</v>
      </c>
      <c r="N357" s="34"/>
      <c r="O357" s="34"/>
      <c r="P357" s="34"/>
      <c r="Q357" s="34"/>
      <c r="R357" s="12"/>
      <c r="S357" s="50">
        <v>0.25</v>
      </c>
      <c r="T357" s="12"/>
      <c r="U357" s="12"/>
      <c r="V357" s="12"/>
      <c r="W357" s="12"/>
      <c r="X357" s="12"/>
      <c r="Y357" s="12"/>
      <c r="Z357" s="12"/>
      <c r="AA357" s="12"/>
    </row>
    <row r="358" spans="1:29" x14ac:dyDescent="0.2">
      <c r="A358" s="1" t="s">
        <v>150</v>
      </c>
      <c r="B358" s="103">
        <f>IF(AND('AES Indiana Bill Calc.'!$D$17="SE",'AES Indiana Bill Calc.'!$D$18="Yes 25%",'AES Indiana Bill Calc.'!$D$20="Yes 2018"),'AES Indiana Bill Calc.'!$D$19,-1)</f>
        <v>-1</v>
      </c>
      <c r="C358" s="103" t="b">
        <f>IF(AND('AES Indiana Bill Calc.'!$D$17="SE",'AES Indiana Bill Calc.'!$D$18="Yes 25%",'AES Indiana Bill Calc.'!$D$20="Yes 2018"),'AES Indiana Bill Calc.'!$D$23)</f>
        <v>0</v>
      </c>
      <c r="D358" s="2">
        <f>ROUND(C358*D$329,0)</f>
        <v>0</v>
      </c>
      <c r="F358" s="36" t="s">
        <v>186</v>
      </c>
      <c r="G358" s="17">
        <f>SUM(J358:M358,O358:P358,R358:AA358)</f>
        <v>54.99</v>
      </c>
      <c r="H358" s="19" t="e">
        <f>IF(ISBLANK(B358),0,+#REF!/B358)</f>
        <v>#REF!</v>
      </c>
      <c r="I358" s="19"/>
      <c r="J358" s="16">
        <f>IF(ISBLANK(B358),0,+J$329)</f>
        <v>55</v>
      </c>
      <c r="K358" s="16">
        <f>ROUND(K357*K$329,2)</f>
        <v>0</v>
      </c>
      <c r="L358" s="16">
        <f>ROUND(L357*L$329,2)</f>
        <v>0</v>
      </c>
      <c r="M358" s="16">
        <f>ROUND(M357*M$329,2)</f>
        <v>0</v>
      </c>
      <c r="N358" s="16">
        <f>SUM(K358:M358)</f>
        <v>0</v>
      </c>
      <c r="O358" s="16"/>
      <c r="P358" s="16"/>
      <c r="Q358" s="16"/>
      <c r="R358" s="8"/>
      <c r="S358" s="17">
        <f>ROUND($B358*S$329*S357,2)</f>
        <v>0</v>
      </c>
      <c r="T358" s="17">
        <f>ROUND($B358*T$329,2)</f>
        <v>0</v>
      </c>
      <c r="U358" s="17">
        <f>ROUND($B358*U$329,2)</f>
        <v>0</v>
      </c>
      <c r="V358" s="17">
        <f>ROUND($B358*V$321,2)</f>
        <v>0</v>
      </c>
      <c r="W358" s="17">
        <f>ROUND($B358*W$329,2)</f>
        <v>0</v>
      </c>
      <c r="X358" s="17">
        <f>ROUND($B358*X$329,2)</f>
        <v>-0.01</v>
      </c>
      <c r="Y358" s="17">
        <f>ROUND($B358*Y$329,2)</f>
        <v>0</v>
      </c>
      <c r="Z358" s="17">
        <f>ROUND($B358*Z$329,2)</f>
        <v>0</v>
      </c>
      <c r="AA358" s="17">
        <f>ROUND($B358*AA$329,2)</f>
        <v>0</v>
      </c>
      <c r="AB358" s="19">
        <f>SUM(U353:AA353)</f>
        <v>0</v>
      </c>
      <c r="AC358" s="67" t="str">
        <f>+F358</f>
        <v>SE8</v>
      </c>
    </row>
    <row r="359" spans="1:29" x14ac:dyDescent="0.2">
      <c r="A359" s="9"/>
      <c r="B359" s="103">
        <v>-1</v>
      </c>
      <c r="C359" s="34"/>
      <c r="F359" s="12"/>
      <c r="G359" s="12"/>
      <c r="H359" s="12"/>
      <c r="I359" s="19"/>
      <c r="J359" s="12"/>
      <c r="K359" s="35">
        <f>IF(D360&gt;K$330,+K$330,D360)</f>
        <v>0</v>
      </c>
      <c r="L359" s="35">
        <f>IF(D360&gt;K359,+D360-K359,0)</f>
        <v>0</v>
      </c>
      <c r="M359" s="34">
        <f>IF(B360&gt;D360,+B360-D360,0)</f>
        <v>0</v>
      </c>
      <c r="N359" s="34"/>
      <c r="O359" s="34"/>
      <c r="P359" s="34"/>
      <c r="Q359" s="34"/>
      <c r="R359" s="12"/>
      <c r="S359" s="50">
        <v>0.1</v>
      </c>
      <c r="T359" s="12"/>
      <c r="U359" s="12"/>
      <c r="V359" s="12"/>
      <c r="W359" s="12"/>
      <c r="X359" s="12"/>
      <c r="Y359" s="12"/>
      <c r="Z359" s="12"/>
      <c r="AA359" s="12"/>
    </row>
    <row r="360" spans="1:29" x14ac:dyDescent="0.2">
      <c r="A360" s="1" t="s">
        <v>164</v>
      </c>
      <c r="B360" s="103">
        <f>IF(AND('AES Indiana Bill Calc.'!$D$17="SE",'AES Indiana Bill Calc.'!$D$18="Yes 10%",'AES Indiana Bill Calc.'!$D$20="Yes 2018"),'AES Indiana Bill Calc.'!$D$19,-1)</f>
        <v>-1</v>
      </c>
      <c r="C360" s="103" t="b">
        <f>IF(AND('AES Indiana Bill Calc.'!$D$17="SE",'AES Indiana Bill Calc.'!$D$18="Yes 10%",'AES Indiana Bill Calc.'!$D$20="Yes 2018"),'AES Indiana Bill Calc.'!$D$23)</f>
        <v>0</v>
      </c>
      <c r="D360" s="2">
        <f>ROUND(C360*D$329,0)</f>
        <v>0</v>
      </c>
      <c r="F360" s="36" t="s">
        <v>186</v>
      </c>
      <c r="G360" s="17">
        <f>SUM(J360:M360,O360:P360,R360:AA360)</f>
        <v>54.99</v>
      </c>
      <c r="H360" s="19" t="e">
        <f>IF(ISBLANK(B360),0,+#REF!/B360)</f>
        <v>#REF!</v>
      </c>
      <c r="I360" s="19"/>
      <c r="J360" s="16">
        <f>IF(ISBLANK(B360),0,+J$329)</f>
        <v>55</v>
      </c>
      <c r="K360" s="16">
        <f>ROUND(K359*K$329,2)</f>
        <v>0</v>
      </c>
      <c r="L360" s="16">
        <f>ROUND(L359*L$329,2)</f>
        <v>0</v>
      </c>
      <c r="M360" s="16">
        <f>ROUND(M359*M$329,2)</f>
        <v>0</v>
      </c>
      <c r="N360" s="16">
        <f>SUM(K360:M360)</f>
        <v>0</v>
      </c>
      <c r="O360" s="16"/>
      <c r="P360" s="16"/>
      <c r="Q360" s="16"/>
      <c r="R360" s="8"/>
      <c r="S360" s="17">
        <f>ROUND($B360*S$329*S359,2)</f>
        <v>0</v>
      </c>
      <c r="T360" s="17">
        <f>ROUND($B360*T$329,2)</f>
        <v>0</v>
      </c>
      <c r="U360" s="17">
        <f>ROUND($B360*U$329,2)</f>
        <v>0</v>
      </c>
      <c r="V360" s="17">
        <f>ROUND($B360*V$321,2)</f>
        <v>0</v>
      </c>
      <c r="W360" s="17">
        <f>ROUND($B360*W$329,2)</f>
        <v>0</v>
      </c>
      <c r="X360" s="17">
        <f>ROUND($B360*X$329,2)</f>
        <v>-0.01</v>
      </c>
      <c r="Y360" s="17">
        <f>ROUND($B360*Y$329,2)</f>
        <v>0</v>
      </c>
      <c r="Z360" s="17">
        <f>ROUND($B360*Z$329,2)</f>
        <v>0</v>
      </c>
      <c r="AA360" s="17">
        <f>ROUND($B360*AA$329,2)</f>
        <v>0</v>
      </c>
      <c r="AB360" s="19">
        <f>SUM(U355:AA355)</f>
        <v>0</v>
      </c>
      <c r="AC360" s="67" t="str">
        <f>+F360</f>
        <v>SE8</v>
      </c>
    </row>
    <row r="361" spans="1:29" x14ac:dyDescent="0.2">
      <c r="A361" s="9"/>
      <c r="B361" s="103">
        <v>-1</v>
      </c>
      <c r="C361" s="34"/>
      <c r="F361" s="12"/>
      <c r="G361" s="12"/>
      <c r="H361" s="12"/>
      <c r="I361" s="19"/>
      <c r="J361" s="12"/>
      <c r="K361" s="35">
        <f>IF(D362&gt;K$330,+K$330,D362)</f>
        <v>0</v>
      </c>
      <c r="L361" s="35">
        <f>IF(D362&gt;K361,+D362-K361,0)</f>
        <v>0</v>
      </c>
      <c r="M361" s="34">
        <f>IF(B362&gt;D362,+B362-D362,0)</f>
        <v>0</v>
      </c>
      <c r="N361" s="34"/>
      <c r="O361" s="34"/>
      <c r="P361" s="34"/>
      <c r="Q361" s="34"/>
      <c r="R361" s="12"/>
      <c r="S361" s="50">
        <v>0</v>
      </c>
      <c r="T361" s="12"/>
      <c r="U361" s="12"/>
      <c r="V361" s="12"/>
      <c r="W361" s="12"/>
      <c r="X361" s="12"/>
      <c r="Y361" s="12"/>
      <c r="Z361" s="12"/>
      <c r="AA361" s="12"/>
    </row>
    <row r="362" spans="1:29" x14ac:dyDescent="0.2">
      <c r="A362" s="1" t="s">
        <v>147</v>
      </c>
      <c r="B362" s="103">
        <f>IF(AND('AES Indiana Bill Calc.'!$D$17="SE",'AES Indiana Bill Calc.'!$D$18="No",'AES Indiana Bill Calc.'!$D$20="Yes 2018"),'AES Indiana Bill Calc.'!$D$19,-1)</f>
        <v>-1</v>
      </c>
      <c r="C362" s="103" t="b">
        <f>IF(AND('AES Indiana Bill Calc.'!$D$17="SE",'AES Indiana Bill Calc.'!$D$18="No",'AES Indiana Bill Calc.'!$D$20="Yes 2018"),'AES Indiana Bill Calc.'!$D$23)</f>
        <v>0</v>
      </c>
      <c r="D362" s="2">
        <f>ROUND(C362*D$329,0)</f>
        <v>0</v>
      </c>
      <c r="F362" s="36" t="s">
        <v>186</v>
      </c>
      <c r="G362" s="17">
        <f>SUM(J362:M362,O362:P362,R362:AA362)</f>
        <v>54.99</v>
      </c>
      <c r="H362" s="19" t="e">
        <f>IF(ISBLANK(B362),0,+#REF!/B362)</f>
        <v>#REF!</v>
      </c>
      <c r="I362" s="19"/>
      <c r="J362" s="16">
        <f>IF(ISBLANK(B362),0,+J$329)</f>
        <v>55</v>
      </c>
      <c r="K362" s="16">
        <f>ROUND(K361*K$329,2)</f>
        <v>0</v>
      </c>
      <c r="L362" s="16">
        <f>ROUND(L361*L$329,2)</f>
        <v>0</v>
      </c>
      <c r="M362" s="16">
        <f>ROUND(M361*M$329,2)</f>
        <v>0</v>
      </c>
      <c r="N362" s="16">
        <f>SUM(K362:M362)</f>
        <v>0</v>
      </c>
      <c r="O362" s="16"/>
      <c r="P362" s="16"/>
      <c r="Q362" s="16"/>
      <c r="R362" s="8"/>
      <c r="S362" s="17">
        <f>ROUND($B362*S$329*S361,2)</f>
        <v>0</v>
      </c>
      <c r="T362" s="17">
        <f>ROUND($B362*T$329,2)</f>
        <v>0</v>
      </c>
      <c r="U362" s="17">
        <f>ROUND($B362*U$329,2)</f>
        <v>0</v>
      </c>
      <c r="V362" s="17">
        <f>ROUND($B362*V$321,2)</f>
        <v>0</v>
      </c>
      <c r="W362" s="17">
        <f>ROUND($B362*W$329,2)</f>
        <v>0</v>
      </c>
      <c r="X362" s="17">
        <f>ROUND($B362*X$329,2)</f>
        <v>-0.01</v>
      </c>
      <c r="Y362" s="17">
        <f>ROUND($B362*Y$329,2)</f>
        <v>0</v>
      </c>
      <c r="Z362" s="17">
        <f>ROUND($B362*Z$329,2)</f>
        <v>0</v>
      </c>
      <c r="AA362" s="17">
        <f>ROUND($B362*AA$329,2)</f>
        <v>0</v>
      </c>
      <c r="AB362" s="19">
        <f>SUM(U357:AA357)</f>
        <v>0</v>
      </c>
      <c r="AC362" s="67" t="str">
        <f>+F362</f>
        <v>SE8</v>
      </c>
    </row>
    <row r="363" spans="1:29" x14ac:dyDescent="0.2">
      <c r="B363" s="103">
        <v>-1</v>
      </c>
      <c r="C363" s="34"/>
      <c r="F363" s="12"/>
      <c r="G363" s="12"/>
      <c r="H363" s="12"/>
      <c r="I363" s="19"/>
      <c r="J363" s="12"/>
      <c r="K363" s="35">
        <f>IF(D364&gt;K$330,+K$330,D364)</f>
        <v>0</v>
      </c>
      <c r="L363" s="35">
        <f>IF(D364&gt;K363,+D364-K363,0)</f>
        <v>0</v>
      </c>
      <c r="M363" s="34">
        <f>IF(B364&gt;D364,+B364-D364,0)</f>
        <v>0</v>
      </c>
      <c r="N363" s="34"/>
      <c r="O363" s="34"/>
      <c r="P363" s="34"/>
      <c r="Q363" s="34"/>
      <c r="R363" s="12"/>
      <c r="S363" s="50">
        <v>1</v>
      </c>
      <c r="T363" s="12"/>
      <c r="U363" s="12"/>
      <c r="V363" s="12"/>
      <c r="W363" s="12"/>
      <c r="X363" s="12"/>
      <c r="Y363" s="12"/>
      <c r="Z363" s="12"/>
      <c r="AA363" s="12"/>
    </row>
    <row r="364" spans="1:29" x14ac:dyDescent="0.2">
      <c r="A364" s="1" t="s">
        <v>148</v>
      </c>
      <c r="B364" s="103">
        <f>IF(AND('AES Indiana Bill Calc.'!$D$17="SE",'AES Indiana Bill Calc.'!$D$18="Yes 100%",'AES Indiana Bill Calc.'!$D$20="Yes 2019"),'AES Indiana Bill Calc.'!$D$19,-1)</f>
        <v>-1</v>
      </c>
      <c r="C364" s="103" t="b">
        <f>IF(AND('AES Indiana Bill Calc.'!$D$17="SE",'AES Indiana Bill Calc.'!$D$18="Yes 100%",'AES Indiana Bill Calc.'!$D$20="Yes 2019"),'AES Indiana Bill Calc.'!$D$23)</f>
        <v>0</v>
      </c>
      <c r="D364" s="2">
        <f>ROUND(C364*D$329,0)</f>
        <v>0</v>
      </c>
      <c r="F364" s="36" t="s">
        <v>187</v>
      </c>
      <c r="G364" s="17">
        <f>SUM(J364:M364,O364:P364,R364:AA364)</f>
        <v>54.99</v>
      </c>
      <c r="H364" s="19" t="e">
        <f>IF(ISBLANK(B364),0,+#REF!/B364)</f>
        <v>#REF!</v>
      </c>
      <c r="I364" s="19"/>
      <c r="J364" s="16">
        <f>IF(ISBLANK(B364),0,+J$329)</f>
        <v>55</v>
      </c>
      <c r="K364" s="16">
        <f>ROUND(K363*K$329,2)</f>
        <v>0</v>
      </c>
      <c r="L364" s="16">
        <f>ROUND(L363*L$329,2)</f>
        <v>0</v>
      </c>
      <c r="M364" s="16">
        <f>ROUND(M363*M$329,2)</f>
        <v>0</v>
      </c>
      <c r="N364" s="16">
        <f>SUM(K364:M364)</f>
        <v>0</v>
      </c>
      <c r="O364" s="16"/>
      <c r="P364" s="16"/>
      <c r="Q364" s="16"/>
      <c r="R364" s="8"/>
      <c r="S364" s="17">
        <f>ROUND($B364*S$329*S363,2)</f>
        <v>0</v>
      </c>
      <c r="T364" s="17">
        <f>ROUND($B364*T$329,2)</f>
        <v>0</v>
      </c>
      <c r="U364" s="17">
        <f>ROUND($B364*U$329,2)</f>
        <v>0</v>
      </c>
      <c r="V364" s="17">
        <f>ROUND($B364*V$322,2)</f>
        <v>0</v>
      </c>
      <c r="W364" s="17">
        <f>ROUND($B364*W$329,2)</f>
        <v>0</v>
      </c>
      <c r="X364" s="17">
        <f>ROUND($B364*X$329,2)</f>
        <v>-0.01</v>
      </c>
      <c r="Y364" s="17">
        <f>ROUND($B364*Y$329,2)</f>
        <v>0</v>
      </c>
      <c r="Z364" s="17">
        <f>ROUND($B364*Z$329,2)</f>
        <v>0</v>
      </c>
      <c r="AA364" s="17">
        <f>ROUND($B364*AA$329,2)</f>
        <v>0</v>
      </c>
      <c r="AB364" s="19">
        <f>SUM(U359:AA359)</f>
        <v>0</v>
      </c>
      <c r="AC364" s="67" t="str">
        <f>+F364</f>
        <v>SE9</v>
      </c>
    </row>
    <row r="365" spans="1:29" x14ac:dyDescent="0.2">
      <c r="A365" s="9"/>
      <c r="B365" s="103">
        <v>-1</v>
      </c>
      <c r="C365" s="34"/>
      <c r="F365" s="12"/>
      <c r="G365" s="12"/>
      <c r="H365" s="12"/>
      <c r="I365" s="19"/>
      <c r="J365" s="12"/>
      <c r="K365" s="35">
        <f>IF(D366&gt;K$330,+K$330,D366)</f>
        <v>0</v>
      </c>
      <c r="L365" s="35">
        <f>IF(D366&gt;K365,+D366-K365,0)</f>
        <v>0</v>
      </c>
      <c r="M365" s="34">
        <f>IF(B366&gt;D366,+B366-D366,0)</f>
        <v>0</v>
      </c>
      <c r="N365" s="34"/>
      <c r="O365" s="34"/>
      <c r="P365" s="34"/>
      <c r="Q365" s="34"/>
      <c r="R365" s="12"/>
      <c r="S365" s="50">
        <v>0.5</v>
      </c>
      <c r="T365" s="12"/>
      <c r="U365" s="12"/>
      <c r="V365" s="12"/>
      <c r="W365" s="12"/>
      <c r="X365" s="12"/>
      <c r="Y365" s="12"/>
      <c r="Z365" s="12"/>
      <c r="AA365" s="12"/>
    </row>
    <row r="366" spans="1:29" x14ac:dyDescent="0.2">
      <c r="A366" s="1" t="s">
        <v>149</v>
      </c>
      <c r="B366" s="103">
        <f>IF(AND('AES Indiana Bill Calc.'!$D$17="SE",'AES Indiana Bill Calc.'!$D$18="Yes 50%",'AES Indiana Bill Calc.'!$D$20="Yes 2019"),'AES Indiana Bill Calc.'!$D$19,-1)</f>
        <v>-1</v>
      </c>
      <c r="C366" s="103" t="b">
        <f>IF(AND('AES Indiana Bill Calc.'!$D$17="SE",'AES Indiana Bill Calc.'!$D$18="Yes 50%",'AES Indiana Bill Calc.'!$D$20="Yes 2019"),'AES Indiana Bill Calc.'!$D$23)</f>
        <v>0</v>
      </c>
      <c r="D366" s="2">
        <f>ROUND(C366*D$329,0)</f>
        <v>0</v>
      </c>
      <c r="F366" s="36" t="s">
        <v>187</v>
      </c>
      <c r="G366" s="17">
        <f>SUM(J366:M366,O366:P366,R366:AA366)</f>
        <v>54.99</v>
      </c>
      <c r="H366" s="19" t="e">
        <f>IF(ISBLANK(B366),0,+#REF!/B366)</f>
        <v>#REF!</v>
      </c>
      <c r="I366" s="19"/>
      <c r="J366" s="16">
        <f>IF(ISBLANK(B366),0,+J$329)</f>
        <v>55</v>
      </c>
      <c r="K366" s="16">
        <f>ROUND(K365*K$329,2)</f>
        <v>0</v>
      </c>
      <c r="L366" s="16">
        <f>ROUND(L365*L$329,2)</f>
        <v>0</v>
      </c>
      <c r="M366" s="16">
        <f>ROUND(M365*M$329,2)</f>
        <v>0</v>
      </c>
      <c r="N366" s="16">
        <f>SUM(K366:M366)</f>
        <v>0</v>
      </c>
      <c r="O366" s="16"/>
      <c r="P366" s="16"/>
      <c r="Q366" s="16"/>
      <c r="R366" s="8"/>
      <c r="S366" s="17">
        <f>ROUND($B366*S$329*S365,2)</f>
        <v>0</v>
      </c>
      <c r="T366" s="17">
        <f>ROUND($B366*T$329,2)</f>
        <v>0</v>
      </c>
      <c r="U366" s="17">
        <f>ROUND($B366*U$329,2)</f>
        <v>0</v>
      </c>
      <c r="V366" s="17">
        <f>ROUND($B366*V$322,2)</f>
        <v>0</v>
      </c>
      <c r="W366" s="17">
        <f>ROUND($B366*W$329,2)</f>
        <v>0</v>
      </c>
      <c r="X366" s="17">
        <f>ROUND($B366*X$329,2)</f>
        <v>-0.01</v>
      </c>
      <c r="Y366" s="17">
        <f>ROUND($B366*Y$329,2)</f>
        <v>0</v>
      </c>
      <c r="Z366" s="17">
        <f>ROUND($B366*Z$329,2)</f>
        <v>0</v>
      </c>
      <c r="AA366" s="17">
        <f>ROUND($B366*AA$329,2)</f>
        <v>0</v>
      </c>
      <c r="AB366" s="19">
        <f>SUM(U361:AA361)</f>
        <v>0</v>
      </c>
      <c r="AC366" s="67" t="str">
        <f>+F366</f>
        <v>SE9</v>
      </c>
    </row>
    <row r="367" spans="1:29" x14ac:dyDescent="0.2">
      <c r="A367" s="9"/>
      <c r="B367" s="103">
        <v>-1</v>
      </c>
      <c r="C367" s="34"/>
      <c r="F367" s="12"/>
      <c r="G367" s="12"/>
      <c r="H367" s="12"/>
      <c r="I367" s="19"/>
      <c r="J367" s="12"/>
      <c r="K367" s="35">
        <f>IF(D368&gt;K$330,+K$330,D368)</f>
        <v>0</v>
      </c>
      <c r="L367" s="35">
        <f>IF(D368&gt;K367,+D368-K367,0)</f>
        <v>0</v>
      </c>
      <c r="M367" s="34">
        <f>IF(B368&gt;D368,+B368-D368,0)</f>
        <v>0</v>
      </c>
      <c r="N367" s="34"/>
      <c r="O367" s="34"/>
      <c r="P367" s="34"/>
      <c r="Q367" s="34"/>
      <c r="R367" s="12"/>
      <c r="S367" s="50">
        <v>0.25</v>
      </c>
      <c r="T367" s="12"/>
      <c r="U367" s="12"/>
      <c r="V367" s="12"/>
      <c r="W367" s="12"/>
      <c r="X367" s="12"/>
      <c r="Y367" s="12"/>
      <c r="Z367" s="12"/>
      <c r="AA367" s="12"/>
    </row>
    <row r="368" spans="1:29" x14ac:dyDescent="0.2">
      <c r="A368" s="1" t="s">
        <v>150</v>
      </c>
      <c r="B368" s="103">
        <f>IF(AND('AES Indiana Bill Calc.'!$D$17="SE",'AES Indiana Bill Calc.'!$D$18="Yes 25%",'AES Indiana Bill Calc.'!$D$20="Yes 2019"),'AES Indiana Bill Calc.'!$D$19,-1)</f>
        <v>-1</v>
      </c>
      <c r="C368" s="103" t="b">
        <f>IF(AND('AES Indiana Bill Calc.'!$D$17="SE",'AES Indiana Bill Calc.'!$D$18="Yes 25%",'AES Indiana Bill Calc.'!$D$20="Yes 2019"),'AES Indiana Bill Calc.'!$D$23)</f>
        <v>0</v>
      </c>
      <c r="D368" s="2">
        <f>ROUND(C368*D$329,0)</f>
        <v>0</v>
      </c>
      <c r="F368" s="36" t="s">
        <v>187</v>
      </c>
      <c r="G368" s="17">
        <f>SUM(J368:M368,O368:P368,R368:AA368)</f>
        <v>54.99</v>
      </c>
      <c r="H368" s="19" t="e">
        <f>IF(ISBLANK(B368),0,+#REF!/B368)</f>
        <v>#REF!</v>
      </c>
      <c r="I368" s="19"/>
      <c r="J368" s="16">
        <f>IF(ISBLANK(B368),0,+J$329)</f>
        <v>55</v>
      </c>
      <c r="K368" s="16">
        <f>ROUND(K367*K$329,2)</f>
        <v>0</v>
      </c>
      <c r="L368" s="16">
        <f>ROUND(L367*L$329,2)</f>
        <v>0</v>
      </c>
      <c r="M368" s="16">
        <f>ROUND(M367*M$329,2)</f>
        <v>0</v>
      </c>
      <c r="N368" s="16">
        <f>SUM(K368:M368)</f>
        <v>0</v>
      </c>
      <c r="O368" s="16"/>
      <c r="P368" s="16"/>
      <c r="Q368" s="16"/>
      <c r="R368" s="8"/>
      <c r="S368" s="17">
        <f>ROUND($B368*S$329*S367,2)</f>
        <v>0</v>
      </c>
      <c r="T368" s="17">
        <f>ROUND($B368*T$329,2)</f>
        <v>0</v>
      </c>
      <c r="U368" s="17">
        <f>ROUND($B368*U$329,2)</f>
        <v>0</v>
      </c>
      <c r="V368" s="17">
        <f>ROUND($B368*V$322,2)</f>
        <v>0</v>
      </c>
      <c r="W368" s="17">
        <f>ROUND($B368*W$329,2)</f>
        <v>0</v>
      </c>
      <c r="X368" s="17">
        <f>ROUND($B368*X$329,2)</f>
        <v>-0.01</v>
      </c>
      <c r="Y368" s="17">
        <f>ROUND($B368*Y$329,2)</f>
        <v>0</v>
      </c>
      <c r="Z368" s="17">
        <f>ROUND($B368*Z$329,2)</f>
        <v>0</v>
      </c>
      <c r="AA368" s="17">
        <f>ROUND($B368*AA$329,2)</f>
        <v>0</v>
      </c>
      <c r="AB368" s="19">
        <f>SUM(U363:AA363)</f>
        <v>0</v>
      </c>
      <c r="AC368" s="67" t="str">
        <f>+F368</f>
        <v>SE9</v>
      </c>
    </row>
    <row r="369" spans="1:29" x14ac:dyDescent="0.2">
      <c r="A369" s="9"/>
      <c r="B369" s="103">
        <v>-1</v>
      </c>
      <c r="C369" s="34"/>
      <c r="F369" s="12"/>
      <c r="G369" s="12"/>
      <c r="H369" s="12"/>
      <c r="I369" s="19"/>
      <c r="J369" s="12"/>
      <c r="K369" s="35">
        <f>IF(D370&gt;K$330,+K$330,D370)</f>
        <v>0</v>
      </c>
      <c r="L369" s="35">
        <f>IF(D370&gt;K369,+D370-K369,0)</f>
        <v>0</v>
      </c>
      <c r="M369" s="34">
        <f>IF(B370&gt;D370,+B370-D370,0)</f>
        <v>0</v>
      </c>
      <c r="N369" s="34"/>
      <c r="O369" s="34"/>
      <c r="P369" s="34"/>
      <c r="Q369" s="34"/>
      <c r="R369" s="12"/>
      <c r="S369" s="50">
        <v>0.1</v>
      </c>
      <c r="T369" s="12"/>
      <c r="U369" s="12"/>
      <c r="V369" s="12"/>
      <c r="W369" s="12"/>
      <c r="X369" s="12"/>
      <c r="Y369" s="12"/>
      <c r="Z369" s="12"/>
      <c r="AA369" s="12"/>
    </row>
    <row r="370" spans="1:29" x14ac:dyDescent="0.2">
      <c r="A370" s="1" t="s">
        <v>164</v>
      </c>
      <c r="B370" s="103">
        <f>IF(AND('AES Indiana Bill Calc.'!$D$17="SE",'AES Indiana Bill Calc.'!$D$18="Yes 10%",'AES Indiana Bill Calc.'!$D$20="Yes 2019"),'AES Indiana Bill Calc.'!$D$19,-1)</f>
        <v>-1</v>
      </c>
      <c r="C370" s="103" t="b">
        <f>IF(AND('AES Indiana Bill Calc.'!$D$17="SE",'AES Indiana Bill Calc.'!$D$18="Yes 10%",'AES Indiana Bill Calc.'!$D$20="Yes 2019"),'AES Indiana Bill Calc.'!$D$23)</f>
        <v>0</v>
      </c>
      <c r="D370" s="2">
        <f>ROUND(C370*D$329,0)</f>
        <v>0</v>
      </c>
      <c r="F370" s="36" t="s">
        <v>187</v>
      </c>
      <c r="G370" s="17">
        <f>SUM(J370:M370,O370:P370,R370:AA370)</f>
        <v>54.99</v>
      </c>
      <c r="H370" s="19" t="e">
        <f>IF(ISBLANK(B370),0,+#REF!/B370)</f>
        <v>#REF!</v>
      </c>
      <c r="I370" s="19"/>
      <c r="J370" s="16">
        <f>IF(ISBLANK(B370),0,+J$329)</f>
        <v>55</v>
      </c>
      <c r="K370" s="16">
        <f>ROUND(K369*K$329,2)</f>
        <v>0</v>
      </c>
      <c r="L370" s="16">
        <f>ROUND(L369*L$329,2)</f>
        <v>0</v>
      </c>
      <c r="M370" s="16">
        <f>ROUND(M369*M$329,2)</f>
        <v>0</v>
      </c>
      <c r="N370" s="16">
        <f>SUM(K370:M370)</f>
        <v>0</v>
      </c>
      <c r="O370" s="16"/>
      <c r="P370" s="16"/>
      <c r="Q370" s="16"/>
      <c r="R370" s="8"/>
      <c r="S370" s="17">
        <f>ROUND($B370*S$329*S369,2)</f>
        <v>0</v>
      </c>
      <c r="T370" s="17">
        <f>ROUND($B370*T$329,2)</f>
        <v>0</v>
      </c>
      <c r="U370" s="17">
        <f>ROUND($B370*U$329,2)</f>
        <v>0</v>
      </c>
      <c r="V370" s="17">
        <f>ROUND($B370*V$322,2)</f>
        <v>0</v>
      </c>
      <c r="W370" s="17">
        <f>ROUND($B370*W$329,2)</f>
        <v>0</v>
      </c>
      <c r="X370" s="17">
        <f>ROUND($B370*X$329,2)</f>
        <v>-0.01</v>
      </c>
      <c r="Y370" s="17">
        <f>ROUND($B370*Y$329,2)</f>
        <v>0</v>
      </c>
      <c r="Z370" s="17">
        <f>ROUND($B370*Z$329,2)</f>
        <v>0</v>
      </c>
      <c r="AA370" s="17">
        <f>ROUND($B370*AA$329,2)</f>
        <v>0</v>
      </c>
      <c r="AB370" s="19">
        <f>SUM(U365:AA365)</f>
        <v>0</v>
      </c>
      <c r="AC370" s="67" t="str">
        <f>+F370</f>
        <v>SE9</v>
      </c>
    </row>
    <row r="371" spans="1:29" x14ac:dyDescent="0.2">
      <c r="A371" s="9"/>
      <c r="B371" s="103">
        <v>-1</v>
      </c>
      <c r="C371" s="34"/>
      <c r="F371" s="12"/>
      <c r="G371" s="12"/>
      <c r="H371" s="12"/>
      <c r="I371" s="19"/>
      <c r="J371" s="12"/>
      <c r="K371" s="35">
        <f>IF(D372&gt;K$330,+K$330,D372)</f>
        <v>0</v>
      </c>
      <c r="L371" s="35">
        <f>IF(D372&gt;K371,+D372-K371,0)</f>
        <v>0</v>
      </c>
      <c r="M371" s="34">
        <f>IF(B372&gt;D372,+B372-D372,0)</f>
        <v>0</v>
      </c>
      <c r="N371" s="34"/>
      <c r="O371" s="34"/>
      <c r="P371" s="34"/>
      <c r="Q371" s="34"/>
      <c r="R371" s="12"/>
      <c r="S371" s="50">
        <v>0</v>
      </c>
      <c r="T371" s="12"/>
      <c r="U371" s="12"/>
      <c r="V371" s="12"/>
      <c r="W371" s="12"/>
      <c r="X371" s="12"/>
      <c r="Y371" s="12"/>
      <c r="Z371" s="12"/>
      <c r="AA371" s="12"/>
    </row>
    <row r="372" spans="1:29" x14ac:dyDescent="0.2">
      <c r="A372" s="1" t="s">
        <v>147</v>
      </c>
      <c r="B372" s="103">
        <f>IF(AND('AES Indiana Bill Calc.'!$D$17="SE",'AES Indiana Bill Calc.'!$D$18="No",'AES Indiana Bill Calc.'!$D$20="Yes 2019"),'AES Indiana Bill Calc.'!$D$19,-1)</f>
        <v>-1</v>
      </c>
      <c r="C372" s="103" t="b">
        <f>IF(AND('AES Indiana Bill Calc.'!$D$17="SE",'AES Indiana Bill Calc.'!$D$18="No",'AES Indiana Bill Calc.'!$D$20="Yes 2019"),'AES Indiana Bill Calc.'!$D$23)</f>
        <v>0</v>
      </c>
      <c r="D372" s="2">
        <f>ROUND(C372*D$329,0)</f>
        <v>0</v>
      </c>
      <c r="F372" s="36" t="s">
        <v>187</v>
      </c>
      <c r="G372" s="17">
        <f>SUM(J372:M372,O372:P372,R372:AA372)</f>
        <v>54.99</v>
      </c>
      <c r="H372" s="19" t="e">
        <f>IF(ISBLANK(B372),0,+#REF!/B372)</f>
        <v>#REF!</v>
      </c>
      <c r="I372" s="19"/>
      <c r="J372" s="16">
        <f>IF(ISBLANK(B372),0,+J$329)</f>
        <v>55</v>
      </c>
      <c r="K372" s="16">
        <f>ROUND(K371*K$329,2)</f>
        <v>0</v>
      </c>
      <c r="L372" s="16">
        <f>ROUND(L371*L$329,2)</f>
        <v>0</v>
      </c>
      <c r="M372" s="16">
        <f>ROUND(M371*M$329,2)</f>
        <v>0</v>
      </c>
      <c r="N372" s="16">
        <f>SUM(K372:M372)</f>
        <v>0</v>
      </c>
      <c r="O372" s="16"/>
      <c r="P372" s="16"/>
      <c r="Q372" s="16"/>
      <c r="R372" s="8"/>
      <c r="S372" s="17">
        <f>ROUND($B372*S$329*S371,2)</f>
        <v>0</v>
      </c>
      <c r="T372" s="17">
        <f>ROUND($B372*T$329,2)</f>
        <v>0</v>
      </c>
      <c r="U372" s="17">
        <f>ROUND($B372*U$329,2)</f>
        <v>0</v>
      </c>
      <c r="V372" s="17">
        <f>ROUND($B372*V$322,2)</f>
        <v>0</v>
      </c>
      <c r="W372" s="17">
        <f>ROUND($B372*W$329,2)</f>
        <v>0</v>
      </c>
      <c r="X372" s="17">
        <f>ROUND($B372*X$329,2)</f>
        <v>-0.01</v>
      </c>
      <c r="Y372" s="17">
        <f>ROUND($B372*Y$329,2)</f>
        <v>0</v>
      </c>
      <c r="Z372" s="17">
        <f>ROUND($B372*Z$329,2)</f>
        <v>0</v>
      </c>
      <c r="AA372" s="17">
        <f>ROUND($B372*AA$329,2)</f>
        <v>0</v>
      </c>
      <c r="AB372" s="19">
        <f>SUM(U367:AA367)</f>
        <v>0</v>
      </c>
      <c r="AC372" s="67" t="str">
        <f>+F372</f>
        <v>SE9</v>
      </c>
    </row>
    <row r="373" spans="1:29" x14ac:dyDescent="0.2">
      <c r="B373" s="103">
        <v>-1</v>
      </c>
      <c r="C373" s="34"/>
      <c r="F373" s="12"/>
      <c r="G373" s="12"/>
      <c r="H373" s="12"/>
      <c r="I373" s="19"/>
      <c r="J373" s="12"/>
      <c r="K373" s="35">
        <f>IF(D374&gt;K$330,+K$330,D374)</f>
        <v>0</v>
      </c>
      <c r="L373" s="35">
        <f>IF(D374&gt;K373,+D374-K373,0)</f>
        <v>0</v>
      </c>
      <c r="M373" s="34">
        <f>IF(B374&gt;D374,+B374-D374,0)</f>
        <v>0</v>
      </c>
      <c r="N373" s="34"/>
      <c r="O373" s="34"/>
      <c r="P373" s="34"/>
      <c r="Q373" s="34"/>
      <c r="R373" s="12"/>
      <c r="S373" s="50">
        <v>1</v>
      </c>
      <c r="T373" s="12"/>
      <c r="U373" s="12"/>
      <c r="V373" s="12"/>
      <c r="W373" s="12"/>
      <c r="X373" s="12"/>
      <c r="Y373" s="12"/>
      <c r="Z373" s="12"/>
      <c r="AA373" s="12"/>
    </row>
    <row r="374" spans="1:29" x14ac:dyDescent="0.2">
      <c r="A374" s="1" t="s">
        <v>148</v>
      </c>
      <c r="B374" s="103">
        <f>IF(AND('AES Indiana Bill Calc.'!$D$17="SE",'AES Indiana Bill Calc.'!$D$18="Yes 100%",'AES Indiana Bill Calc.'!$D$20="Yes 2020"),'AES Indiana Bill Calc.'!$D$19,-1)</f>
        <v>-1</v>
      </c>
      <c r="C374" s="103" t="b">
        <f>IF(AND('AES Indiana Bill Calc.'!$D$17="SE",'AES Indiana Bill Calc.'!$D$18="Yes 100%",'AES Indiana Bill Calc.'!$D$20="Yes 2020"),'AES Indiana Bill Calc.'!$D$23)</f>
        <v>0</v>
      </c>
      <c r="D374" s="2">
        <f>ROUND(C374*D$329,0)</f>
        <v>0</v>
      </c>
      <c r="F374" s="36" t="s">
        <v>188</v>
      </c>
      <c r="G374" s="17">
        <f>SUM(J374:M374,O374:P374,R374:AA374)</f>
        <v>54.99</v>
      </c>
      <c r="H374" s="19" t="e">
        <f>IF(ISBLANK(B374),0,+#REF!/B374)</f>
        <v>#REF!</v>
      </c>
      <c r="I374" s="19"/>
      <c r="J374" s="16">
        <f>IF(ISBLANK(B374),0,+J$329)</f>
        <v>55</v>
      </c>
      <c r="K374" s="16">
        <f>ROUND(K373*K$329,2)</f>
        <v>0</v>
      </c>
      <c r="L374" s="16">
        <f>ROUND(L373*L$329,2)</f>
        <v>0</v>
      </c>
      <c r="M374" s="16">
        <f>ROUND(M373*M$329,2)</f>
        <v>0</v>
      </c>
      <c r="N374" s="16">
        <f>SUM(K374:M374)</f>
        <v>0</v>
      </c>
      <c r="O374" s="16"/>
      <c r="P374" s="16"/>
      <c r="Q374" s="16"/>
      <c r="R374" s="8"/>
      <c r="S374" s="17">
        <f>ROUND($B374*S$329*S373,2)</f>
        <v>0</v>
      </c>
      <c r="T374" s="17">
        <f>ROUND($B374*T$329,2)</f>
        <v>0</v>
      </c>
      <c r="U374" s="17">
        <f>ROUND($B374*U$329,2)</f>
        <v>0</v>
      </c>
      <c r="V374" s="17">
        <f>ROUND($B374*V$323,2)</f>
        <v>0</v>
      </c>
      <c r="W374" s="17">
        <f>ROUND($B374*W$329,2)</f>
        <v>0</v>
      </c>
      <c r="X374" s="17">
        <f>ROUND($B374*X$329,2)</f>
        <v>-0.01</v>
      </c>
      <c r="Y374" s="17">
        <f>ROUND($B374*Y$329,2)</f>
        <v>0</v>
      </c>
      <c r="Z374" s="17">
        <f>ROUND($B374*Z$329,2)</f>
        <v>0</v>
      </c>
      <c r="AA374" s="17">
        <f>ROUND($B374*AA$329,2)</f>
        <v>0</v>
      </c>
      <c r="AB374" s="19">
        <f>SUM(U369:AA369)</f>
        <v>0</v>
      </c>
      <c r="AC374" s="67" t="str">
        <f>+F374</f>
        <v>SE0</v>
      </c>
    </row>
    <row r="375" spans="1:29" x14ac:dyDescent="0.2">
      <c r="A375" s="9"/>
      <c r="B375" s="103">
        <v>-1</v>
      </c>
      <c r="C375" s="34"/>
      <c r="F375" s="12"/>
      <c r="G375" s="12"/>
      <c r="H375" s="12"/>
      <c r="I375" s="19"/>
      <c r="J375" s="12"/>
      <c r="K375" s="35">
        <f>IF(D376&gt;K$330,+K$330,D376)</f>
        <v>0</v>
      </c>
      <c r="L375" s="35">
        <f>IF(D376&gt;K375,+D376-K375,0)</f>
        <v>0</v>
      </c>
      <c r="M375" s="34">
        <f>IF(B376&gt;D376,+B376-D376,0)</f>
        <v>0</v>
      </c>
      <c r="N375" s="34"/>
      <c r="O375" s="34"/>
      <c r="P375" s="34"/>
      <c r="Q375" s="34"/>
      <c r="R375" s="12"/>
      <c r="S375" s="50">
        <v>0.5</v>
      </c>
      <c r="T375" s="12"/>
      <c r="U375" s="12"/>
      <c r="V375" s="12"/>
      <c r="W375" s="12"/>
      <c r="X375" s="12"/>
      <c r="Y375" s="12"/>
      <c r="Z375" s="12"/>
      <c r="AA375" s="12"/>
    </row>
    <row r="376" spans="1:29" x14ac:dyDescent="0.2">
      <c r="A376" s="1" t="s">
        <v>149</v>
      </c>
      <c r="B376" s="103">
        <f>IF(AND('AES Indiana Bill Calc.'!$D$17="SE",'AES Indiana Bill Calc.'!$D$18="Yes 50%",'AES Indiana Bill Calc.'!$D$20="Yes 2020"),'AES Indiana Bill Calc.'!$D$19,-1)</f>
        <v>-1</v>
      </c>
      <c r="C376" s="103" t="b">
        <f>IF(AND('AES Indiana Bill Calc.'!$D$17="SE",'AES Indiana Bill Calc.'!$D$18="Yes 50%",'AES Indiana Bill Calc.'!$D$20="Yes 2020"),'AES Indiana Bill Calc.'!$D$23)</f>
        <v>0</v>
      </c>
      <c r="D376" s="2">
        <f>ROUND(C376*D$329,0)</f>
        <v>0</v>
      </c>
      <c r="F376" s="36" t="s">
        <v>188</v>
      </c>
      <c r="G376" s="17">
        <f>SUM(J376:M376,O376:P376,R376:AA376)</f>
        <v>54.99</v>
      </c>
      <c r="H376" s="19" t="e">
        <f>IF(ISBLANK(B376),0,+#REF!/B376)</f>
        <v>#REF!</v>
      </c>
      <c r="I376" s="19"/>
      <c r="J376" s="16">
        <f>IF(ISBLANK(B376),0,+J$329)</f>
        <v>55</v>
      </c>
      <c r="K376" s="16">
        <f>ROUND(K375*K$329,2)</f>
        <v>0</v>
      </c>
      <c r="L376" s="16">
        <f>ROUND(L375*L$329,2)</f>
        <v>0</v>
      </c>
      <c r="M376" s="16">
        <f>ROUND(M375*M$329,2)</f>
        <v>0</v>
      </c>
      <c r="N376" s="16">
        <f>SUM(K376:M376)</f>
        <v>0</v>
      </c>
      <c r="O376" s="16"/>
      <c r="P376" s="16"/>
      <c r="Q376" s="16"/>
      <c r="R376" s="8"/>
      <c r="S376" s="17">
        <f>ROUND($B376*S$329*S375,2)</f>
        <v>0</v>
      </c>
      <c r="T376" s="17">
        <f>ROUND($B376*T$329,2)</f>
        <v>0</v>
      </c>
      <c r="U376" s="17">
        <f>ROUND($B376*U$329,2)</f>
        <v>0</v>
      </c>
      <c r="V376" s="17">
        <f>ROUND($B376*V$323,2)</f>
        <v>0</v>
      </c>
      <c r="W376" s="17">
        <f>ROUND($B376*W$329,2)</f>
        <v>0</v>
      </c>
      <c r="X376" s="17">
        <f>ROUND($B376*X$329,2)</f>
        <v>-0.01</v>
      </c>
      <c r="Y376" s="17">
        <f>ROUND($B376*Y$329,2)</f>
        <v>0</v>
      </c>
      <c r="Z376" s="17">
        <f>ROUND($B376*Z$329,2)</f>
        <v>0</v>
      </c>
      <c r="AA376" s="17">
        <f>ROUND($B376*AA$329,2)</f>
        <v>0</v>
      </c>
      <c r="AB376" s="19">
        <f>SUM(U371:AA371)</f>
        <v>0</v>
      </c>
      <c r="AC376" s="67" t="str">
        <f>+F376</f>
        <v>SE0</v>
      </c>
    </row>
    <row r="377" spans="1:29" x14ac:dyDescent="0.2">
      <c r="A377" s="9"/>
      <c r="B377" s="103">
        <v>-1</v>
      </c>
      <c r="C377" s="34"/>
      <c r="F377" s="12"/>
      <c r="G377" s="12"/>
      <c r="H377" s="12"/>
      <c r="I377" s="19"/>
      <c r="J377" s="12"/>
      <c r="K377" s="35">
        <f>IF(D378&gt;K$330,+K$330,D378)</f>
        <v>0</v>
      </c>
      <c r="L377" s="35">
        <f>IF(D378&gt;K377,+D378-K377,0)</f>
        <v>0</v>
      </c>
      <c r="M377" s="34">
        <f>IF(B378&gt;D378,+B378-D378,0)</f>
        <v>0</v>
      </c>
      <c r="N377" s="34"/>
      <c r="O377" s="34"/>
      <c r="P377" s="34"/>
      <c r="Q377" s="34"/>
      <c r="R377" s="12"/>
      <c r="S377" s="50">
        <v>0.25</v>
      </c>
      <c r="T377" s="12"/>
      <c r="U377" s="12"/>
      <c r="V377" s="12"/>
      <c r="W377" s="12"/>
      <c r="X377" s="12"/>
      <c r="Y377" s="12"/>
      <c r="Z377" s="12"/>
      <c r="AA377" s="12"/>
    </row>
    <row r="378" spans="1:29" x14ac:dyDescent="0.2">
      <c r="A378" s="1" t="s">
        <v>150</v>
      </c>
      <c r="B378" s="103">
        <f>IF(AND('AES Indiana Bill Calc.'!$D$17="SE",'AES Indiana Bill Calc.'!$D$18="Yes 25%",'AES Indiana Bill Calc.'!$D$20="Yes 2020"),'AES Indiana Bill Calc.'!$D$19,-1)</f>
        <v>-1</v>
      </c>
      <c r="C378" s="103" t="b">
        <f>IF(AND('AES Indiana Bill Calc.'!$D$17="SE",'AES Indiana Bill Calc.'!$D$18="Yes 25%",'AES Indiana Bill Calc.'!$D$20="Yes 2020"),'AES Indiana Bill Calc.'!$D$23)</f>
        <v>0</v>
      </c>
      <c r="D378" s="2">
        <f>ROUND(C378*D$329,0)</f>
        <v>0</v>
      </c>
      <c r="F378" s="36" t="s">
        <v>188</v>
      </c>
      <c r="G378" s="17">
        <f>SUM(J378:M378,O378:P378,R378:AA378)</f>
        <v>54.99</v>
      </c>
      <c r="H378" s="19" t="e">
        <f>IF(ISBLANK(B378),0,+#REF!/B378)</f>
        <v>#REF!</v>
      </c>
      <c r="I378" s="19"/>
      <c r="J378" s="16">
        <f>IF(ISBLANK(B378),0,+J$329)</f>
        <v>55</v>
      </c>
      <c r="K378" s="16">
        <f>ROUND(K377*K$329,2)</f>
        <v>0</v>
      </c>
      <c r="L378" s="16">
        <f>ROUND(L377*L$329,2)</f>
        <v>0</v>
      </c>
      <c r="M378" s="16">
        <f>ROUND(M377*M$329,2)</f>
        <v>0</v>
      </c>
      <c r="N378" s="16">
        <f>SUM(K378:M378)</f>
        <v>0</v>
      </c>
      <c r="O378" s="16"/>
      <c r="P378" s="16"/>
      <c r="Q378" s="16"/>
      <c r="R378" s="8"/>
      <c r="S378" s="17">
        <f>ROUND($B378*S$329*S377,2)</f>
        <v>0</v>
      </c>
      <c r="T378" s="17">
        <f>ROUND($B378*T$329,2)</f>
        <v>0</v>
      </c>
      <c r="U378" s="17">
        <f>ROUND($B378*U$329,2)</f>
        <v>0</v>
      </c>
      <c r="V378" s="17">
        <f>ROUND($B378*V$323,2)</f>
        <v>0</v>
      </c>
      <c r="W378" s="17">
        <f>ROUND($B378*W$329,2)</f>
        <v>0</v>
      </c>
      <c r="X378" s="17">
        <f>ROUND($B378*X$329,2)</f>
        <v>-0.01</v>
      </c>
      <c r="Y378" s="17">
        <f>ROUND($B378*Y$329,2)</f>
        <v>0</v>
      </c>
      <c r="Z378" s="17">
        <f>ROUND($B378*Z$329,2)</f>
        <v>0</v>
      </c>
      <c r="AA378" s="17">
        <f>ROUND($B378*AA$329,2)</f>
        <v>0</v>
      </c>
      <c r="AB378" s="19">
        <f>SUM(U373:AA373)</f>
        <v>0</v>
      </c>
      <c r="AC378" s="67" t="str">
        <f>+F378</f>
        <v>SE0</v>
      </c>
    </row>
    <row r="379" spans="1:29" x14ac:dyDescent="0.2">
      <c r="A379" s="9"/>
      <c r="B379" s="103">
        <v>-1</v>
      </c>
      <c r="C379" s="34"/>
      <c r="F379" s="12"/>
      <c r="G379" s="12"/>
      <c r="H379" s="12"/>
      <c r="I379" s="19"/>
      <c r="J379" s="12"/>
      <c r="K379" s="35">
        <f>IF(D380&gt;K$330,+K$330,D380)</f>
        <v>0</v>
      </c>
      <c r="L379" s="35">
        <f>IF(D380&gt;K379,+D380-K379,0)</f>
        <v>0</v>
      </c>
      <c r="M379" s="34">
        <f>IF(B380&gt;D380,+B380-D380,0)</f>
        <v>0</v>
      </c>
      <c r="N379" s="34"/>
      <c r="O379" s="34"/>
      <c r="P379" s="34"/>
      <c r="Q379" s="34"/>
      <c r="R379" s="12"/>
      <c r="S379" s="50">
        <v>0.1</v>
      </c>
      <c r="T379" s="12"/>
      <c r="U379" s="12"/>
      <c r="V379" s="12"/>
      <c r="W379" s="12"/>
      <c r="X379" s="12"/>
      <c r="Y379" s="12"/>
      <c r="Z379" s="12"/>
      <c r="AA379" s="12"/>
    </row>
    <row r="380" spans="1:29" x14ac:dyDescent="0.2">
      <c r="A380" s="1" t="s">
        <v>164</v>
      </c>
      <c r="B380" s="103">
        <f>IF(AND('AES Indiana Bill Calc.'!$D$17="SE",'AES Indiana Bill Calc.'!$D$18="Yes 10%",'AES Indiana Bill Calc.'!$D$20="Yes 2020"),'AES Indiana Bill Calc.'!$D$19,-1)</f>
        <v>-1</v>
      </c>
      <c r="C380" s="103" t="b">
        <f>IF(AND('AES Indiana Bill Calc.'!$D$17="SE",'AES Indiana Bill Calc.'!$D$18="Yes 10%",'AES Indiana Bill Calc.'!$D$20="Yes 2020"),'AES Indiana Bill Calc.'!$D$23)</f>
        <v>0</v>
      </c>
      <c r="D380" s="2">
        <f>ROUND(C380*D$329,0)</f>
        <v>0</v>
      </c>
      <c r="F380" s="36" t="s">
        <v>188</v>
      </c>
      <c r="G380" s="17">
        <f>SUM(J380:M380,O380:P380,R380:AA380)</f>
        <v>54.99</v>
      </c>
      <c r="H380" s="19" t="e">
        <f>IF(ISBLANK(B380),0,+#REF!/B380)</f>
        <v>#REF!</v>
      </c>
      <c r="I380" s="19"/>
      <c r="J380" s="16">
        <f>IF(ISBLANK(B380),0,+J$329)</f>
        <v>55</v>
      </c>
      <c r="K380" s="16">
        <f>ROUND(K379*K$329,2)</f>
        <v>0</v>
      </c>
      <c r="L380" s="16">
        <f>ROUND(L379*L$329,2)</f>
        <v>0</v>
      </c>
      <c r="M380" s="16">
        <f>ROUND(M379*M$329,2)</f>
        <v>0</v>
      </c>
      <c r="N380" s="16">
        <f>SUM(K380:M380)</f>
        <v>0</v>
      </c>
      <c r="O380" s="16"/>
      <c r="P380" s="16"/>
      <c r="Q380" s="16"/>
      <c r="R380" s="8"/>
      <c r="S380" s="17">
        <f>ROUND($B380*S$329*S379,2)</f>
        <v>0</v>
      </c>
      <c r="T380" s="17">
        <f>ROUND($B380*T$329,2)</f>
        <v>0</v>
      </c>
      <c r="U380" s="17">
        <f>ROUND($B380*U$329,2)</f>
        <v>0</v>
      </c>
      <c r="V380" s="17">
        <f>ROUND($B380*V$323,2)</f>
        <v>0</v>
      </c>
      <c r="W380" s="17">
        <f>ROUND($B380*W$329,2)</f>
        <v>0</v>
      </c>
      <c r="X380" s="17">
        <f>ROUND($B380*X$329,2)</f>
        <v>-0.01</v>
      </c>
      <c r="Y380" s="17">
        <f>ROUND($B380*Y$329,2)</f>
        <v>0</v>
      </c>
      <c r="Z380" s="17">
        <f>ROUND($B380*Z$329,2)</f>
        <v>0</v>
      </c>
      <c r="AA380" s="17">
        <f>ROUND($B380*AA$329,2)</f>
        <v>0</v>
      </c>
      <c r="AB380" s="19">
        <f>SUM(U375:AA375)</f>
        <v>0</v>
      </c>
      <c r="AC380" s="67" t="str">
        <f>+F380</f>
        <v>SE0</v>
      </c>
    </row>
    <row r="381" spans="1:29" x14ac:dyDescent="0.2">
      <c r="A381" s="9"/>
      <c r="B381" s="103">
        <v>-1</v>
      </c>
      <c r="C381" s="34"/>
      <c r="F381" s="12"/>
      <c r="G381" s="12"/>
      <c r="H381" s="12"/>
      <c r="I381" s="19"/>
      <c r="J381" s="12"/>
      <c r="K381" s="35">
        <f>IF(D382&gt;K$330,+K$330,D382)</f>
        <v>0</v>
      </c>
      <c r="L381" s="35">
        <f>IF(D382&gt;K381,+D382-K381,0)</f>
        <v>0</v>
      </c>
      <c r="M381" s="34">
        <f>IF(B382&gt;D382,+B382-D382,0)</f>
        <v>0</v>
      </c>
      <c r="N381" s="34"/>
      <c r="O381" s="34"/>
      <c r="P381" s="34"/>
      <c r="Q381" s="34"/>
      <c r="R381" s="12"/>
      <c r="S381" s="50">
        <v>0</v>
      </c>
      <c r="T381" s="12"/>
      <c r="U381" s="12"/>
      <c r="V381" s="12"/>
      <c r="W381" s="12"/>
      <c r="X381" s="12"/>
      <c r="Y381" s="12"/>
      <c r="Z381" s="12"/>
      <c r="AA381" s="12"/>
    </row>
    <row r="382" spans="1:29" x14ac:dyDescent="0.2">
      <c r="A382" s="1" t="s">
        <v>147</v>
      </c>
      <c r="B382" s="103">
        <f>IF(AND('AES Indiana Bill Calc.'!$D$17="SE",'AES Indiana Bill Calc.'!$D$18="No",'AES Indiana Bill Calc.'!$D$20="Yes 2020"),'AES Indiana Bill Calc.'!$D$19,-1)</f>
        <v>-1</v>
      </c>
      <c r="C382" s="103" t="b">
        <f>IF(AND('AES Indiana Bill Calc.'!$D$17="SE",'AES Indiana Bill Calc.'!$D$18="No",'AES Indiana Bill Calc.'!$D$20="Yes 2020"),'AES Indiana Bill Calc.'!$D$23)</f>
        <v>0</v>
      </c>
      <c r="D382" s="2">
        <f>ROUND(C382*D$329,0)</f>
        <v>0</v>
      </c>
      <c r="F382" s="36" t="s">
        <v>188</v>
      </c>
      <c r="G382" s="17">
        <f>SUM(J382:M382,O382:P382,R382:AA382)</f>
        <v>54.99</v>
      </c>
      <c r="H382" s="19" t="e">
        <f>IF(ISBLANK(B382),0,+#REF!/B382)</f>
        <v>#REF!</v>
      </c>
      <c r="I382" s="19"/>
      <c r="J382" s="16">
        <f>IF(ISBLANK(B382),0,+J$329)</f>
        <v>55</v>
      </c>
      <c r="K382" s="16">
        <f>ROUND(K381*K$329,2)</f>
        <v>0</v>
      </c>
      <c r="L382" s="16">
        <f>ROUND(L381*L$329,2)</f>
        <v>0</v>
      </c>
      <c r="M382" s="16">
        <f>ROUND(M381*M$329,2)</f>
        <v>0</v>
      </c>
      <c r="N382" s="16">
        <f>SUM(K382:M382)</f>
        <v>0</v>
      </c>
      <c r="O382" s="16"/>
      <c r="P382" s="16"/>
      <c r="Q382" s="16"/>
      <c r="R382" s="8"/>
      <c r="S382" s="17">
        <f>ROUND($B382*S$329*S381,2)</f>
        <v>0</v>
      </c>
      <c r="T382" s="17">
        <f>ROUND($B382*T$329,2)</f>
        <v>0</v>
      </c>
      <c r="U382" s="17">
        <f>ROUND($B382*U$329,2)</f>
        <v>0</v>
      </c>
      <c r="V382" s="17">
        <f>ROUND($B382*V$323,2)</f>
        <v>0</v>
      </c>
      <c r="W382" s="17">
        <f>ROUND($B382*W$329,2)</f>
        <v>0</v>
      </c>
      <c r="X382" s="17">
        <f>ROUND($B382*X$329,2)</f>
        <v>-0.01</v>
      </c>
      <c r="Y382" s="17">
        <f>ROUND($B382*Y$329,2)</f>
        <v>0</v>
      </c>
      <c r="Z382" s="17">
        <f>ROUND($B382*Z$329,2)</f>
        <v>0</v>
      </c>
      <c r="AA382" s="17">
        <f>ROUND($B382*AA$329,2)</f>
        <v>0</v>
      </c>
      <c r="AB382" s="19">
        <f>SUM(U377:AA377)</f>
        <v>0</v>
      </c>
      <c r="AC382" s="67" t="str">
        <f>+F382</f>
        <v>SE0</v>
      </c>
    </row>
    <row r="383" spans="1:29" x14ac:dyDescent="0.2">
      <c r="B383" s="103">
        <v>-1</v>
      </c>
      <c r="C383" s="34"/>
      <c r="F383" s="12"/>
      <c r="G383" s="12"/>
      <c r="H383" s="12"/>
      <c r="I383" s="19"/>
      <c r="J383" s="12"/>
      <c r="K383" s="35">
        <f>IF(D384&gt;K$330,+K$330,D384)</f>
        <v>0</v>
      </c>
      <c r="L383" s="35">
        <f>IF(D384&gt;K383,+D384-K383,0)</f>
        <v>0</v>
      </c>
      <c r="M383" s="34">
        <f>IF(B384&gt;D384,+B384-D384,0)</f>
        <v>0</v>
      </c>
      <c r="N383" s="34"/>
      <c r="O383" s="34"/>
      <c r="P383" s="34"/>
      <c r="Q383" s="34"/>
      <c r="R383" s="12"/>
      <c r="S383" s="50">
        <v>1</v>
      </c>
      <c r="T383" s="12"/>
      <c r="U383" s="12"/>
      <c r="V383" s="12"/>
      <c r="W383" s="12"/>
      <c r="X383" s="12"/>
      <c r="Y383" s="12"/>
      <c r="Z383" s="12"/>
      <c r="AA383" s="12"/>
    </row>
    <row r="384" spans="1:29" x14ac:dyDescent="0.2">
      <c r="A384" s="1" t="s">
        <v>148</v>
      </c>
      <c r="B384" s="103">
        <f>IF(AND('AES Indiana Bill Calc.'!$D$17="SE",'AES Indiana Bill Calc.'!$D$18="Yes 100%",'AES Indiana Bill Calc.'!$D$20="Yes 2021"),'AES Indiana Bill Calc.'!$D$19,-1)</f>
        <v>-1</v>
      </c>
      <c r="C384" s="103" t="b">
        <f>IF(AND('AES Indiana Bill Calc.'!$D$17="SE",'AES Indiana Bill Calc.'!$D$18="Yes 100%",'AES Indiana Bill Calc.'!$D$20="Yes 2021"),'AES Indiana Bill Calc.'!$D$23)</f>
        <v>0</v>
      </c>
      <c r="D384" s="2">
        <f>ROUND(C384*D$329,0)</f>
        <v>0</v>
      </c>
      <c r="F384" s="36" t="s">
        <v>189</v>
      </c>
      <c r="G384" s="17">
        <f>SUM(J384:M384,O384:P384,R384:AA384)</f>
        <v>54.99</v>
      </c>
      <c r="H384" s="19" t="e">
        <f>IF(ISBLANK(B384),0,+#REF!/B384)</f>
        <v>#REF!</v>
      </c>
      <c r="I384" s="19"/>
      <c r="J384" s="16">
        <f>IF(ISBLANK(B384),0,+J$329)</f>
        <v>55</v>
      </c>
      <c r="K384" s="16">
        <f>ROUND(K383*K$329,2)</f>
        <v>0</v>
      </c>
      <c r="L384" s="16">
        <f>ROUND(L383*L$329,2)</f>
        <v>0</v>
      </c>
      <c r="M384" s="16">
        <f>ROUND(M383*M$329,2)</f>
        <v>0</v>
      </c>
      <c r="N384" s="16">
        <f>SUM(K384:M384)</f>
        <v>0</v>
      </c>
      <c r="O384" s="16"/>
      <c r="P384" s="16"/>
      <c r="Q384" s="16"/>
      <c r="R384" s="8"/>
      <c r="S384" s="17">
        <f>ROUND($B384*S$329*S383,2)</f>
        <v>0</v>
      </c>
      <c r="T384" s="17">
        <f>ROUND($B384*T$329,2)</f>
        <v>0</v>
      </c>
      <c r="U384" s="17">
        <f>ROUND($B384*U$329,2)</f>
        <v>0</v>
      </c>
      <c r="V384" s="17">
        <f>ROUND($B384*V$324,2)</f>
        <v>0</v>
      </c>
      <c r="W384" s="17">
        <f>ROUND($B384*W$329,2)</f>
        <v>0</v>
      </c>
      <c r="X384" s="17">
        <f>ROUND($B384*X$329,2)</f>
        <v>-0.01</v>
      </c>
      <c r="Y384" s="17">
        <f>ROUND($B384*Y$329,2)</f>
        <v>0</v>
      </c>
      <c r="Z384" s="17">
        <f>ROUND($B384*Z$329,2)</f>
        <v>0</v>
      </c>
      <c r="AA384" s="17">
        <f>ROUND($B384*AA$329,2)</f>
        <v>0</v>
      </c>
      <c r="AB384" s="19">
        <f>SUM(U379:AA379)</f>
        <v>0</v>
      </c>
      <c r="AC384" s="67" t="str">
        <f>+F384</f>
        <v>SE1</v>
      </c>
    </row>
    <row r="385" spans="1:29" x14ac:dyDescent="0.2">
      <c r="A385" s="9"/>
      <c r="B385" s="103">
        <v>-1</v>
      </c>
      <c r="C385" s="34"/>
      <c r="F385" s="12"/>
      <c r="G385" s="12"/>
      <c r="H385" s="12"/>
      <c r="I385" s="19"/>
      <c r="J385" s="12"/>
      <c r="K385" s="35">
        <f>IF(D386&gt;K$330,+K$330,D386)</f>
        <v>0</v>
      </c>
      <c r="L385" s="35">
        <f>IF(D386&gt;K385,+D386-K385,0)</f>
        <v>0</v>
      </c>
      <c r="M385" s="34">
        <f>IF(B386&gt;D386,+B386-D386,0)</f>
        <v>0</v>
      </c>
      <c r="N385" s="34"/>
      <c r="O385" s="34"/>
      <c r="P385" s="34"/>
      <c r="Q385" s="34"/>
      <c r="R385" s="12"/>
      <c r="S385" s="50">
        <v>0.5</v>
      </c>
      <c r="T385" s="12"/>
      <c r="U385" s="12"/>
      <c r="V385" s="12"/>
      <c r="W385" s="12"/>
      <c r="X385" s="12"/>
      <c r="Y385" s="12"/>
      <c r="Z385" s="12"/>
      <c r="AA385" s="12"/>
    </row>
    <row r="386" spans="1:29" x14ac:dyDescent="0.2">
      <c r="A386" s="1" t="s">
        <v>149</v>
      </c>
      <c r="B386" s="103">
        <f>IF(AND('AES Indiana Bill Calc.'!$D$17="SE",'AES Indiana Bill Calc.'!$D$18="Yes 50%",'AES Indiana Bill Calc.'!$D$20="Yes 2021"),'AES Indiana Bill Calc.'!$D$19,-1)</f>
        <v>-1</v>
      </c>
      <c r="C386" s="103" t="b">
        <f>IF(AND('AES Indiana Bill Calc.'!$D$17="SE",'AES Indiana Bill Calc.'!$D$18="Yes 50%",'AES Indiana Bill Calc.'!$D$20="Yes 2021"),'AES Indiana Bill Calc.'!$D$23)</f>
        <v>0</v>
      </c>
      <c r="D386" s="2">
        <f>ROUND(C386*D$329,0)</f>
        <v>0</v>
      </c>
      <c r="F386" s="36" t="s">
        <v>189</v>
      </c>
      <c r="G386" s="17">
        <f>SUM(J386:M386,O386:P386,R386:AA386)</f>
        <v>54.99</v>
      </c>
      <c r="H386" s="19" t="e">
        <f>IF(ISBLANK(B386),0,+#REF!/B386)</f>
        <v>#REF!</v>
      </c>
      <c r="I386" s="19"/>
      <c r="J386" s="16">
        <f>IF(ISBLANK(B386),0,+J$329)</f>
        <v>55</v>
      </c>
      <c r="K386" s="16">
        <f>ROUND(K385*K$329,2)</f>
        <v>0</v>
      </c>
      <c r="L386" s="16">
        <f>ROUND(L385*L$329,2)</f>
        <v>0</v>
      </c>
      <c r="M386" s="16">
        <f>ROUND(M385*M$329,2)</f>
        <v>0</v>
      </c>
      <c r="N386" s="16">
        <f>SUM(K386:M386)</f>
        <v>0</v>
      </c>
      <c r="O386" s="16"/>
      <c r="P386" s="16"/>
      <c r="Q386" s="16"/>
      <c r="R386" s="8"/>
      <c r="S386" s="17">
        <f>ROUND($B386*S$329*S385,2)</f>
        <v>0</v>
      </c>
      <c r="T386" s="17">
        <f>ROUND($B386*T$329,2)</f>
        <v>0</v>
      </c>
      <c r="U386" s="17">
        <f>ROUND($B386*U$329,2)</f>
        <v>0</v>
      </c>
      <c r="V386" s="17">
        <f>ROUND($B386*V$324,2)</f>
        <v>0</v>
      </c>
      <c r="W386" s="17">
        <f>ROUND($B386*W$329,2)</f>
        <v>0</v>
      </c>
      <c r="X386" s="17">
        <f>ROUND($B386*X$329,2)</f>
        <v>-0.01</v>
      </c>
      <c r="Y386" s="17">
        <f>ROUND($B386*Y$329,2)</f>
        <v>0</v>
      </c>
      <c r="Z386" s="17">
        <f>ROUND($B386*Z$329,2)</f>
        <v>0</v>
      </c>
      <c r="AA386" s="17">
        <f>ROUND($B386*AA$329,2)</f>
        <v>0</v>
      </c>
      <c r="AB386" s="19">
        <f>SUM(U381:AA381)</f>
        <v>0</v>
      </c>
      <c r="AC386" s="67" t="str">
        <f>+F386</f>
        <v>SE1</v>
      </c>
    </row>
    <row r="387" spans="1:29" x14ac:dyDescent="0.2">
      <c r="A387" s="9"/>
      <c r="B387" s="103">
        <v>-1</v>
      </c>
      <c r="C387" s="34"/>
      <c r="F387" s="12"/>
      <c r="G387" s="12"/>
      <c r="H387" s="12"/>
      <c r="I387" s="19"/>
      <c r="J387" s="12"/>
      <c r="K387" s="35">
        <f>IF(D388&gt;K$330,+K$330,D388)</f>
        <v>0</v>
      </c>
      <c r="L387" s="35">
        <f>IF(D388&gt;K387,+D388-K387,0)</f>
        <v>0</v>
      </c>
      <c r="M387" s="34">
        <f>IF(B388&gt;D388,+B388-D388,0)</f>
        <v>0</v>
      </c>
      <c r="N387" s="34"/>
      <c r="O387" s="34"/>
      <c r="P387" s="34"/>
      <c r="Q387" s="34"/>
      <c r="R387" s="12"/>
      <c r="S387" s="50">
        <v>0.25</v>
      </c>
      <c r="T387" s="12"/>
      <c r="U387" s="12"/>
      <c r="V387" s="12"/>
      <c r="W387" s="12"/>
      <c r="X387" s="12"/>
      <c r="Y387" s="12"/>
      <c r="Z387" s="12"/>
      <c r="AA387" s="12"/>
    </row>
    <row r="388" spans="1:29" x14ac:dyDescent="0.2">
      <c r="A388" s="1" t="s">
        <v>150</v>
      </c>
      <c r="B388" s="103">
        <f>IF(AND('AES Indiana Bill Calc.'!$D$17="SE",'AES Indiana Bill Calc.'!$D$18="Yes 25%",'AES Indiana Bill Calc.'!$D$20="Yes 2021"),'AES Indiana Bill Calc.'!$D$19,-1)</f>
        <v>-1</v>
      </c>
      <c r="C388" s="103" t="b">
        <f>IF(AND('AES Indiana Bill Calc.'!$D$17="SE",'AES Indiana Bill Calc.'!$D$18="Yes 25%",'AES Indiana Bill Calc.'!$D$20="Yes 2021"),'AES Indiana Bill Calc.'!$D$23)</f>
        <v>0</v>
      </c>
      <c r="D388" s="2">
        <f>ROUND(C388*D$329,0)</f>
        <v>0</v>
      </c>
      <c r="F388" s="36" t="s">
        <v>189</v>
      </c>
      <c r="G388" s="17">
        <f>SUM(J388:M388,O388:P388,R388:AA388)</f>
        <v>54.99</v>
      </c>
      <c r="H388" s="19" t="e">
        <f>IF(ISBLANK(B388),0,+#REF!/B388)</f>
        <v>#REF!</v>
      </c>
      <c r="I388" s="19"/>
      <c r="J388" s="16">
        <f>IF(ISBLANK(B388),0,+J$329)</f>
        <v>55</v>
      </c>
      <c r="K388" s="16">
        <f>ROUND(K387*K$329,2)</f>
        <v>0</v>
      </c>
      <c r="L388" s="16">
        <f>ROUND(L387*L$329,2)</f>
        <v>0</v>
      </c>
      <c r="M388" s="16">
        <f>ROUND(M387*M$329,2)</f>
        <v>0</v>
      </c>
      <c r="N388" s="16">
        <f>SUM(K388:M388)</f>
        <v>0</v>
      </c>
      <c r="O388" s="16"/>
      <c r="P388" s="16"/>
      <c r="Q388" s="16"/>
      <c r="R388" s="8"/>
      <c r="S388" s="17">
        <f>ROUND($B388*S$329*S387,2)</f>
        <v>0</v>
      </c>
      <c r="T388" s="17">
        <f>ROUND($B388*T$329,2)</f>
        <v>0</v>
      </c>
      <c r="U388" s="17">
        <f>ROUND($B388*U$329,2)</f>
        <v>0</v>
      </c>
      <c r="V388" s="17">
        <f>ROUND($B388*V$324,2)</f>
        <v>0</v>
      </c>
      <c r="W388" s="17">
        <f>ROUND($B388*W$329,2)</f>
        <v>0</v>
      </c>
      <c r="X388" s="17">
        <f>ROUND($B388*X$329,2)</f>
        <v>-0.01</v>
      </c>
      <c r="Y388" s="17">
        <f>ROUND($B388*Y$329,2)</f>
        <v>0</v>
      </c>
      <c r="Z388" s="17">
        <f>ROUND($B388*Z$329,2)</f>
        <v>0</v>
      </c>
      <c r="AA388" s="17">
        <f>ROUND($B388*AA$329,2)</f>
        <v>0</v>
      </c>
      <c r="AB388" s="19">
        <f>SUM(U383:AA383)</f>
        <v>0</v>
      </c>
      <c r="AC388" s="67" t="str">
        <f>+F388</f>
        <v>SE1</v>
      </c>
    </row>
    <row r="389" spans="1:29" x14ac:dyDescent="0.2">
      <c r="A389" s="9"/>
      <c r="B389" s="103">
        <v>-1</v>
      </c>
      <c r="C389" s="34"/>
      <c r="F389" s="12"/>
      <c r="G389" s="12"/>
      <c r="H389" s="12"/>
      <c r="I389" s="19"/>
      <c r="J389" s="12"/>
      <c r="K389" s="35">
        <f>IF(D390&gt;K$330,+K$330,D390)</f>
        <v>0</v>
      </c>
      <c r="L389" s="35">
        <f>IF(D390&gt;K389,+D390-K389,0)</f>
        <v>0</v>
      </c>
      <c r="M389" s="34">
        <f>IF(B390&gt;D390,+B390-D390,0)</f>
        <v>0</v>
      </c>
      <c r="N389" s="34"/>
      <c r="O389" s="34"/>
      <c r="P389" s="34"/>
      <c r="Q389" s="34"/>
      <c r="R389" s="12"/>
      <c r="S389" s="50">
        <v>0.1</v>
      </c>
      <c r="T389" s="12"/>
      <c r="U389" s="12"/>
      <c r="V389" s="12"/>
      <c r="W389" s="12"/>
      <c r="X389" s="12"/>
      <c r="Y389" s="12"/>
      <c r="Z389" s="12"/>
      <c r="AA389" s="12"/>
    </row>
    <row r="390" spans="1:29" x14ac:dyDescent="0.2">
      <c r="A390" s="1" t="s">
        <v>164</v>
      </c>
      <c r="B390" s="103">
        <f>IF(AND('AES Indiana Bill Calc.'!$D$17="SE",'AES Indiana Bill Calc.'!$D$18="Yes 10%",'AES Indiana Bill Calc.'!$D$20="Yes 2021"),'AES Indiana Bill Calc.'!$D$19,-1)</f>
        <v>-1</v>
      </c>
      <c r="C390" s="103" t="b">
        <f>IF(AND('AES Indiana Bill Calc.'!$D$17="SE",'AES Indiana Bill Calc.'!$D$18="Yes 10%",'AES Indiana Bill Calc.'!$D$20="Yes 2021"),'AES Indiana Bill Calc.'!$D$23)</f>
        <v>0</v>
      </c>
      <c r="D390" s="2">
        <f>ROUND(C390*D$329,0)</f>
        <v>0</v>
      </c>
      <c r="F390" s="36" t="s">
        <v>189</v>
      </c>
      <c r="G390" s="17">
        <f>SUM(J390:M390,O390:P390,R390:AA390)</f>
        <v>54.99</v>
      </c>
      <c r="H390" s="19" t="e">
        <f>IF(ISBLANK(B390),0,+#REF!/B390)</f>
        <v>#REF!</v>
      </c>
      <c r="I390" s="19"/>
      <c r="J390" s="16">
        <f>IF(ISBLANK(B390),0,+J$329)</f>
        <v>55</v>
      </c>
      <c r="K390" s="16">
        <f>ROUND(K389*K$329,2)</f>
        <v>0</v>
      </c>
      <c r="L390" s="16">
        <f>ROUND(L389*L$329,2)</f>
        <v>0</v>
      </c>
      <c r="M390" s="16">
        <f>ROUND(M389*M$329,2)</f>
        <v>0</v>
      </c>
      <c r="N390" s="16">
        <f>SUM(K390:M390)</f>
        <v>0</v>
      </c>
      <c r="O390" s="16"/>
      <c r="P390" s="16"/>
      <c r="Q390" s="16"/>
      <c r="R390" s="8"/>
      <c r="S390" s="17">
        <f>ROUND($B390*S$329*S389,2)</f>
        <v>0</v>
      </c>
      <c r="T390" s="17">
        <f>ROUND($B390*T$329,2)</f>
        <v>0</v>
      </c>
      <c r="U390" s="17">
        <f>ROUND($B390*U$329,2)</f>
        <v>0</v>
      </c>
      <c r="V390" s="17">
        <f>ROUND($B390*V$324,2)</f>
        <v>0</v>
      </c>
      <c r="W390" s="17">
        <f>ROUND($B390*W$329,2)</f>
        <v>0</v>
      </c>
      <c r="X390" s="17">
        <f>ROUND($B390*X$329,2)</f>
        <v>-0.01</v>
      </c>
      <c r="Y390" s="17">
        <f>ROUND($B390*Y$329,2)</f>
        <v>0</v>
      </c>
      <c r="Z390" s="17">
        <f>ROUND($B390*Z$329,2)</f>
        <v>0</v>
      </c>
      <c r="AA390" s="17">
        <f>ROUND($B390*AA$329,2)</f>
        <v>0</v>
      </c>
      <c r="AB390" s="19">
        <f>SUM(U385:AA385)</f>
        <v>0</v>
      </c>
      <c r="AC390" s="67" t="str">
        <f>+F390</f>
        <v>SE1</v>
      </c>
    </row>
    <row r="391" spans="1:29" x14ac:dyDescent="0.2">
      <c r="A391" s="9"/>
      <c r="B391" s="103">
        <v>-1</v>
      </c>
      <c r="C391" s="34"/>
      <c r="F391" s="12"/>
      <c r="G391" s="12"/>
      <c r="H391" s="12"/>
      <c r="I391" s="19"/>
      <c r="J391" s="12"/>
      <c r="K391" s="35">
        <f>IF(D392&gt;K$330,+K$330,D392)</f>
        <v>0</v>
      </c>
      <c r="L391" s="35">
        <f>IF(D392&gt;K391,+D392-K391,0)</f>
        <v>0</v>
      </c>
      <c r="M391" s="34">
        <f>IF(B392&gt;D392,+B392-D392,0)</f>
        <v>0</v>
      </c>
      <c r="N391" s="34"/>
      <c r="O391" s="34"/>
      <c r="P391" s="34"/>
      <c r="Q391" s="34"/>
      <c r="R391" s="12"/>
      <c r="S391" s="50">
        <v>0</v>
      </c>
      <c r="T391" s="12"/>
      <c r="U391" s="12"/>
      <c r="V391" s="12"/>
      <c r="W391" s="12"/>
      <c r="X391" s="12"/>
      <c r="Y391" s="12"/>
      <c r="Z391" s="12"/>
      <c r="AA391" s="12"/>
    </row>
    <row r="392" spans="1:29" x14ac:dyDescent="0.2">
      <c r="A392" s="1" t="s">
        <v>147</v>
      </c>
      <c r="B392" s="103">
        <f>IF(AND('AES Indiana Bill Calc.'!$D$17="SE",'AES Indiana Bill Calc.'!$D$18="No",'AES Indiana Bill Calc.'!$D$20="Yes 2021"),'AES Indiana Bill Calc.'!$D$19,-1)</f>
        <v>-1</v>
      </c>
      <c r="C392" s="103" t="b">
        <f>IF(AND('AES Indiana Bill Calc.'!$D$17="SE",'AES Indiana Bill Calc.'!$D$18="No",'AES Indiana Bill Calc.'!$D$20="Yes 2021"),'AES Indiana Bill Calc.'!$D$23)</f>
        <v>0</v>
      </c>
      <c r="D392" s="2">
        <f>ROUND(C392*D$329,0)</f>
        <v>0</v>
      </c>
      <c r="F392" s="36" t="s">
        <v>189</v>
      </c>
      <c r="G392" s="17">
        <f>SUM(J392:M392,O392:P392,R392:AA392)</f>
        <v>54.99</v>
      </c>
      <c r="H392" s="19" t="e">
        <f>IF(ISBLANK(B392),0,+#REF!/B392)</f>
        <v>#REF!</v>
      </c>
      <c r="I392" s="19"/>
      <c r="J392" s="16">
        <f>IF(ISBLANK(B392),0,+J$329)</f>
        <v>55</v>
      </c>
      <c r="K392" s="16">
        <f>ROUND(K391*K$329,2)</f>
        <v>0</v>
      </c>
      <c r="L392" s="16">
        <f>ROUND(L391*L$329,2)</f>
        <v>0</v>
      </c>
      <c r="M392" s="16">
        <f>ROUND(M391*M$329,2)</f>
        <v>0</v>
      </c>
      <c r="N392" s="16">
        <f>SUM(K392:M392)</f>
        <v>0</v>
      </c>
      <c r="O392" s="16"/>
      <c r="P392" s="16"/>
      <c r="Q392" s="16"/>
      <c r="R392" s="8"/>
      <c r="S392" s="17">
        <f>ROUND($B392*S$329*S391,2)</f>
        <v>0</v>
      </c>
      <c r="T392" s="17">
        <f>ROUND($B392*T$329,2)</f>
        <v>0</v>
      </c>
      <c r="U392" s="17">
        <f>ROUND($B392*U$329,2)</f>
        <v>0</v>
      </c>
      <c r="V392" s="17">
        <f>ROUND($B392*V$324,2)</f>
        <v>0</v>
      </c>
      <c r="W392" s="17">
        <f>ROUND($B392*W$329,2)</f>
        <v>0</v>
      </c>
      <c r="X392" s="17">
        <f>ROUND($B392*X$329,2)</f>
        <v>-0.01</v>
      </c>
      <c r="Y392" s="17">
        <f>ROUND($B392*Y$329,2)</f>
        <v>0</v>
      </c>
      <c r="Z392" s="17">
        <f>ROUND($B392*Z$329,2)</f>
        <v>0</v>
      </c>
      <c r="AA392" s="17">
        <f>ROUND($B392*AA$329,2)</f>
        <v>0</v>
      </c>
      <c r="AB392" s="19">
        <f>SUM(U387:AA387)</f>
        <v>0</v>
      </c>
      <c r="AC392" s="67" t="str">
        <f>+F392</f>
        <v>SE1</v>
      </c>
    </row>
    <row r="393" spans="1:29" x14ac:dyDescent="0.2">
      <c r="B393" s="103">
        <v>-1</v>
      </c>
      <c r="C393" s="34"/>
      <c r="F393" s="12"/>
      <c r="G393" s="12"/>
      <c r="H393" s="12"/>
      <c r="I393" s="19"/>
      <c r="J393" s="12"/>
      <c r="K393" s="35">
        <f>IF(D394&gt;K$330,+K$330,D394)</f>
        <v>0</v>
      </c>
      <c r="L393" s="35">
        <f>IF(D394&gt;K393,+D394-K393,0)</f>
        <v>0</v>
      </c>
      <c r="M393" s="34">
        <f>IF(B394&gt;D394,+B394-D394,0)</f>
        <v>0</v>
      </c>
      <c r="N393" s="34"/>
      <c r="O393" s="34"/>
      <c r="P393" s="34"/>
      <c r="Q393" s="34"/>
      <c r="R393" s="12"/>
      <c r="S393" s="50">
        <v>1</v>
      </c>
      <c r="T393" s="12"/>
      <c r="U393" s="12"/>
      <c r="V393" s="12"/>
      <c r="W393" s="12"/>
      <c r="X393" s="12"/>
      <c r="Y393" s="12"/>
      <c r="Z393" s="12"/>
      <c r="AA393" s="12"/>
    </row>
    <row r="394" spans="1:29" x14ac:dyDescent="0.2">
      <c r="A394" s="1" t="s">
        <v>148</v>
      </c>
      <c r="B394" s="103">
        <f>IF(AND('AES Indiana Bill Calc.'!$D$17="SE",'AES Indiana Bill Calc.'!$D$18="Yes 100%",'AES Indiana Bill Calc.'!$D$20="Yes 2022"),'AES Indiana Bill Calc.'!$D$19,-1)</f>
        <v>-1</v>
      </c>
      <c r="C394" s="103" t="b">
        <f>IF(AND('AES Indiana Bill Calc.'!$D$17="SE",'AES Indiana Bill Calc.'!$D$18="Yes 100%",'AES Indiana Bill Calc.'!$D$20="Yes 2022"),'AES Indiana Bill Calc.'!$D$23)</f>
        <v>0</v>
      </c>
      <c r="D394" s="2">
        <f>ROUND(C394*D$329,0)</f>
        <v>0</v>
      </c>
      <c r="F394" s="36" t="s">
        <v>190</v>
      </c>
      <c r="G394" s="17">
        <f>SUM(J394:M394,O394:P394,R394:AA394)</f>
        <v>54.99</v>
      </c>
      <c r="H394" s="19" t="e">
        <f>IF(ISBLANK(B394),0,+#REF!/B394)</f>
        <v>#REF!</v>
      </c>
      <c r="I394" s="19"/>
      <c r="J394" s="16">
        <f>IF(ISBLANK(B394),0,+J$329)</f>
        <v>55</v>
      </c>
      <c r="K394" s="16">
        <f>ROUND(K393*K$329,2)</f>
        <v>0</v>
      </c>
      <c r="L394" s="16">
        <f>ROUND(L393*L$329,2)</f>
        <v>0</v>
      </c>
      <c r="M394" s="16">
        <f>ROUND(M393*M$329,2)</f>
        <v>0</v>
      </c>
      <c r="N394" s="16">
        <f>SUM(K394:M394)</f>
        <v>0</v>
      </c>
      <c r="O394" s="16"/>
      <c r="P394" s="16"/>
      <c r="Q394" s="16"/>
      <c r="R394" s="8"/>
      <c r="S394" s="17">
        <f>ROUND($B394*S$329*S393,2)</f>
        <v>0</v>
      </c>
      <c r="T394" s="17">
        <f>ROUND($B394*T$329,2)</f>
        <v>0</v>
      </c>
      <c r="U394" s="17">
        <f>ROUND($B394*U$329,2)</f>
        <v>0</v>
      </c>
      <c r="V394" s="17">
        <f>ROUND($B394*V$325,2)</f>
        <v>0</v>
      </c>
      <c r="W394" s="17">
        <f>ROUND($B394*W$329,2)</f>
        <v>0</v>
      </c>
      <c r="X394" s="17">
        <f>ROUND($B394*X$329,2)</f>
        <v>-0.01</v>
      </c>
      <c r="Y394" s="17">
        <f>ROUND($B394*Y$329,2)</f>
        <v>0</v>
      </c>
      <c r="Z394" s="17">
        <f>ROUND($B394*Z$329,2)</f>
        <v>0</v>
      </c>
      <c r="AA394" s="17">
        <f>ROUND($B394*AA$329,2)</f>
        <v>0</v>
      </c>
      <c r="AB394" s="19">
        <f>SUM(U389:AA389)</f>
        <v>0</v>
      </c>
      <c r="AC394" s="67" t="str">
        <f>+F394</f>
        <v>SE2</v>
      </c>
    </row>
    <row r="395" spans="1:29" x14ac:dyDescent="0.2">
      <c r="A395" s="9"/>
      <c r="B395" s="103">
        <v>-1</v>
      </c>
      <c r="C395" s="34"/>
      <c r="F395" s="12"/>
      <c r="G395" s="12"/>
      <c r="H395" s="12"/>
      <c r="I395" s="19"/>
      <c r="J395" s="12"/>
      <c r="K395" s="35">
        <f>IF(D396&gt;K$330,+K$330,D396)</f>
        <v>0</v>
      </c>
      <c r="L395" s="35">
        <f>IF(D396&gt;K395,+D396-K395,0)</f>
        <v>0</v>
      </c>
      <c r="M395" s="34">
        <f>IF(B396&gt;D396,+B396-D396,0)</f>
        <v>0</v>
      </c>
      <c r="N395" s="34"/>
      <c r="O395" s="34"/>
      <c r="P395" s="34"/>
      <c r="Q395" s="34"/>
      <c r="R395" s="12"/>
      <c r="S395" s="50">
        <v>0.5</v>
      </c>
      <c r="T395" s="12"/>
      <c r="U395" s="12"/>
      <c r="V395" s="12"/>
      <c r="W395" s="12"/>
      <c r="X395" s="12"/>
      <c r="Y395" s="12"/>
      <c r="Z395" s="12"/>
      <c r="AA395" s="12"/>
    </row>
    <row r="396" spans="1:29" x14ac:dyDescent="0.2">
      <c r="A396" s="1" t="s">
        <v>149</v>
      </c>
      <c r="B396" s="103">
        <f>IF(AND('AES Indiana Bill Calc.'!$D$17="SE",'AES Indiana Bill Calc.'!$D$18="Yes 50%",'AES Indiana Bill Calc.'!$D$20="Yes 2022"),'AES Indiana Bill Calc.'!$D$19,-1)</f>
        <v>-1</v>
      </c>
      <c r="C396" s="103" t="b">
        <f>IF(AND('AES Indiana Bill Calc.'!$D$17="SE",'AES Indiana Bill Calc.'!$D$18="Yes 50%",'AES Indiana Bill Calc.'!$D$20="Yes 2022"),'AES Indiana Bill Calc.'!$D$23)</f>
        <v>0</v>
      </c>
      <c r="D396" s="2">
        <f>ROUND(C396*D$329,0)</f>
        <v>0</v>
      </c>
      <c r="F396" s="36" t="s">
        <v>190</v>
      </c>
      <c r="G396" s="17">
        <f>SUM(J396:M396,O396:P396,R396:AA396)</f>
        <v>54.99</v>
      </c>
      <c r="H396" s="19" t="e">
        <f>IF(ISBLANK(B396),0,+#REF!/B396)</f>
        <v>#REF!</v>
      </c>
      <c r="I396" s="19"/>
      <c r="J396" s="16">
        <f>IF(ISBLANK(B396),0,+J$329)</f>
        <v>55</v>
      </c>
      <c r="K396" s="16">
        <f>ROUND(K395*K$329,2)</f>
        <v>0</v>
      </c>
      <c r="L396" s="16">
        <f>ROUND(L395*L$329,2)</f>
        <v>0</v>
      </c>
      <c r="M396" s="16">
        <f>ROUND(M395*M$329,2)</f>
        <v>0</v>
      </c>
      <c r="N396" s="16">
        <f>SUM(K396:M396)</f>
        <v>0</v>
      </c>
      <c r="O396" s="16"/>
      <c r="P396" s="16"/>
      <c r="Q396" s="16"/>
      <c r="R396" s="8"/>
      <c r="S396" s="17">
        <f>ROUND($B396*S$329*S395,2)</f>
        <v>0</v>
      </c>
      <c r="T396" s="17">
        <f>ROUND($B396*T$329,2)</f>
        <v>0</v>
      </c>
      <c r="U396" s="17">
        <f>ROUND($B396*U$329,2)</f>
        <v>0</v>
      </c>
      <c r="V396" s="17">
        <f>ROUND($B396*V$325,2)</f>
        <v>0</v>
      </c>
      <c r="W396" s="17">
        <f>ROUND($B396*W$329,2)</f>
        <v>0</v>
      </c>
      <c r="X396" s="17">
        <f>ROUND($B396*X$329,2)</f>
        <v>-0.01</v>
      </c>
      <c r="Y396" s="17">
        <f>ROUND($B396*Y$329,2)</f>
        <v>0</v>
      </c>
      <c r="Z396" s="17">
        <f>ROUND($B396*Z$329,2)</f>
        <v>0</v>
      </c>
      <c r="AA396" s="17">
        <f>ROUND($B396*AA$329,2)</f>
        <v>0</v>
      </c>
      <c r="AB396" s="19">
        <f>SUM(U391:AA391)</f>
        <v>0</v>
      </c>
      <c r="AC396" s="67" t="str">
        <f>+F396</f>
        <v>SE2</v>
      </c>
    </row>
    <row r="397" spans="1:29" x14ac:dyDescent="0.2">
      <c r="A397" s="9"/>
      <c r="B397" s="103">
        <v>-1</v>
      </c>
      <c r="C397" s="34"/>
      <c r="F397" s="12"/>
      <c r="G397" s="12"/>
      <c r="H397" s="12"/>
      <c r="I397" s="19"/>
      <c r="J397" s="12"/>
      <c r="K397" s="35">
        <f>IF(D398&gt;K$330,+K$330,D398)</f>
        <v>0</v>
      </c>
      <c r="L397" s="35">
        <f>IF(D398&gt;K397,+D398-K397,0)</f>
        <v>0</v>
      </c>
      <c r="M397" s="34">
        <f>IF(B398&gt;D398,+B398-D398,0)</f>
        <v>0</v>
      </c>
      <c r="N397" s="34"/>
      <c r="O397" s="34"/>
      <c r="P397" s="34"/>
      <c r="Q397" s="34"/>
      <c r="R397" s="12"/>
      <c r="S397" s="50">
        <v>0.25</v>
      </c>
      <c r="T397" s="12"/>
      <c r="U397" s="12"/>
      <c r="V397" s="12"/>
      <c r="W397" s="12"/>
      <c r="X397" s="12"/>
      <c r="Y397" s="12"/>
      <c r="Z397" s="12"/>
      <c r="AA397" s="12"/>
    </row>
    <row r="398" spans="1:29" x14ac:dyDescent="0.2">
      <c r="A398" s="1" t="s">
        <v>150</v>
      </c>
      <c r="B398" s="103">
        <f>IF(AND('AES Indiana Bill Calc.'!$D$17="SE",'AES Indiana Bill Calc.'!$D$18="Yes 25%",'AES Indiana Bill Calc.'!$D$20="Yes 2022"),'AES Indiana Bill Calc.'!$D$19,-1)</f>
        <v>-1</v>
      </c>
      <c r="C398" s="103" t="b">
        <f>IF(AND('AES Indiana Bill Calc.'!$D$17="SE",'AES Indiana Bill Calc.'!$D$18="Yes 25%",'AES Indiana Bill Calc.'!$D$20="Yes 2022"),'AES Indiana Bill Calc.'!$D$23)</f>
        <v>0</v>
      </c>
      <c r="D398" s="2">
        <f>ROUND(C398*D$329,0)</f>
        <v>0</v>
      </c>
      <c r="F398" s="36" t="s">
        <v>190</v>
      </c>
      <c r="G398" s="17">
        <f>SUM(J398:M398,O398:P398,R398:AA398)</f>
        <v>54.99</v>
      </c>
      <c r="H398" s="19" t="e">
        <f>IF(ISBLANK(B398),0,+#REF!/B398)</f>
        <v>#REF!</v>
      </c>
      <c r="I398" s="19"/>
      <c r="J398" s="16">
        <f>IF(ISBLANK(B398),0,+J$329)</f>
        <v>55</v>
      </c>
      <c r="K398" s="16">
        <f>ROUND(K397*K$329,2)</f>
        <v>0</v>
      </c>
      <c r="L398" s="16">
        <f>ROUND(L397*L$329,2)</f>
        <v>0</v>
      </c>
      <c r="M398" s="16">
        <f>ROUND(M397*M$329,2)</f>
        <v>0</v>
      </c>
      <c r="N398" s="16">
        <f>SUM(K398:M398)</f>
        <v>0</v>
      </c>
      <c r="O398" s="16"/>
      <c r="P398" s="16"/>
      <c r="Q398" s="16"/>
      <c r="R398" s="8"/>
      <c r="S398" s="17">
        <f>ROUND($B398*S$329*S397,2)</f>
        <v>0</v>
      </c>
      <c r="T398" s="17">
        <f>ROUND($B398*T$329,2)</f>
        <v>0</v>
      </c>
      <c r="U398" s="17">
        <f>ROUND($B398*U$329,2)</f>
        <v>0</v>
      </c>
      <c r="V398" s="17">
        <f>ROUND($B398*V$325,2)</f>
        <v>0</v>
      </c>
      <c r="W398" s="17">
        <f>ROUND($B398*W$329,2)</f>
        <v>0</v>
      </c>
      <c r="X398" s="17">
        <f>ROUND($B398*X$329,2)</f>
        <v>-0.01</v>
      </c>
      <c r="Y398" s="17">
        <f>ROUND($B398*Y$329,2)</f>
        <v>0</v>
      </c>
      <c r="Z398" s="17">
        <f>ROUND($B398*Z$329,2)</f>
        <v>0</v>
      </c>
      <c r="AA398" s="17">
        <f>ROUND($B398*AA$329,2)</f>
        <v>0</v>
      </c>
      <c r="AB398" s="19">
        <f>SUM(U393:AA393)</f>
        <v>0</v>
      </c>
      <c r="AC398" s="67" t="str">
        <f>+F398</f>
        <v>SE2</v>
      </c>
    </row>
    <row r="399" spans="1:29" x14ac:dyDescent="0.2">
      <c r="A399" s="9"/>
      <c r="B399" s="103">
        <v>-1</v>
      </c>
      <c r="C399" s="34"/>
      <c r="F399" s="12"/>
      <c r="G399" s="12"/>
      <c r="H399" s="12"/>
      <c r="I399" s="19"/>
      <c r="J399" s="12"/>
      <c r="K399" s="35">
        <f>IF(D400&gt;K$330,+K$330,D400)</f>
        <v>0</v>
      </c>
      <c r="L399" s="35">
        <f>IF(D400&gt;K399,+D400-K399,0)</f>
        <v>0</v>
      </c>
      <c r="M399" s="34">
        <f>IF(B400&gt;D400,+B400-D400,0)</f>
        <v>0</v>
      </c>
      <c r="N399" s="34"/>
      <c r="O399" s="34"/>
      <c r="P399" s="34"/>
      <c r="Q399" s="34"/>
      <c r="R399" s="12"/>
      <c r="S399" s="50">
        <v>0.1</v>
      </c>
      <c r="T399" s="12"/>
      <c r="U399" s="12"/>
      <c r="V399" s="12"/>
      <c r="W399" s="12"/>
      <c r="X399" s="12"/>
      <c r="Y399" s="12"/>
      <c r="Z399" s="12"/>
      <c r="AA399" s="12"/>
    </row>
    <row r="400" spans="1:29" x14ac:dyDescent="0.2">
      <c r="A400" s="1" t="s">
        <v>164</v>
      </c>
      <c r="B400" s="103">
        <f>IF(AND('AES Indiana Bill Calc.'!$D$17="SE",'AES Indiana Bill Calc.'!$D$18="Yes 10%",'AES Indiana Bill Calc.'!$D$20="Yes 2022"),'AES Indiana Bill Calc.'!$D$19,-1)</f>
        <v>-1</v>
      </c>
      <c r="C400" s="103" t="b">
        <f>IF(AND('AES Indiana Bill Calc.'!$D$17="SE",'AES Indiana Bill Calc.'!$D$18="Yes 10%",'AES Indiana Bill Calc.'!$D$20="Yes 2022"),'AES Indiana Bill Calc.'!$D$23)</f>
        <v>0</v>
      </c>
      <c r="D400" s="2">
        <f>ROUND(C400*D$329,0)</f>
        <v>0</v>
      </c>
      <c r="F400" s="36" t="s">
        <v>190</v>
      </c>
      <c r="G400" s="17">
        <f>SUM(J400:M400,O400:P400,R400:AA400)</f>
        <v>54.99</v>
      </c>
      <c r="H400" s="19" t="e">
        <f>IF(ISBLANK(B400),0,+#REF!/B400)</f>
        <v>#REF!</v>
      </c>
      <c r="I400" s="19"/>
      <c r="J400" s="16">
        <f>IF(ISBLANK(B400),0,+J$329)</f>
        <v>55</v>
      </c>
      <c r="K400" s="16">
        <f>ROUND(K399*K$329,2)</f>
        <v>0</v>
      </c>
      <c r="L400" s="16">
        <f>ROUND(L399*L$329,2)</f>
        <v>0</v>
      </c>
      <c r="M400" s="16">
        <f>ROUND(M399*M$329,2)</f>
        <v>0</v>
      </c>
      <c r="N400" s="16">
        <f>SUM(K400:M400)</f>
        <v>0</v>
      </c>
      <c r="O400" s="16"/>
      <c r="P400" s="16"/>
      <c r="Q400" s="16"/>
      <c r="R400" s="8"/>
      <c r="S400" s="17">
        <f>ROUND($B400*S$329*S399,2)</f>
        <v>0</v>
      </c>
      <c r="T400" s="17">
        <f>ROUND($B400*T$329,2)</f>
        <v>0</v>
      </c>
      <c r="U400" s="17">
        <f>ROUND($B400*U$329,2)</f>
        <v>0</v>
      </c>
      <c r="V400" s="17">
        <f>ROUND($B400*V$325,2)</f>
        <v>0</v>
      </c>
      <c r="W400" s="17">
        <f>ROUND($B400*W$329,2)</f>
        <v>0</v>
      </c>
      <c r="X400" s="17">
        <f>ROUND($B400*X$329,2)</f>
        <v>-0.01</v>
      </c>
      <c r="Y400" s="17">
        <f>ROUND($B400*Y$329,2)</f>
        <v>0</v>
      </c>
      <c r="Z400" s="17">
        <f>ROUND($B400*Z$329,2)</f>
        <v>0</v>
      </c>
      <c r="AA400" s="17">
        <f>ROUND($B400*AA$329,2)</f>
        <v>0</v>
      </c>
      <c r="AB400" s="19">
        <f>SUM(U395:AA395)</f>
        <v>0</v>
      </c>
      <c r="AC400" s="67" t="str">
        <f>+F400</f>
        <v>SE2</v>
      </c>
    </row>
    <row r="401" spans="1:29" x14ac:dyDescent="0.2">
      <c r="A401" s="9"/>
      <c r="B401" s="103">
        <v>-1</v>
      </c>
      <c r="C401" s="34"/>
      <c r="F401" s="12"/>
      <c r="G401" s="12"/>
      <c r="H401" s="12"/>
      <c r="I401" s="19"/>
      <c r="J401" s="12"/>
      <c r="K401" s="35">
        <f>IF(D402&gt;K$330,+K$330,D402)</f>
        <v>0</v>
      </c>
      <c r="L401" s="35">
        <f>IF(D402&gt;K401,+D402-K401,0)</f>
        <v>0</v>
      </c>
      <c r="M401" s="34">
        <f>IF(B402&gt;D402,+B402-D402,0)</f>
        <v>0</v>
      </c>
      <c r="N401" s="34"/>
      <c r="O401" s="34"/>
      <c r="P401" s="34"/>
      <c r="Q401" s="34"/>
      <c r="R401" s="12"/>
      <c r="S401" s="50">
        <v>0</v>
      </c>
      <c r="T401" s="12"/>
      <c r="U401" s="12"/>
      <c r="V401" s="12"/>
      <c r="W401" s="12"/>
      <c r="X401" s="12"/>
      <c r="Y401" s="12"/>
      <c r="Z401" s="12"/>
      <c r="AA401" s="12"/>
    </row>
    <row r="402" spans="1:29" x14ac:dyDescent="0.2">
      <c r="A402" s="1" t="s">
        <v>147</v>
      </c>
      <c r="B402" s="103">
        <f>IF(AND('AES Indiana Bill Calc.'!$D$17="SE",'AES Indiana Bill Calc.'!$D$18="No",'AES Indiana Bill Calc.'!$D$20="Yes 2022"),'AES Indiana Bill Calc.'!$D$19,-1)</f>
        <v>-1</v>
      </c>
      <c r="C402" s="103" t="b">
        <f>IF(AND('AES Indiana Bill Calc.'!$D$17="SE",'AES Indiana Bill Calc.'!$D$18="No",'AES Indiana Bill Calc.'!$D$20="Yes 2022"),'AES Indiana Bill Calc.'!$D$23)</f>
        <v>0</v>
      </c>
      <c r="D402" s="2">
        <f>ROUND(C402*D$329,0)</f>
        <v>0</v>
      </c>
      <c r="F402" s="36" t="s">
        <v>190</v>
      </c>
      <c r="G402" s="17">
        <f>SUM(J402:M402,O402:P402,R402:AA402)</f>
        <v>54.99</v>
      </c>
      <c r="H402" s="19" t="e">
        <f>IF(ISBLANK(B402),0,+#REF!/B402)</f>
        <v>#REF!</v>
      </c>
      <c r="I402" s="19"/>
      <c r="J402" s="16">
        <f>IF(ISBLANK(B402),0,+J$329)</f>
        <v>55</v>
      </c>
      <c r="K402" s="16">
        <f>ROUND(K401*K$329,2)</f>
        <v>0</v>
      </c>
      <c r="L402" s="16">
        <f>ROUND(L401*L$329,2)</f>
        <v>0</v>
      </c>
      <c r="M402" s="16">
        <f>ROUND(M401*M$329,2)</f>
        <v>0</v>
      </c>
      <c r="N402" s="16">
        <f>SUM(K402:M402)</f>
        <v>0</v>
      </c>
      <c r="O402" s="16"/>
      <c r="P402" s="16"/>
      <c r="Q402" s="16"/>
      <c r="R402" s="8"/>
      <c r="S402" s="17">
        <f>ROUND($B402*S$329*S401,2)</f>
        <v>0</v>
      </c>
      <c r="T402" s="17">
        <f>ROUND($B402*T$329,2)</f>
        <v>0</v>
      </c>
      <c r="U402" s="17">
        <f>ROUND($B402*U$329,2)</f>
        <v>0</v>
      </c>
      <c r="V402" s="17">
        <f>ROUND($B402*V$325,2)</f>
        <v>0</v>
      </c>
      <c r="W402" s="17">
        <f>ROUND($B402*W$329,2)</f>
        <v>0</v>
      </c>
      <c r="X402" s="17">
        <f>ROUND($B402*X$329,2)</f>
        <v>-0.01</v>
      </c>
      <c r="Y402" s="17">
        <f>ROUND($B402*Y$329,2)</f>
        <v>0</v>
      </c>
      <c r="Z402" s="17">
        <f>ROUND($B402*Z$329,2)</f>
        <v>0</v>
      </c>
      <c r="AA402" s="17">
        <f>ROUND($B402*AA$329,2)</f>
        <v>0</v>
      </c>
      <c r="AB402" s="19">
        <f>SUM(U397:AA397)</f>
        <v>0</v>
      </c>
      <c r="AC402" s="67" t="str">
        <f>+F402</f>
        <v>SE2</v>
      </c>
    </row>
    <row r="403" spans="1:29" x14ac:dyDescent="0.2">
      <c r="A403" s="1"/>
      <c r="B403" s="103">
        <v>-1</v>
      </c>
      <c r="C403" s="103"/>
      <c r="D403" s="2"/>
      <c r="F403" s="36"/>
      <c r="G403" s="17"/>
      <c r="H403" s="19"/>
      <c r="I403" s="19"/>
      <c r="J403" s="16"/>
      <c r="K403" s="16"/>
      <c r="L403" s="16"/>
      <c r="M403" s="16"/>
      <c r="N403" s="16"/>
      <c r="O403" s="16"/>
      <c r="P403" s="16"/>
      <c r="Q403" s="16"/>
      <c r="R403" s="8"/>
      <c r="S403" s="50">
        <v>1</v>
      </c>
      <c r="T403" s="17"/>
      <c r="U403" s="17"/>
      <c r="V403" s="17"/>
      <c r="W403" s="17"/>
      <c r="X403" s="17"/>
      <c r="Y403" s="17"/>
      <c r="Z403" s="17"/>
      <c r="AA403" s="17"/>
      <c r="AB403" s="19"/>
      <c r="AC403" s="67"/>
    </row>
    <row r="404" spans="1:29" x14ac:dyDescent="0.2">
      <c r="A404" s="1" t="s">
        <v>148</v>
      </c>
      <c r="B404" s="103">
        <f>IF(AND('AES Indiana Bill Calc.'!$D$17="SE",'AES Indiana Bill Calc.'!$D$18="Yes 100%",'AES Indiana Bill Calc.'!$D$20="Yes 2023"),'AES Indiana Bill Calc.'!$D$19,-1)</f>
        <v>-1</v>
      </c>
      <c r="C404" s="103" t="b">
        <f>IF(AND('AES Indiana Bill Calc.'!$D$17="SE",'AES Indiana Bill Calc.'!$D$18="Yes 100%",'AES Indiana Bill Calc.'!$D$20="Yes 2023"),'AES Indiana Bill Calc.'!$D$23)</f>
        <v>0</v>
      </c>
      <c r="D404" s="2">
        <f>ROUND(C404*D$329,0)</f>
        <v>0</v>
      </c>
      <c r="F404" s="36" t="s">
        <v>191</v>
      </c>
      <c r="G404" s="17">
        <f>SUM(J404:M404,O404:P404,R404:AA404)</f>
        <v>54.99</v>
      </c>
      <c r="H404" s="19" t="e">
        <f>IF(ISBLANK(B404),0,+#REF!/B404)</f>
        <v>#REF!</v>
      </c>
      <c r="I404" s="19"/>
      <c r="J404" s="16">
        <f>IF(ISBLANK(B404),0,+J$329)</f>
        <v>55</v>
      </c>
      <c r="K404" s="16">
        <f>ROUND(K403*K$329,2)</f>
        <v>0</v>
      </c>
      <c r="L404" s="16">
        <f>ROUND(L403*L$329,2)</f>
        <v>0</v>
      </c>
      <c r="M404" s="16">
        <f>ROUND(M403*M$329,2)</f>
        <v>0</v>
      </c>
      <c r="N404" s="16">
        <f>SUM(K404:M404)</f>
        <v>0</v>
      </c>
      <c r="O404" s="16"/>
      <c r="P404" s="16"/>
      <c r="Q404" s="16"/>
      <c r="R404" s="8"/>
      <c r="S404" s="17">
        <f>ROUND($B404*S$329*S403,2)</f>
        <v>0</v>
      </c>
      <c r="T404" s="17">
        <f>ROUND($B404*T$329,2)</f>
        <v>0</v>
      </c>
      <c r="U404" s="17">
        <f>ROUND($B404*U$329,2)</f>
        <v>0</v>
      </c>
      <c r="V404" s="17">
        <f>ROUND($B404*V$326,2)</f>
        <v>0</v>
      </c>
      <c r="W404" s="17">
        <f>ROUND($B404*W$329,2)</f>
        <v>0</v>
      </c>
      <c r="X404" s="17">
        <f>ROUND($B404*X$329,2)</f>
        <v>-0.01</v>
      </c>
      <c r="Y404" s="17">
        <f>ROUND($B404*Y$329,2)</f>
        <v>0</v>
      </c>
      <c r="Z404" s="17">
        <f>ROUND($B404*Z$329,2)</f>
        <v>0</v>
      </c>
      <c r="AA404" s="17">
        <f>ROUND($B404*AA$329,2)</f>
        <v>0</v>
      </c>
      <c r="AB404" s="19">
        <f>SUM(U399:AA399)</f>
        <v>0</v>
      </c>
      <c r="AC404" s="67" t="str">
        <f>+F404</f>
        <v>SE3</v>
      </c>
    </row>
    <row r="405" spans="1:29" x14ac:dyDescent="0.2">
      <c r="A405" s="9"/>
      <c r="B405" s="103">
        <v>-1</v>
      </c>
      <c r="C405" s="34"/>
      <c r="F405" s="12"/>
      <c r="G405" s="12"/>
      <c r="H405" s="12"/>
      <c r="I405" s="19"/>
      <c r="J405" s="12"/>
      <c r="K405" s="35">
        <f>IF(D406&gt;K$330,+K$330,D406)</f>
        <v>0</v>
      </c>
      <c r="L405" s="35">
        <f>IF(D406&gt;K405,+D406-K405,0)</f>
        <v>0</v>
      </c>
      <c r="M405" s="34">
        <f>IF(B406&gt;D406,+B406-D406,0)</f>
        <v>0</v>
      </c>
      <c r="N405" s="34"/>
      <c r="O405" s="34"/>
      <c r="P405" s="34"/>
      <c r="Q405" s="34"/>
      <c r="R405" s="12"/>
      <c r="S405" s="50">
        <v>0.5</v>
      </c>
      <c r="T405" s="12"/>
      <c r="U405" s="12"/>
      <c r="V405" s="12"/>
      <c r="W405" s="12"/>
      <c r="X405" s="12"/>
      <c r="Y405" s="12"/>
      <c r="Z405" s="12"/>
      <c r="AA405" s="12"/>
    </row>
    <row r="406" spans="1:29" x14ac:dyDescent="0.2">
      <c r="A406" s="1" t="s">
        <v>149</v>
      </c>
      <c r="B406" s="103">
        <f>IF(AND('AES Indiana Bill Calc.'!$D$17="SE",'AES Indiana Bill Calc.'!$D$18="Yes 50%",'AES Indiana Bill Calc.'!$D$20="Yes 2023"),'AES Indiana Bill Calc.'!$D$19,-1)</f>
        <v>-1</v>
      </c>
      <c r="C406" s="103" t="b">
        <f>IF(AND('AES Indiana Bill Calc.'!$D$17="SE",'AES Indiana Bill Calc.'!$D$18="Yes 50%",'AES Indiana Bill Calc.'!$D$20="Yes 2023"),'AES Indiana Bill Calc.'!$D$23)</f>
        <v>0</v>
      </c>
      <c r="D406" s="2">
        <f>ROUND(C406*D$329,0)</f>
        <v>0</v>
      </c>
      <c r="F406" s="36" t="s">
        <v>191</v>
      </c>
      <c r="G406" s="17">
        <f>SUM(J406:M406,O406:P406,R406:AA406)</f>
        <v>54.99</v>
      </c>
      <c r="H406" s="19" t="e">
        <f>IF(ISBLANK(B406),0,+#REF!/B406)</f>
        <v>#REF!</v>
      </c>
      <c r="I406" s="19"/>
      <c r="J406" s="16">
        <f>IF(ISBLANK(B406),0,+J$329)</f>
        <v>55</v>
      </c>
      <c r="K406" s="16">
        <f>ROUND(K405*K$329,2)</f>
        <v>0</v>
      </c>
      <c r="L406" s="16">
        <f>ROUND(L405*L$329,2)</f>
        <v>0</v>
      </c>
      <c r="M406" s="16">
        <f>ROUND(M405*M$329,2)</f>
        <v>0</v>
      </c>
      <c r="N406" s="16">
        <f>SUM(K406:M406)</f>
        <v>0</v>
      </c>
      <c r="O406" s="16"/>
      <c r="P406" s="16"/>
      <c r="Q406" s="16"/>
      <c r="R406" s="8"/>
      <c r="S406" s="17">
        <f>ROUND($B406*S$329*S405,2)</f>
        <v>0</v>
      </c>
      <c r="T406" s="17">
        <f>ROUND($B406*T$329,2)</f>
        <v>0</v>
      </c>
      <c r="U406" s="17">
        <f>ROUND($B406*U$329,2)</f>
        <v>0</v>
      </c>
      <c r="V406" s="17">
        <f>ROUND($B406*V$326,2)</f>
        <v>0</v>
      </c>
      <c r="W406" s="17">
        <f>ROUND($B406*W$329,2)</f>
        <v>0</v>
      </c>
      <c r="X406" s="17">
        <f>ROUND($B406*X$329,2)</f>
        <v>-0.01</v>
      </c>
      <c r="Y406" s="17">
        <f>ROUND($B406*Y$329,2)</f>
        <v>0</v>
      </c>
      <c r="Z406" s="17">
        <f>ROUND($B406*Z$329,2)</f>
        <v>0</v>
      </c>
      <c r="AA406" s="17">
        <f>ROUND($B406*AA$329,2)</f>
        <v>0</v>
      </c>
      <c r="AB406" s="19">
        <f>SUM(U401:AA401)</f>
        <v>0</v>
      </c>
      <c r="AC406" s="67" t="str">
        <f>+F406</f>
        <v>SE3</v>
      </c>
    </row>
    <row r="407" spans="1:29" x14ac:dyDescent="0.2">
      <c r="A407" s="9"/>
      <c r="B407" s="103">
        <v>-1</v>
      </c>
      <c r="C407" s="34"/>
      <c r="F407" s="12"/>
      <c r="G407" s="12"/>
      <c r="H407" s="12"/>
      <c r="I407" s="19"/>
      <c r="J407" s="12"/>
      <c r="K407" s="35">
        <f>IF(D408&gt;K$330,+K$330,D408)</f>
        <v>0</v>
      </c>
      <c r="L407" s="35">
        <f>IF(D408&gt;K407,+D408-K407,0)</f>
        <v>0</v>
      </c>
      <c r="M407" s="34">
        <f>IF(B408&gt;D408,+B408-D408,0)</f>
        <v>0</v>
      </c>
      <c r="N407" s="34"/>
      <c r="O407" s="34"/>
      <c r="P407" s="34"/>
      <c r="Q407" s="34"/>
      <c r="R407" s="12"/>
      <c r="S407" s="50">
        <v>0.25</v>
      </c>
      <c r="T407" s="12"/>
      <c r="U407" s="12"/>
      <c r="V407" s="12"/>
      <c r="W407" s="12"/>
      <c r="X407" s="12"/>
      <c r="Y407" s="12"/>
      <c r="Z407" s="12"/>
      <c r="AA407" s="12"/>
    </row>
    <row r="408" spans="1:29" x14ac:dyDescent="0.2">
      <c r="A408" s="1" t="s">
        <v>150</v>
      </c>
      <c r="B408" s="103">
        <f>IF(AND('AES Indiana Bill Calc.'!$D$17="SE",'AES Indiana Bill Calc.'!$D$18="Yes 25%",'AES Indiana Bill Calc.'!$D$20="Yes 2023"),'AES Indiana Bill Calc.'!$D$19,-1)</f>
        <v>-1</v>
      </c>
      <c r="C408" s="103" t="b">
        <f>IF(AND('AES Indiana Bill Calc.'!$D$17="SE",'AES Indiana Bill Calc.'!$D$18="Yes 25%",'AES Indiana Bill Calc.'!$D$20="Yes 2023"),'AES Indiana Bill Calc.'!$D$23)</f>
        <v>0</v>
      </c>
      <c r="D408" s="2">
        <f>ROUND(C408*D$329,0)</f>
        <v>0</v>
      </c>
      <c r="F408" s="36" t="s">
        <v>191</v>
      </c>
      <c r="G408" s="17">
        <f>SUM(J408:M408,O408:P408,R408:AA408)</f>
        <v>54.99</v>
      </c>
      <c r="H408" s="19" t="e">
        <f>IF(ISBLANK(B408),0,+#REF!/B408)</f>
        <v>#REF!</v>
      </c>
      <c r="I408" s="19"/>
      <c r="J408" s="16">
        <f>IF(ISBLANK(B408),0,+J$329)</f>
        <v>55</v>
      </c>
      <c r="K408" s="16">
        <f>ROUND(K407*K$329,2)</f>
        <v>0</v>
      </c>
      <c r="L408" s="16">
        <f>ROUND(L407*L$329,2)</f>
        <v>0</v>
      </c>
      <c r="M408" s="16">
        <f>ROUND(M407*M$329,2)</f>
        <v>0</v>
      </c>
      <c r="N408" s="16">
        <f>SUM(K408:M408)</f>
        <v>0</v>
      </c>
      <c r="O408" s="16"/>
      <c r="P408" s="16"/>
      <c r="Q408" s="16"/>
      <c r="R408" s="8"/>
      <c r="S408" s="17">
        <f>ROUND($B408*S$329*S407,2)</f>
        <v>0</v>
      </c>
      <c r="T408" s="17">
        <f>ROUND($B408*T$329,2)</f>
        <v>0</v>
      </c>
      <c r="U408" s="17">
        <f>ROUND($B408*U$329,2)</f>
        <v>0</v>
      </c>
      <c r="V408" s="17">
        <f>ROUND($B408*V$326,2)</f>
        <v>0</v>
      </c>
      <c r="W408" s="17">
        <f>ROUND($B408*W$329,2)</f>
        <v>0</v>
      </c>
      <c r="X408" s="17">
        <f>ROUND($B408*X$329,2)</f>
        <v>-0.01</v>
      </c>
      <c r="Y408" s="17">
        <f>ROUND($B408*Y$329,2)</f>
        <v>0</v>
      </c>
      <c r="Z408" s="17">
        <f>ROUND($B408*Z$329,2)</f>
        <v>0</v>
      </c>
      <c r="AA408" s="17">
        <f>ROUND($B408*AA$329,2)</f>
        <v>0</v>
      </c>
      <c r="AB408" s="19">
        <f>SUM(U403:AA403)</f>
        <v>0</v>
      </c>
      <c r="AC408" s="67" t="str">
        <f>+F408</f>
        <v>SE3</v>
      </c>
    </row>
    <row r="409" spans="1:29" x14ac:dyDescent="0.2">
      <c r="A409" s="9"/>
      <c r="B409" s="103">
        <v>-1</v>
      </c>
      <c r="C409" s="34"/>
      <c r="F409" s="12"/>
      <c r="G409" s="12"/>
      <c r="H409" s="12"/>
      <c r="I409" s="19"/>
      <c r="J409" s="12"/>
      <c r="K409" s="35">
        <f>IF(D410&gt;K$330,+K$330,D410)</f>
        <v>0</v>
      </c>
      <c r="L409" s="35">
        <f>IF(D410&gt;K409,+D410-K409,0)</f>
        <v>0</v>
      </c>
      <c r="M409" s="34">
        <f>IF(B410&gt;D410,+B410-D410,0)</f>
        <v>0</v>
      </c>
      <c r="N409" s="34"/>
      <c r="O409" s="34"/>
      <c r="P409" s="34"/>
      <c r="Q409" s="34"/>
      <c r="R409" s="12"/>
      <c r="S409" s="50">
        <v>0.1</v>
      </c>
      <c r="T409" s="12"/>
      <c r="U409" s="12"/>
      <c r="V409" s="12"/>
      <c r="W409" s="12"/>
      <c r="X409" s="12"/>
      <c r="Y409" s="12"/>
      <c r="Z409" s="12"/>
      <c r="AA409" s="12"/>
    </row>
    <row r="410" spans="1:29" x14ac:dyDescent="0.2">
      <c r="A410" s="1" t="s">
        <v>164</v>
      </c>
      <c r="B410" s="103">
        <f>IF(AND('AES Indiana Bill Calc.'!$D$17="SE",'AES Indiana Bill Calc.'!$D$18="Yes 10%",'AES Indiana Bill Calc.'!$D$20="Yes 2023"),'AES Indiana Bill Calc.'!$D$19,-1)</f>
        <v>-1</v>
      </c>
      <c r="C410" s="103" t="b">
        <f>IF(AND('AES Indiana Bill Calc.'!$D$17="SE",'AES Indiana Bill Calc.'!$D$18="Yes 10%",'AES Indiana Bill Calc.'!$D$20="Yes 2023"),'AES Indiana Bill Calc.'!$D$23)</f>
        <v>0</v>
      </c>
      <c r="D410" s="2">
        <f>ROUND(C410*D$329,0)</f>
        <v>0</v>
      </c>
      <c r="F410" s="36" t="s">
        <v>191</v>
      </c>
      <c r="G410" s="17">
        <f>SUM(J410:M410,O410:P410,R410:AA410)</f>
        <v>54.99</v>
      </c>
      <c r="H410" s="19" t="e">
        <f>IF(ISBLANK(B410),0,+#REF!/B410)</f>
        <v>#REF!</v>
      </c>
      <c r="I410" s="19"/>
      <c r="J410" s="16">
        <f>IF(ISBLANK(B410),0,+J$329)</f>
        <v>55</v>
      </c>
      <c r="K410" s="16">
        <f>ROUND(K409*K$329,2)</f>
        <v>0</v>
      </c>
      <c r="L410" s="16">
        <f>ROUND(L409*L$329,2)</f>
        <v>0</v>
      </c>
      <c r="M410" s="16">
        <f>ROUND(M409*M$329,2)</f>
        <v>0</v>
      </c>
      <c r="N410" s="16">
        <f>SUM(K410:M410)</f>
        <v>0</v>
      </c>
      <c r="O410" s="16"/>
      <c r="P410" s="16"/>
      <c r="Q410" s="16"/>
      <c r="R410" s="8"/>
      <c r="S410" s="17">
        <f>ROUND($B410*S$329*S409,2)</f>
        <v>0</v>
      </c>
      <c r="T410" s="17">
        <f>ROUND($B410*T$329,2)</f>
        <v>0</v>
      </c>
      <c r="U410" s="17">
        <f>ROUND($B410*U$329,2)</f>
        <v>0</v>
      </c>
      <c r="V410" s="17">
        <f>ROUND($B410*V$326,2)</f>
        <v>0</v>
      </c>
      <c r="W410" s="17">
        <f>ROUND($B410*W$329,2)</f>
        <v>0</v>
      </c>
      <c r="X410" s="17">
        <f>ROUND($B410*X$329,2)</f>
        <v>-0.01</v>
      </c>
      <c r="Y410" s="17">
        <f>ROUND($B410*Y$329,2)</f>
        <v>0</v>
      </c>
      <c r="Z410" s="17">
        <f>ROUND($B410*Z$329,2)</f>
        <v>0</v>
      </c>
      <c r="AA410" s="17">
        <f>ROUND($B410*AA$329,2)</f>
        <v>0</v>
      </c>
      <c r="AB410" s="19">
        <f>SUM(U405:AA405)</f>
        <v>0</v>
      </c>
      <c r="AC410" s="67" t="str">
        <f>+F410</f>
        <v>SE3</v>
      </c>
    </row>
    <row r="411" spans="1:29" x14ac:dyDescent="0.2">
      <c r="A411" s="9"/>
      <c r="B411" s="103">
        <v>-1</v>
      </c>
      <c r="C411" s="34"/>
      <c r="F411" s="12"/>
      <c r="G411" s="12"/>
      <c r="H411" s="12"/>
      <c r="I411" s="19"/>
      <c r="J411" s="12"/>
      <c r="K411" s="35">
        <f>IF(D412&gt;K$330,+K$330,D412)</f>
        <v>0</v>
      </c>
      <c r="L411" s="35">
        <f>IF(D412&gt;K411,+D412-K411,0)</f>
        <v>0</v>
      </c>
      <c r="M411" s="34">
        <f>IF(B412&gt;D412,+B412-D412,0)</f>
        <v>0</v>
      </c>
      <c r="N411" s="34"/>
      <c r="O411" s="34"/>
      <c r="P411" s="34"/>
      <c r="Q411" s="34"/>
      <c r="R411" s="12"/>
      <c r="S411" s="50">
        <v>0</v>
      </c>
      <c r="T411" s="12"/>
      <c r="U411" s="12"/>
      <c r="V411" s="12"/>
      <c r="W411" s="12"/>
      <c r="X411" s="12"/>
      <c r="Y411" s="12"/>
      <c r="Z411" s="12"/>
      <c r="AA411" s="12"/>
    </row>
    <row r="412" spans="1:29" x14ac:dyDescent="0.2">
      <c r="A412" s="1" t="s">
        <v>147</v>
      </c>
      <c r="B412" s="103">
        <f>IF(AND('AES Indiana Bill Calc.'!$D$17="SE",'AES Indiana Bill Calc.'!$D$18="No",'AES Indiana Bill Calc.'!$D$20="Yes 2023"),'AES Indiana Bill Calc.'!$D$19,-1)</f>
        <v>-1</v>
      </c>
      <c r="C412" s="103" t="b">
        <f>IF(AND('AES Indiana Bill Calc.'!$D$17="SE",'AES Indiana Bill Calc.'!$D$18="No",'AES Indiana Bill Calc.'!$D$20="Yes 2023"),'AES Indiana Bill Calc.'!$D$23)</f>
        <v>0</v>
      </c>
      <c r="D412" s="2">
        <f>ROUND(C412*D$329,0)</f>
        <v>0</v>
      </c>
      <c r="F412" s="36" t="s">
        <v>191</v>
      </c>
      <c r="G412" s="17">
        <f>SUM(J412:M412,O412:P412,R412:AA412)</f>
        <v>54.99</v>
      </c>
      <c r="H412" s="19" t="e">
        <f>IF(ISBLANK(B412),0,+#REF!/B412)</f>
        <v>#REF!</v>
      </c>
      <c r="I412" s="19"/>
      <c r="J412" s="16">
        <f>IF(ISBLANK(B412),0,+J$329)</f>
        <v>55</v>
      </c>
      <c r="K412" s="16">
        <f>ROUND(K411*K$329,2)</f>
        <v>0</v>
      </c>
      <c r="L412" s="16">
        <f>ROUND(L411*L$329,2)</f>
        <v>0</v>
      </c>
      <c r="M412" s="16">
        <f>ROUND(M411*M$329,2)</f>
        <v>0</v>
      </c>
      <c r="N412" s="16">
        <f>SUM(K412:M412)</f>
        <v>0</v>
      </c>
      <c r="O412" s="16"/>
      <c r="P412" s="16"/>
      <c r="Q412" s="16"/>
      <c r="R412" s="8"/>
      <c r="S412" s="17">
        <f>ROUND($B412*S$329*S411,2)</f>
        <v>0</v>
      </c>
      <c r="T412" s="17">
        <f>ROUND($B412*T$329,2)</f>
        <v>0</v>
      </c>
      <c r="U412" s="17">
        <f>ROUND($B412*U$329,2)</f>
        <v>0</v>
      </c>
      <c r="V412" s="17">
        <f>ROUND($B412*V$326,2)</f>
        <v>0</v>
      </c>
      <c r="W412" s="17">
        <f>ROUND($B412*W$329,2)</f>
        <v>0</v>
      </c>
      <c r="X412" s="17">
        <f>ROUND($B412*X$329,2)</f>
        <v>-0.01</v>
      </c>
      <c r="Y412" s="17">
        <f>ROUND($B412*Y$329,2)</f>
        <v>0</v>
      </c>
      <c r="Z412" s="17">
        <f>ROUND($B412*Z$329,2)</f>
        <v>0</v>
      </c>
      <c r="AA412" s="17">
        <f>ROUND($B412*AA$329,2)</f>
        <v>0</v>
      </c>
      <c r="AB412" s="19">
        <f>SUM(U407:AA407)</f>
        <v>0</v>
      </c>
      <c r="AC412" s="67" t="str">
        <f>+F412</f>
        <v>SE3</v>
      </c>
    </row>
    <row r="413" spans="1:29" x14ac:dyDescent="0.2">
      <c r="A413" s="9"/>
      <c r="B413" s="103">
        <v>-1</v>
      </c>
      <c r="C413" s="34"/>
      <c r="F413" s="12"/>
      <c r="G413" s="12"/>
      <c r="H413" s="12"/>
      <c r="I413" s="19"/>
      <c r="J413" s="12"/>
      <c r="K413" s="35">
        <f>IF(D414&gt;K$330,+K$330,D414)</f>
        <v>0</v>
      </c>
      <c r="L413" s="35">
        <f>IF(D414&gt;K413,+D414-K413,0)</f>
        <v>0</v>
      </c>
      <c r="M413" s="34">
        <f>IF(B414&gt;D414,+B414-D414,0)</f>
        <v>0</v>
      </c>
      <c r="N413" s="34"/>
      <c r="O413" s="34"/>
      <c r="P413" s="34"/>
      <c r="Q413" s="34"/>
      <c r="R413" s="12"/>
      <c r="S413" s="50">
        <v>0.5</v>
      </c>
      <c r="T413" s="12"/>
      <c r="U413" s="12"/>
      <c r="V413" s="12"/>
      <c r="W413" s="12"/>
      <c r="X413" s="12"/>
      <c r="Y413" s="12"/>
      <c r="Z413" s="12"/>
      <c r="AA413" s="12"/>
    </row>
    <row r="414" spans="1:29" x14ac:dyDescent="0.2">
      <c r="A414" s="1" t="s">
        <v>148</v>
      </c>
      <c r="B414" s="103">
        <f>IF(AND('AES Indiana Bill Calc.'!$D$17="SE",'AES Indiana Bill Calc.'!$D$18="Yes 100%",'AES Indiana Bill Calc.'!$D$20="Yes 2024"),'AES Indiana Bill Calc.'!$D$19,-1)</f>
        <v>-1</v>
      </c>
      <c r="C414" s="103" t="b">
        <f>IF(AND('AES Indiana Bill Calc.'!$D$17="SE",'AES Indiana Bill Calc.'!$D$18="Yes 100%",'AES Indiana Bill Calc.'!$D$20="Yes 2024"),'AES Indiana Bill Calc.'!$D$23)</f>
        <v>0</v>
      </c>
      <c r="D414" s="2">
        <f>ROUND(C414*D$329,0)</f>
        <v>0</v>
      </c>
      <c r="F414" s="36" t="s">
        <v>302</v>
      </c>
      <c r="G414" s="17">
        <f>SUM(J414:M414,O414:P414,R414:AA414)</f>
        <v>54.99</v>
      </c>
      <c r="H414" s="19" t="e">
        <f>IF(ISBLANK(B414),0,+#REF!/B414)</f>
        <v>#REF!</v>
      </c>
      <c r="I414" s="19"/>
      <c r="J414" s="16">
        <f>IF(ISBLANK(B414),0,+J$329)</f>
        <v>55</v>
      </c>
      <c r="K414" s="16">
        <f>ROUND(K413*K$329,2)</f>
        <v>0</v>
      </c>
      <c r="L414" s="16">
        <f>ROUND(L413*L$329,2)</f>
        <v>0</v>
      </c>
      <c r="M414" s="16">
        <f>ROUND(M413*M$329,2)</f>
        <v>0</v>
      </c>
      <c r="N414" s="16">
        <f>SUM(K414:M414)</f>
        <v>0</v>
      </c>
      <c r="O414" s="16"/>
      <c r="P414" s="16"/>
      <c r="Q414" s="16"/>
      <c r="R414" s="8"/>
      <c r="S414" s="17">
        <f>ROUND($B414*S$329*S413,2)</f>
        <v>0</v>
      </c>
      <c r="T414" s="17">
        <f>ROUND($B414*T$329,2)</f>
        <v>0</v>
      </c>
      <c r="U414" s="17">
        <f>ROUND($B414*U$329,2)</f>
        <v>0</v>
      </c>
      <c r="V414" s="17">
        <f>ROUND($B414*V$327,2)</f>
        <v>0</v>
      </c>
      <c r="W414" s="17">
        <f>ROUND($B414*W$329,2)</f>
        <v>0</v>
      </c>
      <c r="X414" s="17">
        <f>ROUND($B414*X$329,2)</f>
        <v>-0.01</v>
      </c>
      <c r="Y414" s="17">
        <f>ROUND($B414*Y$329,2)</f>
        <v>0</v>
      </c>
      <c r="Z414" s="17">
        <f>ROUND($B414*Z$329,2)</f>
        <v>0</v>
      </c>
      <c r="AA414" s="17">
        <f>ROUND($B414*AA$329,2)</f>
        <v>0</v>
      </c>
      <c r="AB414" s="19">
        <f>SUM(U409:AA409)</f>
        <v>0</v>
      </c>
      <c r="AC414" s="67" t="str">
        <f>+F414</f>
        <v>SE4</v>
      </c>
    </row>
    <row r="415" spans="1:29" x14ac:dyDescent="0.2">
      <c r="A415" s="9"/>
      <c r="B415" s="103">
        <v>-1</v>
      </c>
      <c r="C415" s="34"/>
      <c r="F415" s="12"/>
      <c r="G415" s="12"/>
      <c r="H415" s="12"/>
      <c r="I415" s="19"/>
      <c r="J415" s="12"/>
      <c r="K415" s="35">
        <f>IF(D416&gt;K$330,+K$330,D416)</f>
        <v>0</v>
      </c>
      <c r="L415" s="35">
        <f>IF(D416&gt;K415,+D416-K415,0)</f>
        <v>0</v>
      </c>
      <c r="M415" s="34">
        <f>IF(B416&gt;D416,+B416-D416,0)</f>
        <v>0</v>
      </c>
      <c r="N415" s="34"/>
      <c r="O415" s="34"/>
      <c r="P415" s="34"/>
      <c r="Q415" s="34"/>
      <c r="R415" s="12"/>
      <c r="S415" s="50">
        <v>0.5</v>
      </c>
      <c r="T415" s="12"/>
      <c r="U415" s="12"/>
      <c r="V415" s="12"/>
      <c r="W415" s="12"/>
      <c r="X415" s="12"/>
      <c r="Y415" s="12"/>
      <c r="Z415" s="12"/>
      <c r="AA415" s="12"/>
    </row>
    <row r="416" spans="1:29" x14ac:dyDescent="0.2">
      <c r="A416" s="1" t="s">
        <v>149</v>
      </c>
      <c r="B416" s="103">
        <f>IF(AND('AES Indiana Bill Calc.'!$D$17="SE",'AES Indiana Bill Calc.'!$D$18="Yes 50%",'AES Indiana Bill Calc.'!$D$20="Yes 2024"),'AES Indiana Bill Calc.'!$D$19,-1)</f>
        <v>-1</v>
      </c>
      <c r="C416" s="103" t="b">
        <f>IF(AND('AES Indiana Bill Calc.'!$D$17="SE",'AES Indiana Bill Calc.'!$D$18="Yes 50%",'AES Indiana Bill Calc.'!$D$20="Yes 2024"),'AES Indiana Bill Calc.'!$D$23)</f>
        <v>0</v>
      </c>
      <c r="D416" s="2">
        <f>ROUND(C416*D$329,0)</f>
        <v>0</v>
      </c>
      <c r="F416" s="36" t="s">
        <v>302</v>
      </c>
      <c r="G416" s="17">
        <f>SUM(J416:M416,O416:P416,R416:AA416)</f>
        <v>54.99</v>
      </c>
      <c r="H416" s="19" t="e">
        <f>IF(ISBLANK(B416),0,+#REF!/B416)</f>
        <v>#REF!</v>
      </c>
      <c r="I416" s="19"/>
      <c r="J416" s="16">
        <f>IF(ISBLANK(B416),0,+J$329)</f>
        <v>55</v>
      </c>
      <c r="K416" s="16">
        <f>ROUND(K415*K$329,2)</f>
        <v>0</v>
      </c>
      <c r="L416" s="16">
        <f>ROUND(L415*L$329,2)</f>
        <v>0</v>
      </c>
      <c r="M416" s="16">
        <f>ROUND(M415*M$329,2)</f>
        <v>0</v>
      </c>
      <c r="N416" s="16">
        <f>SUM(K416:M416)</f>
        <v>0</v>
      </c>
      <c r="O416" s="16"/>
      <c r="P416" s="16"/>
      <c r="Q416" s="16"/>
      <c r="R416" s="8"/>
      <c r="S416" s="17">
        <f>ROUND($B416*S$329*S415,2)</f>
        <v>0</v>
      </c>
      <c r="T416" s="17">
        <f>ROUND($B416*T$329,2)</f>
        <v>0</v>
      </c>
      <c r="U416" s="17">
        <f>ROUND($B416*U$329,2)</f>
        <v>0</v>
      </c>
      <c r="V416" s="17">
        <f>ROUND($B416*V$327,2)</f>
        <v>0</v>
      </c>
      <c r="W416" s="17">
        <f>ROUND($B416*W$329,2)</f>
        <v>0</v>
      </c>
      <c r="X416" s="17">
        <f>ROUND($B416*X$329,2)</f>
        <v>-0.01</v>
      </c>
      <c r="Y416" s="17">
        <f>ROUND($B416*Y$329,2)</f>
        <v>0</v>
      </c>
      <c r="Z416" s="17">
        <f>ROUND($B416*Z$329,2)</f>
        <v>0</v>
      </c>
      <c r="AA416" s="17">
        <f>ROUND($B416*AA$329,2)</f>
        <v>0</v>
      </c>
      <c r="AB416" s="19">
        <f>SUM(U411:AA411)</f>
        <v>0</v>
      </c>
      <c r="AC416" s="67" t="str">
        <f>+F416</f>
        <v>SE4</v>
      </c>
    </row>
    <row r="417" spans="1:29" x14ac:dyDescent="0.2">
      <c r="B417" s="103">
        <v>-1</v>
      </c>
      <c r="C417" s="34"/>
      <c r="F417" s="12"/>
      <c r="G417" s="12"/>
      <c r="H417" s="12"/>
      <c r="I417" s="19"/>
      <c r="J417" s="12"/>
      <c r="K417" s="35">
        <f>IF(D418&gt;K$330,+K$330,D418)</f>
        <v>0</v>
      </c>
      <c r="L417" s="35">
        <f>IF(D418&gt;K417,+D418-K417,0)</f>
        <v>0</v>
      </c>
      <c r="M417" s="34">
        <f>IF(B418&gt;D418,+B418-D418,0)</f>
        <v>0</v>
      </c>
      <c r="N417" s="34"/>
      <c r="O417" s="34"/>
      <c r="P417" s="34"/>
      <c r="Q417" s="34"/>
      <c r="R417" s="12"/>
      <c r="S417" s="50">
        <v>1</v>
      </c>
      <c r="T417" s="12"/>
      <c r="U417" s="12"/>
      <c r="V417" s="12"/>
      <c r="W417" s="12"/>
      <c r="X417" s="12"/>
      <c r="Y417" s="12"/>
      <c r="Z417" s="12"/>
      <c r="AA417" s="12"/>
    </row>
    <row r="418" spans="1:29" x14ac:dyDescent="0.2">
      <c r="A418" s="1" t="s">
        <v>150</v>
      </c>
      <c r="B418" s="103">
        <f>IF(AND('AES Indiana Bill Calc.'!$D$17="SE",'AES Indiana Bill Calc.'!$D$18="Yes 25%",'AES Indiana Bill Calc.'!$D$20="Yes 2024"),'AES Indiana Bill Calc.'!$D$19,-1)</f>
        <v>-1</v>
      </c>
      <c r="C418" s="103" t="b">
        <f>IF(AND('AES Indiana Bill Calc.'!$D$17="SE",'AES Indiana Bill Calc.'!$D$18="Yes 25%",'AES Indiana Bill Calc.'!$D$20="Yes 2024"),'AES Indiana Bill Calc.'!$D$23)</f>
        <v>0</v>
      </c>
      <c r="D418" s="2">
        <f>ROUND(C418*D$329,0)</f>
        <v>0</v>
      </c>
      <c r="F418" s="36" t="s">
        <v>302</v>
      </c>
      <c r="G418" s="17">
        <f>SUM(J418:M418,O418:P418,R418:AA418)</f>
        <v>54.99</v>
      </c>
      <c r="H418" s="19" t="e">
        <f>IF(ISBLANK(B418),0,+#REF!/B418)</f>
        <v>#REF!</v>
      </c>
      <c r="I418" s="19"/>
      <c r="J418" s="16">
        <f>IF(ISBLANK(B418),0,+J$329)</f>
        <v>55</v>
      </c>
      <c r="K418" s="16">
        <f>ROUND(K417*K$329,2)</f>
        <v>0</v>
      </c>
      <c r="L418" s="16">
        <f>ROUND(L417*L$329,2)</f>
        <v>0</v>
      </c>
      <c r="M418" s="16">
        <f>ROUND(M417*M$329,2)</f>
        <v>0</v>
      </c>
      <c r="N418" s="16">
        <f>SUM(K418:M418)</f>
        <v>0</v>
      </c>
      <c r="O418" s="16"/>
      <c r="P418" s="16"/>
      <c r="Q418" s="16"/>
      <c r="R418" s="8"/>
      <c r="S418" s="17">
        <f>ROUND($B418*S$329*S417,2)</f>
        <v>0</v>
      </c>
      <c r="T418" s="17">
        <f>ROUND($B418*T$329,2)</f>
        <v>0</v>
      </c>
      <c r="U418" s="17">
        <f>ROUND($B418*U$329,2)</f>
        <v>0</v>
      </c>
      <c r="V418" s="17">
        <f>ROUND($B418*V$327,2)</f>
        <v>0</v>
      </c>
      <c r="W418" s="17">
        <f>ROUND($B418*W$329,2)</f>
        <v>0</v>
      </c>
      <c r="X418" s="17">
        <f>ROUND($B418*X$329,2)</f>
        <v>-0.01</v>
      </c>
      <c r="Y418" s="17">
        <f>ROUND($B418*Y$329,2)</f>
        <v>0</v>
      </c>
      <c r="Z418" s="17">
        <f>ROUND($B418*Z$329,2)</f>
        <v>0</v>
      </c>
      <c r="AA418" s="17">
        <f>ROUND($B418*AA$329,2)</f>
        <v>0</v>
      </c>
      <c r="AB418" s="19">
        <f>SUM(U413:AA413)</f>
        <v>0</v>
      </c>
      <c r="AC418" s="67" t="str">
        <f>+F418</f>
        <v>SE4</v>
      </c>
    </row>
    <row r="419" spans="1:29" x14ac:dyDescent="0.2">
      <c r="A419" s="9"/>
      <c r="B419" s="103">
        <v>-1</v>
      </c>
      <c r="C419" s="34"/>
      <c r="F419" s="12"/>
      <c r="G419" s="12"/>
      <c r="H419" s="12"/>
      <c r="I419" s="19"/>
      <c r="J419" s="12"/>
      <c r="K419" s="35">
        <f>IF(D420&gt;K$330,+K$330,D420)</f>
        <v>0</v>
      </c>
      <c r="L419" s="35">
        <f>IF(D420&gt;K419,+D420-K419,0)</f>
        <v>0</v>
      </c>
      <c r="M419" s="34">
        <f>IF(B420&gt;D420,+B420-D420,0)</f>
        <v>0</v>
      </c>
      <c r="N419" s="34"/>
      <c r="O419" s="34"/>
      <c r="P419" s="34"/>
      <c r="Q419" s="34"/>
      <c r="R419" s="12"/>
      <c r="S419" s="50">
        <v>0.5</v>
      </c>
      <c r="T419" s="12"/>
      <c r="U419" s="12"/>
      <c r="V419" s="12"/>
      <c r="W419" s="12"/>
      <c r="X419" s="12"/>
      <c r="Y419" s="12"/>
      <c r="Z419" s="12"/>
      <c r="AA419" s="12"/>
    </row>
    <row r="420" spans="1:29" x14ac:dyDescent="0.2">
      <c r="A420" s="1" t="s">
        <v>164</v>
      </c>
      <c r="B420" s="103">
        <f>IF(AND('AES Indiana Bill Calc.'!$D$17="SE",'AES Indiana Bill Calc.'!$D$18="Yes 10%",'AES Indiana Bill Calc.'!$D$20="Yes 2024"),'AES Indiana Bill Calc.'!$D$19,-1)</f>
        <v>-1</v>
      </c>
      <c r="C420" s="103" t="b">
        <f>IF(AND('AES Indiana Bill Calc.'!$D$17="SE",'AES Indiana Bill Calc.'!$D$18="Yes 10%",'AES Indiana Bill Calc.'!$D$20="Yes 2024"),'AES Indiana Bill Calc.'!$D$23)</f>
        <v>0</v>
      </c>
      <c r="D420" s="2">
        <f>ROUND(C420*D$329,0)</f>
        <v>0</v>
      </c>
      <c r="F420" s="36" t="s">
        <v>302</v>
      </c>
      <c r="G420" s="17">
        <f>SUM(J420:M420,O420:P420,R420:AA420)</f>
        <v>54.99</v>
      </c>
      <c r="H420" s="19" t="e">
        <f>IF(ISBLANK(B420),0,+#REF!/B420)</f>
        <v>#REF!</v>
      </c>
      <c r="I420" s="19"/>
      <c r="J420" s="16">
        <f>IF(ISBLANK(B420),0,+J$329)</f>
        <v>55</v>
      </c>
      <c r="K420" s="16">
        <f>ROUND(K419*K$329,2)</f>
        <v>0</v>
      </c>
      <c r="L420" s="16">
        <f>ROUND(L419*L$329,2)</f>
        <v>0</v>
      </c>
      <c r="M420" s="16">
        <f>ROUND(M419*M$329,2)</f>
        <v>0</v>
      </c>
      <c r="N420" s="16">
        <f>SUM(K420:M420)</f>
        <v>0</v>
      </c>
      <c r="O420" s="16"/>
      <c r="P420" s="16"/>
      <c r="Q420" s="16"/>
      <c r="R420" s="8"/>
      <c r="S420" s="17">
        <f>ROUND($B420*S$329*S419,2)</f>
        <v>0</v>
      </c>
      <c r="T420" s="17">
        <f>ROUND($B420*T$329,2)</f>
        <v>0</v>
      </c>
      <c r="U420" s="17">
        <f>ROUND($B420*U$329,2)</f>
        <v>0</v>
      </c>
      <c r="V420" s="17">
        <f>ROUND($B420*V$327,2)</f>
        <v>0</v>
      </c>
      <c r="W420" s="17">
        <f>ROUND($B420*W$329,2)</f>
        <v>0</v>
      </c>
      <c r="X420" s="17">
        <f>ROUND($B420*X$329,2)</f>
        <v>-0.01</v>
      </c>
      <c r="Y420" s="17">
        <f>ROUND($B420*Y$329,2)</f>
        <v>0</v>
      </c>
      <c r="Z420" s="17">
        <f>ROUND($B420*Z$329,2)</f>
        <v>0</v>
      </c>
      <c r="AA420" s="17">
        <f>ROUND($B420*AA$329,2)</f>
        <v>0</v>
      </c>
      <c r="AB420" s="19">
        <f>SUM(U415:AA415)</f>
        <v>0</v>
      </c>
      <c r="AC420" s="67" t="str">
        <f>+F420</f>
        <v>SE4</v>
      </c>
    </row>
    <row r="421" spans="1:29" x14ac:dyDescent="0.2">
      <c r="A421" s="9"/>
      <c r="B421" s="103">
        <v>-1</v>
      </c>
      <c r="C421" s="34"/>
      <c r="F421" s="12"/>
      <c r="G421" s="12"/>
      <c r="H421" s="12"/>
      <c r="I421" s="19"/>
      <c r="J421" s="12"/>
      <c r="K421" s="35">
        <f>IF(D422&gt;K$330,+K$330,D422)</f>
        <v>0</v>
      </c>
      <c r="L421" s="35">
        <f>IF(D422&gt;K421,+D422-K421,0)</f>
        <v>0</v>
      </c>
      <c r="M421" s="34">
        <f>IF(B422&gt;D422,+B422-D422,0)</f>
        <v>0</v>
      </c>
      <c r="N421" s="34"/>
      <c r="O421" s="34"/>
      <c r="P421" s="34"/>
      <c r="Q421" s="34"/>
      <c r="R421" s="12"/>
      <c r="S421" s="50">
        <v>0.5</v>
      </c>
      <c r="T421" s="12"/>
      <c r="U421" s="12"/>
      <c r="V421" s="12"/>
      <c r="W421" s="12"/>
      <c r="X421" s="12"/>
      <c r="Y421" s="12"/>
      <c r="Z421" s="12"/>
      <c r="AA421" s="12"/>
    </row>
    <row r="422" spans="1:29" x14ac:dyDescent="0.2">
      <c r="A422" s="1" t="s">
        <v>147</v>
      </c>
      <c r="B422" s="103">
        <f>IF(AND('AES Indiana Bill Calc.'!$D$17="SE",'AES Indiana Bill Calc.'!$D$18="No",'AES Indiana Bill Calc.'!$D$20="Yes 2024"),'AES Indiana Bill Calc.'!$D$19,-1)</f>
        <v>-1</v>
      </c>
      <c r="C422" s="103" t="b">
        <f>IF(AND('AES Indiana Bill Calc.'!$D$17="SE",'AES Indiana Bill Calc.'!$D$18="No",'AES Indiana Bill Calc.'!$D$20="Yes 2024"),'AES Indiana Bill Calc.'!$D$23)</f>
        <v>0</v>
      </c>
      <c r="D422" s="2">
        <f>ROUND(C422*D$329,0)</f>
        <v>0</v>
      </c>
      <c r="F422" s="36" t="s">
        <v>302</v>
      </c>
      <c r="G422" s="17">
        <f>SUM(J422:M422,O422:P422,R422:AA422)</f>
        <v>54.99</v>
      </c>
      <c r="H422" s="19" t="e">
        <f>IF(ISBLANK(B422),0,+#REF!/B422)</f>
        <v>#REF!</v>
      </c>
      <c r="I422" s="19"/>
      <c r="J422" s="16">
        <f>IF(ISBLANK(B422),0,+J$329)</f>
        <v>55</v>
      </c>
      <c r="K422" s="16">
        <f>ROUND(K421*K$329,2)</f>
        <v>0</v>
      </c>
      <c r="L422" s="16">
        <f>ROUND(L421*L$329,2)</f>
        <v>0</v>
      </c>
      <c r="M422" s="16">
        <f>ROUND(M421*M$329,2)</f>
        <v>0</v>
      </c>
      <c r="N422" s="16">
        <f>SUM(K422:M422)</f>
        <v>0</v>
      </c>
      <c r="O422" s="16"/>
      <c r="P422" s="16"/>
      <c r="Q422" s="16"/>
      <c r="R422" s="8"/>
      <c r="S422" s="17">
        <f>ROUND($B422*S$329*S421,2)</f>
        <v>0</v>
      </c>
      <c r="T422" s="17">
        <f>ROUND($B422*T$329,2)</f>
        <v>0</v>
      </c>
      <c r="U422" s="17">
        <f>ROUND($B422*U$329,2)</f>
        <v>0</v>
      </c>
      <c r="V422" s="17">
        <f>ROUND($B422*V$327,2)</f>
        <v>0</v>
      </c>
      <c r="W422" s="17">
        <f>ROUND($B422*W$329,2)</f>
        <v>0</v>
      </c>
      <c r="X422" s="17">
        <f>ROUND($B422*X$329,2)</f>
        <v>-0.01</v>
      </c>
      <c r="Y422" s="17">
        <f>ROUND($B422*Y$329,2)</f>
        <v>0</v>
      </c>
      <c r="Z422" s="17">
        <f>ROUND($B422*Z$329,2)</f>
        <v>0</v>
      </c>
      <c r="AA422" s="17">
        <f>ROUND($B422*AA$329,2)</f>
        <v>0</v>
      </c>
      <c r="AB422" s="19">
        <f>SUM(U417:AA417)</f>
        <v>0</v>
      </c>
      <c r="AC422" s="67" t="str">
        <f>+F422</f>
        <v>SE4</v>
      </c>
    </row>
    <row r="423" spans="1:29" x14ac:dyDescent="0.2">
      <c r="B423" s="103">
        <v>-1</v>
      </c>
      <c r="C423" s="34"/>
      <c r="F423" s="12"/>
      <c r="G423" s="12"/>
      <c r="H423" s="12"/>
      <c r="I423" s="19"/>
      <c r="J423" s="12"/>
      <c r="K423" s="35">
        <f>IF(D424&gt;K$330,+K$330,D424)</f>
        <v>0</v>
      </c>
      <c r="L423" s="35">
        <f>IF(D424&gt;K423,+D424-K423,0)</f>
        <v>0</v>
      </c>
      <c r="M423" s="34">
        <f>IF(B424&gt;D424,+B424-D424,0)</f>
        <v>0</v>
      </c>
      <c r="N423" s="34"/>
      <c r="O423" s="34"/>
      <c r="P423" s="34"/>
      <c r="Q423" s="34"/>
      <c r="R423" s="12"/>
      <c r="S423" s="50">
        <v>1</v>
      </c>
      <c r="T423" s="12"/>
      <c r="U423" s="12"/>
      <c r="V423" s="12"/>
      <c r="W423" s="12"/>
      <c r="X423" s="12"/>
      <c r="Y423" s="12"/>
      <c r="Z423" s="12"/>
      <c r="AA423" s="12"/>
    </row>
    <row r="424" spans="1:29" x14ac:dyDescent="0.2">
      <c r="A424" s="1" t="s">
        <v>148</v>
      </c>
      <c r="B424" s="103">
        <f>IF(AND('AES Indiana Bill Calc.'!$D$17="SE",'AES Indiana Bill Calc.'!$D$18="Yes 100%",'AES Indiana Bill Calc.'!$D$20="Yes 2025"),'AES Indiana Bill Calc.'!$D$19,-1)</f>
        <v>-1</v>
      </c>
      <c r="C424" s="103" t="b">
        <f>IF(AND('AES Indiana Bill Calc.'!$D$17="SE",'AES Indiana Bill Calc.'!$D$18="Yes 100%",'AES Indiana Bill Calc.'!$D$20="Yes 2025"),'AES Indiana Bill Calc.'!$D$23)</f>
        <v>0</v>
      </c>
      <c r="D424" s="2">
        <f>ROUND(C424*D$329,0)</f>
        <v>0</v>
      </c>
      <c r="F424" s="36" t="s">
        <v>328</v>
      </c>
      <c r="G424" s="17">
        <f>SUM(J424:M424,O424:P424,R424:AA424)</f>
        <v>54.99</v>
      </c>
      <c r="H424" s="19" t="e">
        <f>IF(ISBLANK(B424),0,+#REF!/B424)</f>
        <v>#REF!</v>
      </c>
      <c r="I424" s="19"/>
      <c r="J424" s="16">
        <f>IF(ISBLANK(B424),0,+J$329)</f>
        <v>55</v>
      </c>
      <c r="K424" s="16">
        <f>ROUND(K423*K$329,2)</f>
        <v>0</v>
      </c>
      <c r="L424" s="16">
        <f>ROUND(L423*L$329,2)</f>
        <v>0</v>
      </c>
      <c r="M424" s="16">
        <f>ROUND(M423*M$329,2)</f>
        <v>0</v>
      </c>
      <c r="N424" s="16">
        <f>SUM(K424:M424)</f>
        <v>0</v>
      </c>
      <c r="O424" s="16"/>
      <c r="P424" s="16"/>
      <c r="Q424" s="16"/>
      <c r="R424" s="8"/>
      <c r="S424" s="17">
        <f>ROUND($B424*S$329*S423,2)</f>
        <v>0</v>
      </c>
      <c r="T424" s="17">
        <f>ROUND($B424*T$329,2)</f>
        <v>0</v>
      </c>
      <c r="U424" s="17">
        <f>ROUND($B424*U$329,2)</f>
        <v>0</v>
      </c>
      <c r="V424" s="17">
        <f>ROUND($B424*V$328,2)</f>
        <v>0</v>
      </c>
      <c r="W424" s="17">
        <f>ROUND($B424*W$329,2)</f>
        <v>0</v>
      </c>
      <c r="X424" s="17">
        <f>ROUND($B424*X$329,2)</f>
        <v>-0.01</v>
      </c>
      <c r="Y424" s="17">
        <f>ROUND($B424*Y$329,2)</f>
        <v>0</v>
      </c>
      <c r="Z424" s="17">
        <f>ROUND($B424*Z$329,2)</f>
        <v>0</v>
      </c>
      <c r="AA424" s="17">
        <f>ROUND($B424*AA$329,2)</f>
        <v>0</v>
      </c>
      <c r="AB424" s="19">
        <f>SUM(U419:AA419)</f>
        <v>0</v>
      </c>
      <c r="AC424" s="67" t="str">
        <f>+F424</f>
        <v>SE5</v>
      </c>
    </row>
    <row r="425" spans="1:29" x14ac:dyDescent="0.2">
      <c r="A425" s="9"/>
      <c r="B425" s="103">
        <v>-1</v>
      </c>
      <c r="C425" s="34"/>
      <c r="F425" s="12"/>
      <c r="G425" s="12"/>
      <c r="H425" s="12"/>
      <c r="I425" s="19"/>
      <c r="J425" s="12"/>
      <c r="K425" s="35">
        <f>IF(D426&gt;K$330,+K$330,D426)</f>
        <v>0</v>
      </c>
      <c r="L425" s="35">
        <f>IF(D426&gt;K425,+D426-K425,0)</f>
        <v>0</v>
      </c>
      <c r="M425" s="34">
        <f>IF(B426&gt;D426,+B426-D426,0)</f>
        <v>0</v>
      </c>
      <c r="N425" s="34"/>
      <c r="O425" s="34"/>
      <c r="P425" s="34"/>
      <c r="Q425" s="34"/>
      <c r="R425" s="12"/>
      <c r="S425" s="50">
        <v>0.5</v>
      </c>
      <c r="T425" s="12"/>
      <c r="U425" s="12"/>
      <c r="V425" s="12"/>
      <c r="W425" s="12"/>
      <c r="X425" s="12"/>
      <c r="Y425" s="12"/>
      <c r="Z425" s="12"/>
      <c r="AA425" s="12"/>
    </row>
    <row r="426" spans="1:29" x14ac:dyDescent="0.2">
      <c r="A426" s="1" t="s">
        <v>149</v>
      </c>
      <c r="B426" s="103">
        <f>IF(AND('AES Indiana Bill Calc.'!$D$17="SE",'AES Indiana Bill Calc.'!$D$18="Yes 50%",'AES Indiana Bill Calc.'!$D$20="Yes 2025"),'AES Indiana Bill Calc.'!$D$19,-1)</f>
        <v>-1</v>
      </c>
      <c r="C426" s="103" t="b">
        <f>IF(AND('AES Indiana Bill Calc.'!$D$17="SE",'AES Indiana Bill Calc.'!$D$18="Yes 50%",'AES Indiana Bill Calc.'!$D$20="Yes 2025"),'AES Indiana Bill Calc.'!$D$23)</f>
        <v>0</v>
      </c>
      <c r="D426" s="2">
        <f>ROUND(C426*D$329,0)</f>
        <v>0</v>
      </c>
      <c r="F426" s="36" t="s">
        <v>328</v>
      </c>
      <c r="G426" s="17">
        <f>SUM(J426:M426,O426:P426,R426:AA426)</f>
        <v>54.99</v>
      </c>
      <c r="H426" s="19" t="e">
        <f>IF(ISBLANK(B426),0,+#REF!/B426)</f>
        <v>#REF!</v>
      </c>
      <c r="I426" s="19"/>
      <c r="J426" s="16">
        <f>IF(ISBLANK(B426),0,+J$329)</f>
        <v>55</v>
      </c>
      <c r="K426" s="16">
        <f>ROUND(K425*K$329,2)</f>
        <v>0</v>
      </c>
      <c r="L426" s="16">
        <f>ROUND(L425*L$329,2)</f>
        <v>0</v>
      </c>
      <c r="M426" s="16">
        <f>ROUND(M425*M$329,2)</f>
        <v>0</v>
      </c>
      <c r="N426" s="16">
        <f>SUM(K426:M426)</f>
        <v>0</v>
      </c>
      <c r="O426" s="16"/>
      <c r="P426" s="16"/>
      <c r="Q426" s="16"/>
      <c r="R426" s="8"/>
      <c r="S426" s="17">
        <f>ROUND($B426*S$329*S425,2)</f>
        <v>0</v>
      </c>
      <c r="T426" s="17">
        <f>ROUND($B426*T$329,2)</f>
        <v>0</v>
      </c>
      <c r="U426" s="17">
        <f>ROUND($B426*U$329,2)</f>
        <v>0</v>
      </c>
      <c r="V426" s="17">
        <f>ROUND($B426*V$328,2)</f>
        <v>0</v>
      </c>
      <c r="W426" s="17">
        <f>ROUND($B426*W$329,2)</f>
        <v>0</v>
      </c>
      <c r="X426" s="17">
        <f>ROUND($B426*X$329,2)</f>
        <v>-0.01</v>
      </c>
      <c r="Y426" s="17">
        <f>ROUND($B426*Y$329,2)</f>
        <v>0</v>
      </c>
      <c r="Z426" s="17">
        <f>ROUND($B426*Z$329,2)</f>
        <v>0</v>
      </c>
      <c r="AA426" s="17">
        <f>ROUND($B426*AA$329,2)</f>
        <v>0</v>
      </c>
      <c r="AB426" s="19">
        <f>SUM(U421:AA421)</f>
        <v>0</v>
      </c>
      <c r="AC426" s="67" t="str">
        <f>+F426</f>
        <v>SE5</v>
      </c>
    </row>
    <row r="427" spans="1:29" x14ac:dyDescent="0.2">
      <c r="A427" s="9"/>
      <c r="B427" s="103">
        <v>-1</v>
      </c>
      <c r="C427" s="34"/>
      <c r="F427" s="12"/>
      <c r="G427" s="12"/>
      <c r="H427" s="12"/>
      <c r="I427" s="19"/>
      <c r="J427" s="12"/>
      <c r="K427" s="35">
        <f>IF(D428&gt;K$330,+K$330,D428)</f>
        <v>0</v>
      </c>
      <c r="L427" s="35">
        <f>IF(D428&gt;K427,+D428-K427,0)</f>
        <v>0</v>
      </c>
      <c r="M427" s="34">
        <f>IF(B428&gt;D428,+B428-D428,0)</f>
        <v>0</v>
      </c>
      <c r="N427" s="34"/>
      <c r="O427" s="34"/>
      <c r="P427" s="34"/>
      <c r="Q427" s="34"/>
      <c r="R427" s="12"/>
      <c r="S427" s="50">
        <v>0.25</v>
      </c>
      <c r="T427" s="12"/>
      <c r="U427" s="12"/>
      <c r="V427" s="12"/>
      <c r="W427" s="12"/>
      <c r="X427" s="12"/>
      <c r="Y427" s="12"/>
      <c r="Z427" s="12"/>
      <c r="AA427" s="12"/>
    </row>
    <row r="428" spans="1:29" x14ac:dyDescent="0.2">
      <c r="A428" s="1" t="s">
        <v>150</v>
      </c>
      <c r="B428" s="103">
        <f>IF(AND('AES Indiana Bill Calc.'!$D$17="SE",'AES Indiana Bill Calc.'!$D$18="Yes 25%",'AES Indiana Bill Calc.'!$D$20="Yes 2025"),'AES Indiana Bill Calc.'!$D$19,-1)</f>
        <v>-1</v>
      </c>
      <c r="C428" s="103" t="b">
        <f>IF(AND('AES Indiana Bill Calc.'!$D$17="SE",'AES Indiana Bill Calc.'!$D$18="Yes 25%",'AES Indiana Bill Calc.'!$D$20="Yes 2025"),'AES Indiana Bill Calc.'!$D$23)</f>
        <v>0</v>
      </c>
      <c r="D428" s="2">
        <f>ROUND(C428*D$329,0)</f>
        <v>0</v>
      </c>
      <c r="F428" s="36" t="s">
        <v>328</v>
      </c>
      <c r="G428" s="17">
        <f>SUM(J428:M428,O428:P428,R428:AA428)</f>
        <v>54.99</v>
      </c>
      <c r="H428" s="19" t="e">
        <f>IF(ISBLANK(B428),0,+#REF!/B428)</f>
        <v>#REF!</v>
      </c>
      <c r="I428" s="19"/>
      <c r="J428" s="16">
        <f>IF(ISBLANK(B428),0,+J$329)</f>
        <v>55</v>
      </c>
      <c r="K428" s="16">
        <f>ROUND(K427*K$329,2)</f>
        <v>0</v>
      </c>
      <c r="L428" s="16">
        <f>ROUND(L427*L$329,2)</f>
        <v>0</v>
      </c>
      <c r="M428" s="16">
        <f>ROUND(M427*M$329,2)</f>
        <v>0</v>
      </c>
      <c r="N428" s="16">
        <f>SUM(K428:M428)</f>
        <v>0</v>
      </c>
      <c r="O428" s="16"/>
      <c r="P428" s="16"/>
      <c r="Q428" s="16"/>
      <c r="R428" s="8"/>
      <c r="S428" s="17">
        <f>ROUND($B428*S$329*S427,2)</f>
        <v>0</v>
      </c>
      <c r="T428" s="17">
        <f>ROUND($B428*T$329,2)</f>
        <v>0</v>
      </c>
      <c r="U428" s="17">
        <f>ROUND($B428*U$329,2)</f>
        <v>0</v>
      </c>
      <c r="V428" s="17">
        <f>ROUND($B428*V$328,2)</f>
        <v>0</v>
      </c>
      <c r="W428" s="17">
        <f>ROUND($B428*W$329,2)</f>
        <v>0</v>
      </c>
      <c r="X428" s="17">
        <f>ROUND($B428*X$329,2)</f>
        <v>-0.01</v>
      </c>
      <c r="Y428" s="17">
        <f>ROUND($B428*Y$329,2)</f>
        <v>0</v>
      </c>
      <c r="Z428" s="17">
        <f>ROUND($B428*Z$329,2)</f>
        <v>0</v>
      </c>
      <c r="AA428" s="17">
        <f>ROUND($B428*AA$329,2)</f>
        <v>0</v>
      </c>
      <c r="AB428" s="19">
        <f>SUM(U423:AA423)</f>
        <v>0</v>
      </c>
      <c r="AC428" s="67" t="str">
        <f>+F428</f>
        <v>SE5</v>
      </c>
    </row>
    <row r="429" spans="1:29" x14ac:dyDescent="0.2">
      <c r="A429" s="9"/>
      <c r="B429" s="103">
        <v>-1</v>
      </c>
      <c r="C429" s="34"/>
      <c r="F429" s="12"/>
      <c r="G429" s="12"/>
      <c r="H429" s="12"/>
      <c r="I429" s="19"/>
      <c r="J429" s="12"/>
      <c r="K429" s="35">
        <f>IF(D430&gt;K$330,+K$330,D430)</f>
        <v>0</v>
      </c>
      <c r="L429" s="35">
        <f>IF(D430&gt;K429,+D430-K429,0)</f>
        <v>0</v>
      </c>
      <c r="M429" s="34">
        <f>IF(B430&gt;D430,+B430-D430,0)</f>
        <v>0</v>
      </c>
      <c r="N429" s="34"/>
      <c r="O429" s="34"/>
      <c r="P429" s="34"/>
      <c r="Q429" s="34"/>
      <c r="R429" s="12"/>
      <c r="S429" s="50">
        <v>0.1</v>
      </c>
      <c r="T429" s="12"/>
      <c r="U429" s="12"/>
      <c r="V429" s="12"/>
      <c r="W429" s="12"/>
      <c r="X429" s="12"/>
      <c r="Y429" s="12"/>
      <c r="Z429" s="12"/>
      <c r="AA429" s="12"/>
    </row>
    <row r="430" spans="1:29" x14ac:dyDescent="0.2">
      <c r="A430" s="1" t="s">
        <v>164</v>
      </c>
      <c r="B430" s="103">
        <f>IF(AND('AES Indiana Bill Calc.'!$D$17="SE",'AES Indiana Bill Calc.'!$D$18="Yes 10%",'AES Indiana Bill Calc.'!$D$20="Yes 2025"),'AES Indiana Bill Calc.'!$D$19,-1)</f>
        <v>-1</v>
      </c>
      <c r="C430" s="103" t="b">
        <f>IF(AND('AES Indiana Bill Calc.'!$D$17="SE",'AES Indiana Bill Calc.'!$D$18="Yes 10%",'AES Indiana Bill Calc.'!$D$20="Yes 2025"),'AES Indiana Bill Calc.'!$D$23)</f>
        <v>0</v>
      </c>
      <c r="D430" s="2">
        <f>ROUND(C430*D$329,0)</f>
        <v>0</v>
      </c>
      <c r="F430" s="36" t="s">
        <v>328</v>
      </c>
      <c r="G430" s="17">
        <f>SUM(J430:M430,O430:P430,R430:AA430)</f>
        <v>54.99</v>
      </c>
      <c r="H430" s="19" t="e">
        <f>IF(ISBLANK(B430),0,+#REF!/B430)</f>
        <v>#REF!</v>
      </c>
      <c r="I430" s="19"/>
      <c r="J430" s="16">
        <f>IF(ISBLANK(B430),0,+J$329)</f>
        <v>55</v>
      </c>
      <c r="K430" s="16">
        <f>ROUND(K429*K$329,2)</f>
        <v>0</v>
      </c>
      <c r="L430" s="16">
        <f>ROUND(L429*L$329,2)</f>
        <v>0</v>
      </c>
      <c r="M430" s="16">
        <f>ROUND(M429*M$329,2)</f>
        <v>0</v>
      </c>
      <c r="N430" s="16">
        <f>SUM(K430:M430)</f>
        <v>0</v>
      </c>
      <c r="O430" s="16"/>
      <c r="P430" s="16"/>
      <c r="Q430" s="16"/>
      <c r="R430" s="8"/>
      <c r="S430" s="17">
        <f>ROUND($B430*S$329*S429,2)</f>
        <v>0</v>
      </c>
      <c r="T430" s="17">
        <f>ROUND($B430*T$329,2)</f>
        <v>0</v>
      </c>
      <c r="U430" s="17">
        <f>ROUND($B430*U$329,2)</f>
        <v>0</v>
      </c>
      <c r="V430" s="17">
        <f>ROUND($B430*V$328,2)</f>
        <v>0</v>
      </c>
      <c r="W430" s="17">
        <f>ROUND($B430*W$329,2)</f>
        <v>0</v>
      </c>
      <c r="X430" s="17">
        <f>ROUND($B430*X$329,2)</f>
        <v>-0.01</v>
      </c>
      <c r="Y430" s="17">
        <f>ROUND($B430*Y$329,2)</f>
        <v>0</v>
      </c>
      <c r="Z430" s="17">
        <f>ROUND($B430*Z$329,2)</f>
        <v>0</v>
      </c>
      <c r="AA430" s="17">
        <f>ROUND($B430*AA$329,2)</f>
        <v>0</v>
      </c>
      <c r="AB430" s="19">
        <f>SUM(U425:AA425)</f>
        <v>0</v>
      </c>
      <c r="AC430" s="67" t="str">
        <f>+F430</f>
        <v>SE5</v>
      </c>
    </row>
    <row r="431" spans="1:29" x14ac:dyDescent="0.2">
      <c r="A431" s="9"/>
      <c r="B431" s="103">
        <v>-1</v>
      </c>
      <c r="C431" s="34"/>
      <c r="F431" s="12"/>
      <c r="G431" s="12"/>
      <c r="H431" s="12"/>
      <c r="I431" s="19"/>
      <c r="J431" s="12"/>
      <c r="K431" s="35">
        <f>IF(D432&gt;K$330,+K$330,D432)</f>
        <v>0</v>
      </c>
      <c r="L431" s="35">
        <f>IF(D432&gt;K431,+D432-K431,0)</f>
        <v>0</v>
      </c>
      <c r="M431" s="34">
        <f>IF(B432&gt;D432,+B432-D432,0)</f>
        <v>0</v>
      </c>
      <c r="N431" s="34"/>
      <c r="O431" s="34"/>
      <c r="P431" s="34"/>
      <c r="Q431" s="34"/>
      <c r="R431" s="12"/>
      <c r="S431" s="50">
        <v>0</v>
      </c>
      <c r="T431" s="12"/>
      <c r="U431" s="12"/>
      <c r="V431" s="12"/>
      <c r="W431" s="12"/>
      <c r="X431" s="12"/>
      <c r="Y431" s="12"/>
      <c r="Z431" s="12"/>
      <c r="AA431" s="12"/>
    </row>
    <row r="432" spans="1:29" x14ac:dyDescent="0.2">
      <c r="A432" s="1" t="s">
        <v>147</v>
      </c>
      <c r="B432" s="103">
        <f>IF(AND('AES Indiana Bill Calc.'!$D$17="SE",'AES Indiana Bill Calc.'!$D$18="No",'AES Indiana Bill Calc.'!$D$20="Yes 2025"),'AES Indiana Bill Calc.'!$D$19,-1)</f>
        <v>-1</v>
      </c>
      <c r="C432" s="103" t="b">
        <f>IF(AND('AES Indiana Bill Calc.'!$D$17="SE",'AES Indiana Bill Calc.'!$D$18="No",'AES Indiana Bill Calc.'!$D$20="Yes 2025"),'AES Indiana Bill Calc.'!$D$23)</f>
        <v>0</v>
      </c>
      <c r="D432" s="2">
        <f>ROUND(C432*D$329,0)</f>
        <v>0</v>
      </c>
      <c r="F432" s="36" t="s">
        <v>328</v>
      </c>
      <c r="G432" s="17">
        <f>SUM(J432:M432,O432:P432,R432:AA432)</f>
        <v>54.99</v>
      </c>
      <c r="H432" s="19" t="e">
        <f>IF(ISBLANK(B432),0,+#REF!/B432)</f>
        <v>#REF!</v>
      </c>
      <c r="I432" s="19"/>
      <c r="J432" s="16">
        <f>IF(ISBLANK(B432),0,+J$329)</f>
        <v>55</v>
      </c>
      <c r="K432" s="16">
        <f>ROUND(K431*K$329,2)</f>
        <v>0</v>
      </c>
      <c r="L432" s="16">
        <f>ROUND(L431*L$329,2)</f>
        <v>0</v>
      </c>
      <c r="M432" s="16">
        <f>ROUND(M431*M$329,2)</f>
        <v>0</v>
      </c>
      <c r="N432" s="16">
        <f>SUM(K432:M432)</f>
        <v>0</v>
      </c>
      <c r="O432" s="16"/>
      <c r="P432" s="16"/>
      <c r="Q432" s="16"/>
      <c r="R432" s="8"/>
      <c r="S432" s="17">
        <f>ROUND($B432*S$329*S431,2)</f>
        <v>0</v>
      </c>
      <c r="T432" s="17">
        <f>ROUND($B432*T$329,2)</f>
        <v>0</v>
      </c>
      <c r="U432" s="17">
        <f>ROUND($B432*U$329,2)</f>
        <v>0</v>
      </c>
      <c r="V432" s="17">
        <f>ROUND($B432*V$328,2)</f>
        <v>0</v>
      </c>
      <c r="W432" s="17">
        <f>ROUND($B432*W$329,2)</f>
        <v>0</v>
      </c>
      <c r="X432" s="17">
        <f>ROUND($B432*X$329,2)</f>
        <v>-0.01</v>
      </c>
      <c r="Y432" s="17">
        <f>ROUND($B432*Y$329,2)</f>
        <v>0</v>
      </c>
      <c r="Z432" s="17">
        <f>ROUND($B432*Z$329,2)</f>
        <v>0</v>
      </c>
      <c r="AA432" s="17">
        <f>ROUND($B432*AA$329,2)</f>
        <v>0</v>
      </c>
      <c r="AB432" s="19">
        <f>SUM(U427:AA427)</f>
        <v>0</v>
      </c>
      <c r="AC432" s="67" t="str">
        <f>+F432</f>
        <v>SE5</v>
      </c>
    </row>
    <row r="433" spans="1:29" x14ac:dyDescent="0.2">
      <c r="A433" s="1"/>
      <c r="B433" s="103">
        <v>-1</v>
      </c>
      <c r="C433" s="103"/>
      <c r="D433" s="2"/>
      <c r="F433" s="36"/>
      <c r="G433" s="17"/>
      <c r="H433" s="19"/>
      <c r="I433" s="19"/>
      <c r="J433" s="16"/>
      <c r="K433" s="16"/>
      <c r="L433" s="16"/>
      <c r="M433" s="16"/>
      <c r="N433" s="16"/>
      <c r="O433" s="16"/>
      <c r="P433" s="16"/>
      <c r="Q433" s="16"/>
      <c r="R433" s="8"/>
      <c r="S433" s="17"/>
      <c r="T433" s="17"/>
      <c r="U433" s="17"/>
      <c r="V433" s="17"/>
      <c r="W433" s="17"/>
      <c r="X433" s="17"/>
      <c r="Y433" s="17"/>
      <c r="Z433" s="17"/>
      <c r="AA433" s="17"/>
      <c r="AB433" s="19"/>
      <c r="AC433" s="67"/>
    </row>
    <row r="434" spans="1:29" x14ac:dyDescent="0.2">
      <c r="A434" s="1"/>
      <c r="B434" s="103">
        <v>-1</v>
      </c>
      <c r="C434" s="103"/>
      <c r="D434" s="2"/>
      <c r="F434" s="36"/>
      <c r="G434" s="17"/>
      <c r="H434" s="19"/>
      <c r="I434" s="19"/>
      <c r="J434" s="16"/>
      <c r="K434" s="16"/>
      <c r="L434" s="16"/>
      <c r="M434" s="16"/>
      <c r="N434" s="16"/>
      <c r="O434" s="16"/>
      <c r="P434" s="16"/>
      <c r="Q434" s="16"/>
      <c r="R434" s="8"/>
      <c r="S434" s="17"/>
      <c r="T434" s="17"/>
      <c r="U434" s="17"/>
      <c r="V434" s="17"/>
      <c r="W434" s="17"/>
      <c r="X434" s="17"/>
      <c r="Y434" s="17"/>
      <c r="Z434" s="17"/>
      <c r="AA434" s="17"/>
      <c r="AB434" s="19"/>
      <c r="AC434" s="67"/>
    </row>
    <row r="435" spans="1:29" x14ac:dyDescent="0.2">
      <c r="B435" s="103">
        <v>-1</v>
      </c>
      <c r="H435" s="19"/>
      <c r="I435" s="19"/>
      <c r="J435" s="8"/>
      <c r="K435" s="17"/>
      <c r="L435" s="8"/>
      <c r="M435" s="8"/>
      <c r="N435" s="8"/>
      <c r="O435" s="8"/>
      <c r="P435" s="8"/>
      <c r="Q435" s="8"/>
      <c r="R435" s="8"/>
      <c r="S435" s="17"/>
      <c r="T435" s="17"/>
      <c r="U435" s="17"/>
      <c r="V435" s="17"/>
      <c r="W435" s="17"/>
      <c r="X435" s="17"/>
      <c r="Y435" s="17"/>
      <c r="Z435" s="17"/>
      <c r="AA435" s="17"/>
    </row>
    <row r="436" spans="1:29" x14ac:dyDescent="0.2">
      <c r="B436" s="103">
        <v>-1</v>
      </c>
      <c r="C436" s="4"/>
      <c r="I436" s="19"/>
      <c r="J436" s="159">
        <v>20</v>
      </c>
      <c r="K436" s="160">
        <v>7.6942999999999998E-2</v>
      </c>
      <c r="L436" s="5"/>
      <c r="M436" s="5"/>
      <c r="N436" s="5"/>
      <c r="O436" s="5"/>
      <c r="P436" s="5"/>
      <c r="Q436" s="5"/>
      <c r="R436" s="5"/>
      <c r="S436" s="27">
        <f>+M$3</f>
        <v>1.8E-3</v>
      </c>
      <c r="T436" s="27">
        <f t="shared" ref="T436:AA436" si="28">+R$3</f>
        <v>3.9020000000000001E-3</v>
      </c>
      <c r="U436" s="27">
        <f>$S$3</f>
        <v>1.8929999999999999E-3</v>
      </c>
      <c r="V436" s="27">
        <f t="shared" si="28"/>
        <v>5.4039999999999999E-3</v>
      </c>
      <c r="W436" s="27">
        <f t="shared" si="28"/>
        <v>0</v>
      </c>
      <c r="X436" s="27">
        <f t="shared" si="28"/>
        <v>9.476E-3</v>
      </c>
      <c r="Y436" s="27">
        <f t="shared" si="28"/>
        <v>-5.1900000000000004E-4</v>
      </c>
      <c r="Z436" s="27">
        <f t="shared" si="28"/>
        <v>4.1159999999999999E-3</v>
      </c>
      <c r="AA436" s="27">
        <f t="shared" si="28"/>
        <v>7.3200000000000001E-4</v>
      </c>
      <c r="AB436" s="19">
        <f>SUM(U436:Z436)</f>
        <v>2.0369999999999999E-2</v>
      </c>
    </row>
    <row r="437" spans="1:29" x14ac:dyDescent="0.2">
      <c r="A437" s="1"/>
      <c r="B437" s="103">
        <v>-1</v>
      </c>
      <c r="I437" s="19"/>
      <c r="J437" s="76"/>
      <c r="K437" s="77">
        <v>999999</v>
      </c>
    </row>
    <row r="438" spans="1:29" x14ac:dyDescent="0.2">
      <c r="B438" s="103">
        <v>-1</v>
      </c>
      <c r="F438" s="12"/>
      <c r="I438" s="19"/>
      <c r="J438" s="12" t="s">
        <v>137</v>
      </c>
      <c r="K438" s="258" t="s">
        <v>28</v>
      </c>
      <c r="L438" s="258"/>
      <c r="M438" s="12"/>
      <c r="N438" s="12"/>
      <c r="O438" s="12"/>
      <c r="P438" s="12"/>
      <c r="Q438" s="142" t="s">
        <v>173</v>
      </c>
      <c r="R438" s="12"/>
      <c r="S438" s="12">
        <v>21</v>
      </c>
      <c r="T438" s="12">
        <v>6</v>
      </c>
      <c r="U438" s="12">
        <v>3</v>
      </c>
      <c r="V438" s="12">
        <v>22</v>
      </c>
      <c r="W438" s="12">
        <v>13</v>
      </c>
      <c r="X438" s="12">
        <v>20</v>
      </c>
      <c r="Y438" s="12">
        <v>24</v>
      </c>
      <c r="Z438" s="12">
        <v>25</v>
      </c>
      <c r="AA438" s="12">
        <v>26</v>
      </c>
    </row>
    <row r="439" spans="1:29" x14ac:dyDescent="0.2">
      <c r="A439" s="13"/>
      <c r="B439" s="14">
        <v>-1</v>
      </c>
      <c r="C439" s="14" t="s">
        <v>192</v>
      </c>
      <c r="D439" s="15"/>
      <c r="F439" s="13" t="s">
        <v>141</v>
      </c>
      <c r="G439" s="13" t="s">
        <v>142</v>
      </c>
      <c r="H439" s="13" t="s">
        <v>143</v>
      </c>
      <c r="I439" s="19"/>
      <c r="J439" s="13" t="s">
        <v>144</v>
      </c>
      <c r="K439" s="13" t="s">
        <v>174</v>
      </c>
      <c r="L439" s="13"/>
      <c r="M439" s="13"/>
      <c r="N439" s="142" t="s">
        <v>138</v>
      </c>
      <c r="O439" s="13"/>
      <c r="P439" s="13"/>
      <c r="Q439" s="13"/>
      <c r="R439" s="13"/>
      <c r="S439" s="13" t="s">
        <v>106</v>
      </c>
      <c r="T439" s="13" t="s">
        <v>36</v>
      </c>
      <c r="U439" s="138" t="s">
        <v>38</v>
      </c>
      <c r="V439" s="13" t="s">
        <v>107</v>
      </c>
      <c r="W439" s="13" t="s">
        <v>108</v>
      </c>
      <c r="X439" s="13" t="s">
        <v>109</v>
      </c>
      <c r="Y439" s="138" t="s">
        <v>44</v>
      </c>
      <c r="Z439" s="138" t="s">
        <v>46</v>
      </c>
      <c r="AA439" s="138" t="s">
        <v>48</v>
      </c>
      <c r="AB439" s="66" t="s">
        <v>110</v>
      </c>
    </row>
    <row r="440" spans="1:29" x14ac:dyDescent="0.2">
      <c r="B440" s="103">
        <v>-1</v>
      </c>
      <c r="C440" s="34"/>
      <c r="F440" s="12"/>
      <c r="G440" s="12"/>
      <c r="H440" s="12"/>
      <c r="I440" s="19"/>
      <c r="J440" s="12"/>
      <c r="K440" s="12"/>
      <c r="L440" s="12"/>
      <c r="M440" s="12"/>
      <c r="N440" s="12"/>
      <c r="O440" s="12"/>
      <c r="P440" s="12"/>
      <c r="Q440" s="12"/>
      <c r="R440" s="12"/>
      <c r="S440" s="50">
        <v>1</v>
      </c>
      <c r="T440" s="12"/>
      <c r="U440" s="12"/>
      <c r="V440" s="12"/>
      <c r="W440" s="12"/>
      <c r="X440" s="12"/>
      <c r="Y440" s="12"/>
      <c r="Z440" s="12"/>
      <c r="AA440" s="12"/>
    </row>
    <row r="441" spans="1:29" x14ac:dyDescent="0.2">
      <c r="A441" s="1" t="s">
        <v>148</v>
      </c>
      <c r="B441" s="103">
        <f>IF(AND('AES Indiana Bill Calc.'!$D$17="CR",'AES Indiana Bill Calc.'!$D$18="Yes 100%"),'AES Indiana Bill Calc.'!$D$19,-1)</f>
        <v>-1</v>
      </c>
      <c r="C441" s="9"/>
      <c r="F441" s="36" t="s">
        <v>58</v>
      </c>
      <c r="G441" s="17">
        <f>SUM(J441:M441,O441:P441,R441:AA441)</f>
        <v>19.899999999999999</v>
      </c>
      <c r="H441" s="19" t="e">
        <f>IF(ISBLANK(B441),0,+#REF!/B441)</f>
        <v>#REF!</v>
      </c>
      <c r="I441" s="19"/>
      <c r="J441" s="16">
        <f>IF(ISBLANK(B441),0,+J$436)</f>
        <v>20</v>
      </c>
      <c r="K441" s="16">
        <f>ROUND($B441*K$436,2)</f>
        <v>-0.08</v>
      </c>
      <c r="L441" s="16"/>
      <c r="M441" s="8"/>
      <c r="N441" s="8">
        <f>SUM(K441:L441)</f>
        <v>-0.08</v>
      </c>
      <c r="O441" s="8"/>
      <c r="P441" s="8"/>
      <c r="Q441" s="8"/>
      <c r="R441" s="8"/>
      <c r="S441" s="17">
        <f>ROUND($B441*S$436*S440,2)</f>
        <v>0</v>
      </c>
      <c r="T441" s="17">
        <f t="shared" ref="T441:AA449" si="29">ROUND($B441*T$436,2)</f>
        <v>0</v>
      </c>
      <c r="U441" s="17">
        <f t="shared" si="29"/>
        <v>0</v>
      </c>
      <c r="V441" s="17">
        <f t="shared" si="29"/>
        <v>-0.01</v>
      </c>
      <c r="W441" s="17">
        <f t="shared" si="29"/>
        <v>0</v>
      </c>
      <c r="X441" s="17">
        <f t="shared" si="29"/>
        <v>-0.01</v>
      </c>
      <c r="Y441" s="17">
        <f t="shared" si="29"/>
        <v>0</v>
      </c>
      <c r="Z441" s="17">
        <f t="shared" si="29"/>
        <v>0</v>
      </c>
      <c r="AA441" s="17">
        <f t="shared" si="29"/>
        <v>0</v>
      </c>
      <c r="AB441" s="19">
        <f>SUM(U436:AA436)</f>
        <v>2.1101999999999999E-2</v>
      </c>
      <c r="AC441" s="67" t="str">
        <f>+F441</f>
        <v>CR</v>
      </c>
    </row>
    <row r="442" spans="1:29" x14ac:dyDescent="0.2">
      <c r="A442" s="9"/>
      <c r="B442" s="103">
        <v>-1</v>
      </c>
      <c r="C442" s="34"/>
      <c r="F442" s="12"/>
      <c r="G442" s="12"/>
      <c r="H442" s="12"/>
      <c r="I442" s="19"/>
      <c r="J442" s="12"/>
      <c r="K442" s="12"/>
      <c r="L442" s="12"/>
      <c r="M442" s="12"/>
      <c r="N442" s="12"/>
      <c r="O442" s="12"/>
      <c r="P442" s="12"/>
      <c r="Q442" s="12"/>
      <c r="R442" s="12"/>
      <c r="S442" s="50">
        <v>0.5</v>
      </c>
      <c r="T442" s="12"/>
      <c r="U442" s="12"/>
      <c r="V442" s="12"/>
      <c r="W442" s="12"/>
      <c r="X442" s="12"/>
      <c r="Y442" s="12"/>
      <c r="Z442" s="12"/>
      <c r="AA442" s="12"/>
    </row>
    <row r="443" spans="1:29" x14ac:dyDescent="0.2">
      <c r="A443" s="1" t="s">
        <v>149</v>
      </c>
      <c r="B443" s="103">
        <f>IF(AND('AES Indiana Bill Calc.'!$D$17="CR",'AES Indiana Bill Calc.'!$D$18="Yes 50%"),'AES Indiana Bill Calc.'!$D$19,-1)</f>
        <v>-1</v>
      </c>
      <c r="C443" s="9"/>
      <c r="F443" s="36" t="s">
        <v>58</v>
      </c>
      <c r="G443" s="17">
        <f>SUM(J443:M443,O443:P443,R443:AA443)</f>
        <v>19.899999999999999</v>
      </c>
      <c r="H443" s="19" t="e">
        <f>IF(ISBLANK(B443),0,+#REF!/B443)</f>
        <v>#REF!</v>
      </c>
      <c r="I443" s="19"/>
      <c r="J443" s="16">
        <f>IF(ISBLANK(B443),0,+J$436)</f>
        <v>20</v>
      </c>
      <c r="K443" s="16">
        <f>ROUND($B443*K$436,2)</f>
        <v>-0.08</v>
      </c>
      <c r="L443" s="16"/>
      <c r="M443" s="8"/>
      <c r="N443" s="8">
        <f>SUM(K443:L443)</f>
        <v>-0.08</v>
      </c>
      <c r="O443" s="8"/>
      <c r="P443" s="8"/>
      <c r="Q443" s="8"/>
      <c r="R443" s="8"/>
      <c r="S443" s="17">
        <f>ROUND($B443*S$436*S442,2)</f>
        <v>0</v>
      </c>
      <c r="T443" s="17">
        <f t="shared" si="29"/>
        <v>0</v>
      </c>
      <c r="U443" s="17">
        <f t="shared" si="29"/>
        <v>0</v>
      </c>
      <c r="V443" s="17">
        <f t="shared" si="29"/>
        <v>-0.01</v>
      </c>
      <c r="W443" s="17">
        <f t="shared" si="29"/>
        <v>0</v>
      </c>
      <c r="X443" s="17">
        <f t="shared" si="29"/>
        <v>-0.01</v>
      </c>
      <c r="Y443" s="17">
        <f t="shared" si="29"/>
        <v>0</v>
      </c>
      <c r="Z443" s="17">
        <f t="shared" si="29"/>
        <v>0</v>
      </c>
      <c r="AA443" s="17">
        <f t="shared" si="29"/>
        <v>0</v>
      </c>
      <c r="AB443" s="19">
        <f>SUM(U438:AA438)</f>
        <v>133</v>
      </c>
      <c r="AC443" s="67" t="str">
        <f>+F443</f>
        <v>CR</v>
      </c>
    </row>
    <row r="444" spans="1:29" x14ac:dyDescent="0.2">
      <c r="A444" s="9"/>
      <c r="B444" s="103">
        <v>-1</v>
      </c>
      <c r="C444" s="34"/>
      <c r="F444" s="12"/>
      <c r="G444" s="12"/>
      <c r="H444" s="12"/>
      <c r="I444" s="19"/>
      <c r="J444" s="12"/>
      <c r="K444" s="12"/>
      <c r="L444" s="12"/>
      <c r="M444" s="12"/>
      <c r="N444" s="12"/>
      <c r="O444" s="12"/>
      <c r="P444" s="12"/>
      <c r="Q444" s="12"/>
      <c r="R444" s="12"/>
      <c r="S444" s="50">
        <v>0.25</v>
      </c>
      <c r="T444" s="12"/>
      <c r="U444" s="12"/>
      <c r="V444" s="12"/>
      <c r="W444" s="12"/>
      <c r="X444" s="12"/>
      <c r="Y444" s="12"/>
      <c r="Z444" s="12"/>
      <c r="AA444" s="12"/>
    </row>
    <row r="445" spans="1:29" x14ac:dyDescent="0.2">
      <c r="A445" s="1" t="s">
        <v>150</v>
      </c>
      <c r="B445" s="103">
        <f>IF(AND('AES Indiana Bill Calc.'!$D$17="CR",'AES Indiana Bill Calc.'!$D$18="Yes 25%"),'AES Indiana Bill Calc.'!$D$19,-1)</f>
        <v>-1</v>
      </c>
      <c r="C445" s="9"/>
      <c r="F445" s="36" t="s">
        <v>58</v>
      </c>
      <c r="G445" s="17">
        <f>SUM(J445:M445,O445:P445,R445:AA445)</f>
        <v>19.899999999999999</v>
      </c>
      <c r="H445" s="19" t="e">
        <f>IF(ISBLANK(B445),0,+#REF!/B445)</f>
        <v>#REF!</v>
      </c>
      <c r="I445" s="19"/>
      <c r="J445" s="16">
        <f>IF(ISBLANK(B445),0,+J$436)</f>
        <v>20</v>
      </c>
      <c r="K445" s="16">
        <f>ROUND($B445*K$436,2)</f>
        <v>-0.08</v>
      </c>
      <c r="L445" s="16"/>
      <c r="M445" s="8"/>
      <c r="N445" s="8">
        <f>SUM(K445:L445)</f>
        <v>-0.08</v>
      </c>
      <c r="O445" s="8"/>
      <c r="P445" s="8"/>
      <c r="Q445" s="8"/>
      <c r="R445" s="8"/>
      <c r="S445" s="17">
        <f>ROUND($B445*S$436*S444,2)</f>
        <v>0</v>
      </c>
      <c r="T445" s="17">
        <f t="shared" si="29"/>
        <v>0</v>
      </c>
      <c r="U445" s="17">
        <f t="shared" si="29"/>
        <v>0</v>
      </c>
      <c r="V445" s="17">
        <f t="shared" si="29"/>
        <v>-0.01</v>
      </c>
      <c r="W445" s="17">
        <f t="shared" si="29"/>
        <v>0</v>
      </c>
      <c r="X445" s="17">
        <f t="shared" si="29"/>
        <v>-0.01</v>
      </c>
      <c r="Y445" s="17">
        <f t="shared" si="29"/>
        <v>0</v>
      </c>
      <c r="Z445" s="17">
        <f t="shared" si="29"/>
        <v>0</v>
      </c>
      <c r="AA445" s="17">
        <f t="shared" si="29"/>
        <v>0</v>
      </c>
      <c r="AB445" s="19">
        <f>SUM(U440:AA440)</f>
        <v>0</v>
      </c>
      <c r="AC445" s="67" t="str">
        <f>+F445</f>
        <v>CR</v>
      </c>
    </row>
    <row r="446" spans="1:29" x14ac:dyDescent="0.2">
      <c r="A446" s="1"/>
      <c r="B446" s="103">
        <v>-1</v>
      </c>
      <c r="C446" s="34"/>
      <c r="F446" s="12"/>
      <c r="G446" s="12"/>
      <c r="H446" s="12"/>
      <c r="I446" s="19"/>
      <c r="J446" s="12"/>
      <c r="K446" s="12"/>
      <c r="L446" s="12"/>
      <c r="M446" s="12"/>
      <c r="N446" s="12"/>
      <c r="O446" s="12"/>
      <c r="P446" s="12"/>
      <c r="Q446" s="12"/>
      <c r="R446" s="12"/>
      <c r="S446" s="50">
        <v>0.1</v>
      </c>
      <c r="T446" s="12"/>
      <c r="U446" s="12"/>
      <c r="V446" s="12"/>
      <c r="W446" s="12"/>
      <c r="X446" s="12"/>
      <c r="Y446" s="12"/>
      <c r="Z446" s="12"/>
      <c r="AA446" s="12"/>
    </row>
    <row r="447" spans="1:29" x14ac:dyDescent="0.2">
      <c r="A447" s="1" t="s">
        <v>164</v>
      </c>
      <c r="B447" s="103">
        <f>IF(AND('AES Indiana Bill Calc.'!$D$17="CR",'AES Indiana Bill Calc.'!$D$18="Yes 10%"),'AES Indiana Bill Calc.'!$D$19,-1)</f>
        <v>-1</v>
      </c>
      <c r="C447" s="9"/>
      <c r="F447" s="36" t="s">
        <v>58</v>
      </c>
      <c r="G447" s="17">
        <f>SUM(J447:M447,O447:P447,R447:AA447)</f>
        <v>19.899999999999999</v>
      </c>
      <c r="H447" s="19" t="e">
        <f>IF(ISBLANK(B447),0,+#REF!/B447)</f>
        <v>#REF!</v>
      </c>
      <c r="I447" s="19"/>
      <c r="J447" s="16">
        <f>IF(ISBLANK(B447),0,+J$436)</f>
        <v>20</v>
      </c>
      <c r="K447" s="16">
        <f>ROUND($B447*K$436,2)</f>
        <v>-0.08</v>
      </c>
      <c r="L447" s="16"/>
      <c r="M447" s="8"/>
      <c r="N447" s="8">
        <f>SUM(K447:L447)</f>
        <v>-0.08</v>
      </c>
      <c r="O447" s="8"/>
      <c r="P447" s="8"/>
      <c r="Q447" s="8"/>
      <c r="R447" s="8"/>
      <c r="S447" s="17">
        <f>ROUND($B447*S$436*S446,2)</f>
        <v>0</v>
      </c>
      <c r="T447" s="17">
        <f t="shared" si="29"/>
        <v>0</v>
      </c>
      <c r="U447" s="17">
        <f t="shared" si="29"/>
        <v>0</v>
      </c>
      <c r="V447" s="17">
        <f t="shared" si="29"/>
        <v>-0.01</v>
      </c>
      <c r="W447" s="17">
        <f t="shared" si="29"/>
        <v>0</v>
      </c>
      <c r="X447" s="17">
        <f t="shared" si="29"/>
        <v>-0.01</v>
      </c>
      <c r="Y447" s="17">
        <f t="shared" si="29"/>
        <v>0</v>
      </c>
      <c r="Z447" s="17">
        <f t="shared" si="29"/>
        <v>0</v>
      </c>
      <c r="AA447" s="17">
        <f t="shared" si="29"/>
        <v>0</v>
      </c>
      <c r="AB447" s="19">
        <f>SUM(U442:AA442)</f>
        <v>0</v>
      </c>
      <c r="AC447" s="67" t="str">
        <f>+F447</f>
        <v>CR</v>
      </c>
    </row>
    <row r="448" spans="1:29" x14ac:dyDescent="0.2">
      <c r="A448" s="9"/>
      <c r="B448" s="103">
        <v>-1</v>
      </c>
      <c r="C448" s="34"/>
      <c r="F448" s="12"/>
      <c r="G448" s="12"/>
      <c r="H448" s="12"/>
      <c r="I448" s="19"/>
      <c r="J448" s="12"/>
      <c r="K448" s="12"/>
      <c r="L448" s="12"/>
      <c r="M448" s="12"/>
      <c r="N448" s="12"/>
      <c r="O448" s="12"/>
      <c r="P448" s="12"/>
      <c r="Q448" s="12"/>
      <c r="R448" s="12"/>
      <c r="S448" s="50">
        <v>0</v>
      </c>
      <c r="T448" s="12"/>
      <c r="U448" s="12"/>
      <c r="V448" s="12"/>
      <c r="W448" s="12"/>
      <c r="X448" s="12"/>
      <c r="Y448" s="12"/>
      <c r="Z448" s="12"/>
      <c r="AA448" s="12"/>
    </row>
    <row r="449" spans="1:29" x14ac:dyDescent="0.2">
      <c r="A449" s="1" t="s">
        <v>147</v>
      </c>
      <c r="B449" s="103">
        <f>IF(AND('AES Indiana Bill Calc.'!$D$17="CR",'AES Indiana Bill Calc.'!$D$18="No"),'AES Indiana Bill Calc.'!$D$19,-1)</f>
        <v>-1</v>
      </c>
      <c r="C449" s="9"/>
      <c r="F449" s="36" t="s">
        <v>58</v>
      </c>
      <c r="G449" s="17">
        <f>SUM(J449:M449,O449:P449,R449:AA449)</f>
        <v>19.899999999999999</v>
      </c>
      <c r="H449" s="19" t="e">
        <f>IF(ISBLANK(B449),0,+#REF!/B449)</f>
        <v>#REF!</v>
      </c>
      <c r="I449" s="19"/>
      <c r="J449" s="16">
        <f>IF(ISBLANK(B449),0,+J$436)</f>
        <v>20</v>
      </c>
      <c r="K449" s="16">
        <f>ROUND($B449*K$436,2)</f>
        <v>-0.08</v>
      </c>
      <c r="L449" s="16"/>
      <c r="M449" s="8"/>
      <c r="N449" s="8">
        <f>SUM(K449:L449)</f>
        <v>-0.08</v>
      </c>
      <c r="O449" s="8"/>
      <c r="P449" s="8"/>
      <c r="Q449" s="8"/>
      <c r="R449" s="8"/>
      <c r="S449" s="17">
        <f>ROUND($B449*S$436*S448,2)</f>
        <v>0</v>
      </c>
      <c r="T449" s="17">
        <f t="shared" si="29"/>
        <v>0</v>
      </c>
      <c r="U449" s="17">
        <f t="shared" si="29"/>
        <v>0</v>
      </c>
      <c r="V449" s="17">
        <f t="shared" si="29"/>
        <v>-0.01</v>
      </c>
      <c r="W449" s="17">
        <f t="shared" si="29"/>
        <v>0</v>
      </c>
      <c r="X449" s="17">
        <f t="shared" si="29"/>
        <v>-0.01</v>
      </c>
      <c r="Y449" s="17">
        <f t="shared" si="29"/>
        <v>0</v>
      </c>
      <c r="Z449" s="17">
        <f t="shared" si="29"/>
        <v>0</v>
      </c>
      <c r="AA449" s="17">
        <f t="shared" si="29"/>
        <v>0</v>
      </c>
      <c r="AB449" s="19">
        <f>SUM(U444:AA444)</f>
        <v>0</v>
      </c>
      <c r="AC449" s="67" t="str">
        <f>+F449</f>
        <v>CR</v>
      </c>
    </row>
    <row r="450" spans="1:29" x14ac:dyDescent="0.2">
      <c r="A450" s="53"/>
      <c r="B450" s="103">
        <v>-1</v>
      </c>
      <c r="C450" s="9"/>
      <c r="F450" s="36"/>
      <c r="G450" s="17"/>
      <c r="H450" s="19"/>
      <c r="I450" s="19"/>
      <c r="J450" s="16"/>
      <c r="K450" s="16"/>
      <c r="L450" s="16"/>
      <c r="M450" s="8"/>
      <c r="N450" s="8"/>
      <c r="O450" s="8"/>
      <c r="P450" s="8"/>
      <c r="Q450" s="8"/>
      <c r="R450" s="8"/>
      <c r="S450" s="17"/>
      <c r="T450" s="17"/>
      <c r="U450" s="17"/>
      <c r="V450" s="17"/>
      <c r="W450" s="17"/>
      <c r="X450" s="17"/>
      <c r="Y450" s="17"/>
      <c r="Z450" s="17"/>
      <c r="AA450" s="17"/>
      <c r="AB450" s="19"/>
      <c r="AC450" s="67"/>
    </row>
    <row r="451" spans="1:29" x14ac:dyDescent="0.2">
      <c r="A451" s="53"/>
      <c r="B451" s="103">
        <v>-1</v>
      </c>
      <c r="C451" s="9"/>
      <c r="F451" s="36"/>
      <c r="G451" s="17"/>
      <c r="H451" s="19"/>
      <c r="I451" s="19"/>
      <c r="J451" s="16"/>
      <c r="K451" s="16"/>
      <c r="L451" s="16"/>
      <c r="M451" s="8"/>
      <c r="N451" s="8"/>
      <c r="O451" s="8"/>
      <c r="P451" s="8"/>
      <c r="Q451" s="8"/>
      <c r="R451" s="8"/>
      <c r="S451" s="17"/>
      <c r="T451" s="17"/>
      <c r="U451" s="17"/>
      <c r="V451" s="17"/>
      <c r="W451" s="17"/>
      <c r="X451" s="17"/>
      <c r="Y451" s="17"/>
      <c r="Z451" s="17"/>
      <c r="AA451" s="17"/>
      <c r="AB451" s="19"/>
      <c r="AC451" s="67"/>
    </row>
    <row r="452" spans="1:29" x14ac:dyDescent="0.2">
      <c r="B452" s="103">
        <v>-1</v>
      </c>
      <c r="G452" s="17"/>
      <c r="H452" s="19"/>
      <c r="I452" s="19"/>
      <c r="J452" s="8"/>
      <c r="K452" s="17"/>
      <c r="L452" s="8"/>
      <c r="M452" s="8"/>
      <c r="N452" s="8"/>
      <c r="O452" s="8"/>
      <c r="P452" s="8"/>
      <c r="Q452" s="8"/>
      <c r="R452" s="8"/>
      <c r="S452" s="17"/>
      <c r="T452" s="17"/>
      <c r="U452" s="17"/>
      <c r="V452" s="17"/>
      <c r="W452" s="17"/>
      <c r="X452" s="17"/>
      <c r="Y452" s="17"/>
      <c r="Z452" s="17"/>
      <c r="AA452" s="17"/>
    </row>
    <row r="453" spans="1:29" x14ac:dyDescent="0.2">
      <c r="B453" s="103">
        <v>-1</v>
      </c>
      <c r="H453" s="19"/>
      <c r="I453" s="19"/>
      <c r="J453" s="8"/>
      <c r="K453" s="17"/>
      <c r="L453" s="8"/>
      <c r="M453" s="8"/>
      <c r="N453" s="8"/>
      <c r="O453" s="8"/>
      <c r="P453" s="8"/>
      <c r="Q453" s="8"/>
      <c r="R453" s="8"/>
      <c r="S453" s="17"/>
      <c r="T453" s="17"/>
      <c r="U453" s="17"/>
      <c r="V453" s="17"/>
      <c r="W453" s="17"/>
      <c r="X453" s="17"/>
      <c r="Y453" s="17"/>
      <c r="Z453" s="17"/>
      <c r="AA453" s="17"/>
    </row>
    <row r="454" spans="1:29" x14ac:dyDescent="0.2">
      <c r="B454" s="103">
        <v>-1</v>
      </c>
      <c r="C454" s="4"/>
      <c r="I454" s="19"/>
      <c r="J454" s="159">
        <f>J436</f>
        <v>20</v>
      </c>
      <c r="K454" s="160">
        <f>K436</f>
        <v>7.6942999999999998E-2</v>
      </c>
      <c r="L454" s="5">
        <v>0</v>
      </c>
      <c r="M454" s="5"/>
      <c r="N454" s="5"/>
      <c r="O454" s="5"/>
      <c r="P454" s="5"/>
      <c r="Q454" s="5"/>
      <c r="R454" s="5"/>
      <c r="S454" s="27">
        <f>+M$4</f>
        <v>1.8E-3</v>
      </c>
      <c r="T454" s="27">
        <f t="shared" ref="T454:AA454" si="30">+R$4</f>
        <v>3.9020000000000001E-3</v>
      </c>
      <c r="U454" s="27">
        <f>+S$4</f>
        <v>1.523E-3</v>
      </c>
      <c r="V454" s="27">
        <f t="shared" si="30"/>
        <v>1.0000999999999999E-2</v>
      </c>
      <c r="W454" s="27">
        <f t="shared" si="30"/>
        <v>0</v>
      </c>
      <c r="X454" s="27">
        <f t="shared" si="30"/>
        <v>8.8730000000000007E-3</v>
      </c>
      <c r="Y454" s="27">
        <f t="shared" si="30"/>
        <v>-8.1800000000000004E-4</v>
      </c>
      <c r="Z454" s="27">
        <f t="shared" si="30"/>
        <v>4.2139999999999999E-3</v>
      </c>
      <c r="AA454" s="27">
        <f t="shared" si="30"/>
        <v>7.0699999999999995E-4</v>
      </c>
      <c r="AB454" s="19">
        <f>SUM(U454:Z454)</f>
        <v>2.3792999999999998E-2</v>
      </c>
    </row>
    <row r="455" spans="1:29" x14ac:dyDescent="0.2">
      <c r="A455" s="1"/>
      <c r="B455" s="103">
        <v>-1</v>
      </c>
      <c r="C455" s="37"/>
      <c r="I455" s="19"/>
      <c r="J455" s="72"/>
      <c r="K455" s="73">
        <v>999999</v>
      </c>
    </row>
    <row r="456" spans="1:29" x14ac:dyDescent="0.2">
      <c r="B456" s="103">
        <v>-1</v>
      </c>
      <c r="F456" s="12"/>
      <c r="I456" s="19"/>
      <c r="J456" s="12" t="s">
        <v>137</v>
      </c>
      <c r="K456" s="258" t="s">
        <v>28</v>
      </c>
      <c r="L456" s="258"/>
      <c r="M456" s="12"/>
      <c r="N456" s="12"/>
      <c r="O456" s="12"/>
      <c r="P456" s="12"/>
      <c r="Q456" s="142" t="s">
        <v>173</v>
      </c>
      <c r="R456" s="12"/>
      <c r="S456" s="12">
        <v>21</v>
      </c>
      <c r="T456" s="12">
        <v>6</v>
      </c>
      <c r="U456" s="12">
        <v>3</v>
      </c>
      <c r="V456" s="12">
        <v>22</v>
      </c>
      <c r="W456" s="12">
        <v>13</v>
      </c>
      <c r="X456" s="12">
        <v>20</v>
      </c>
      <c r="Y456" s="12">
        <v>24</v>
      </c>
      <c r="Z456" s="12">
        <v>25</v>
      </c>
      <c r="AA456" s="12">
        <v>26</v>
      </c>
    </row>
    <row r="457" spans="1:29" x14ac:dyDescent="0.2">
      <c r="A457" s="13"/>
      <c r="B457" s="103">
        <v>-1</v>
      </c>
      <c r="C457" s="14" t="s">
        <v>192</v>
      </c>
      <c r="D457" s="15"/>
      <c r="F457" s="13" t="s">
        <v>141</v>
      </c>
      <c r="G457" s="13" t="s">
        <v>142</v>
      </c>
      <c r="H457" s="13" t="s">
        <v>143</v>
      </c>
      <c r="I457" s="19"/>
      <c r="J457" s="13" t="s">
        <v>144</v>
      </c>
      <c r="K457" s="13" t="s">
        <v>174</v>
      </c>
      <c r="L457" s="13"/>
      <c r="M457" s="13"/>
      <c r="N457" s="142" t="s">
        <v>138</v>
      </c>
      <c r="O457" s="13"/>
      <c r="P457" s="13"/>
      <c r="Q457" s="13"/>
      <c r="R457" s="13"/>
      <c r="S457" s="13" t="s">
        <v>106</v>
      </c>
      <c r="T457" s="13" t="s">
        <v>36</v>
      </c>
      <c r="U457" s="138" t="s">
        <v>38</v>
      </c>
      <c r="V457" s="13" t="s">
        <v>107</v>
      </c>
      <c r="W457" s="13" t="s">
        <v>108</v>
      </c>
      <c r="X457" s="13" t="s">
        <v>109</v>
      </c>
      <c r="Y457" s="138" t="s">
        <v>44</v>
      </c>
      <c r="Z457" s="138" t="s">
        <v>46</v>
      </c>
      <c r="AA457" s="138" t="s">
        <v>48</v>
      </c>
      <c r="AB457" s="66" t="s">
        <v>110</v>
      </c>
    </row>
    <row r="458" spans="1:29" x14ac:dyDescent="0.2">
      <c r="B458" s="103">
        <v>-1</v>
      </c>
      <c r="C458" s="34"/>
      <c r="F458" s="12"/>
      <c r="G458" s="12"/>
      <c r="H458" s="12"/>
      <c r="I458" s="19"/>
      <c r="J458" s="12"/>
      <c r="K458" s="12"/>
      <c r="L458" s="12"/>
      <c r="M458" s="12"/>
      <c r="N458" s="12"/>
      <c r="O458" s="12"/>
      <c r="P458" s="12"/>
      <c r="Q458" s="12"/>
      <c r="R458" s="12"/>
      <c r="S458" s="50">
        <v>1</v>
      </c>
      <c r="T458" s="12"/>
      <c r="U458" s="12"/>
      <c r="V458" s="12"/>
      <c r="W458" s="12"/>
      <c r="X458" s="12"/>
      <c r="Y458" s="12"/>
      <c r="Z458" s="12"/>
      <c r="AA458" s="12"/>
    </row>
    <row r="459" spans="1:29" x14ac:dyDescent="0.2">
      <c r="A459" s="53"/>
      <c r="B459" s="103">
        <f>IF(AND('AES Indiana Bill Calc.'!$D$17="CB",'AES Indiana Bill Calc.'!$D$18="Yes 100%"),'AES Indiana Bill Calc.'!$D$19,-1)</f>
        <v>-1</v>
      </c>
      <c r="C459" s="1" t="s">
        <v>148</v>
      </c>
      <c r="F459" s="36" t="s">
        <v>59</v>
      </c>
      <c r="G459" s="17">
        <f>SUM(J459:M459,O459:P459,R459:AA459)</f>
        <v>19.899999999999999</v>
      </c>
      <c r="H459" s="19" t="e">
        <f>IF(ISBLANK(B459),0,+#REF!/B459)</f>
        <v>#REF!</v>
      </c>
      <c r="I459" s="19"/>
      <c r="J459" s="16">
        <f>IF(ISBLANK(B459),0,+J$454)</f>
        <v>20</v>
      </c>
      <c r="K459" s="16">
        <f>ROUND($B459*K$454,2)</f>
        <v>-0.08</v>
      </c>
      <c r="L459" s="16">
        <f>IF($B459&gt;K$214,ROUND(($B459-K$214)*L$454,2),0)</f>
        <v>0</v>
      </c>
      <c r="M459" s="8"/>
      <c r="N459" s="8">
        <f>SUM(K459:L459)</f>
        <v>-0.08</v>
      </c>
      <c r="O459" s="8"/>
      <c r="P459" s="8"/>
      <c r="Q459" s="8"/>
      <c r="R459" s="8"/>
      <c r="S459" s="17">
        <f>ROUND($B459*S$454*S458,2)</f>
        <v>0</v>
      </c>
      <c r="T459" s="17">
        <f t="shared" ref="T459:AA467" si="31">ROUND($B459*T$454,2)</f>
        <v>0</v>
      </c>
      <c r="U459" s="17">
        <f t="shared" si="31"/>
        <v>0</v>
      </c>
      <c r="V459" s="17">
        <f t="shared" si="31"/>
        <v>-0.01</v>
      </c>
      <c r="W459" s="17">
        <f t="shared" si="31"/>
        <v>0</v>
      </c>
      <c r="X459" s="17">
        <f t="shared" si="31"/>
        <v>-0.01</v>
      </c>
      <c r="Y459" s="17">
        <f t="shared" si="31"/>
        <v>0</v>
      </c>
      <c r="Z459" s="17">
        <f t="shared" si="31"/>
        <v>0</v>
      </c>
      <c r="AA459" s="17">
        <f t="shared" si="31"/>
        <v>0</v>
      </c>
      <c r="AB459" s="19">
        <f>SUM(U454:AA454)</f>
        <v>2.4499999999999997E-2</v>
      </c>
      <c r="AC459" s="67" t="str">
        <f>+F459</f>
        <v>CB</v>
      </c>
    </row>
    <row r="460" spans="1:29" x14ac:dyDescent="0.2">
      <c r="B460" s="103">
        <v>-1</v>
      </c>
      <c r="C460" s="9"/>
      <c r="F460" s="12"/>
      <c r="G460" s="12"/>
      <c r="H460" s="12"/>
      <c r="I460" s="19"/>
      <c r="J460" s="12"/>
      <c r="K460" s="12"/>
      <c r="L460" s="12"/>
      <c r="M460" s="12"/>
      <c r="N460" s="12"/>
      <c r="O460" s="12"/>
      <c r="P460" s="12"/>
      <c r="Q460" s="12"/>
      <c r="R460" s="12"/>
      <c r="S460" s="50">
        <v>0.5</v>
      </c>
      <c r="T460" s="12"/>
      <c r="U460" s="12"/>
      <c r="V460" s="12"/>
      <c r="W460" s="12"/>
      <c r="X460" s="12"/>
      <c r="Y460" s="12"/>
      <c r="Z460" s="12"/>
      <c r="AA460" s="12"/>
    </row>
    <row r="461" spans="1:29" x14ac:dyDescent="0.2">
      <c r="A461" s="53"/>
      <c r="B461" s="103">
        <f>IF(AND('AES Indiana Bill Calc.'!$D$17="CB",'AES Indiana Bill Calc.'!$D$18="Yes 50%"),'AES Indiana Bill Calc.'!$D$19,-1)</f>
        <v>-1</v>
      </c>
      <c r="C461" s="1" t="s">
        <v>149</v>
      </c>
      <c r="F461" s="36" t="s">
        <v>59</v>
      </c>
      <c r="G461" s="17">
        <f>SUM(J461:M461,O461:P461,R461:AA461)</f>
        <v>19.899999999999999</v>
      </c>
      <c r="H461" s="19" t="e">
        <f>IF(ISBLANK(B461),0,+#REF!/B461)</f>
        <v>#REF!</v>
      </c>
      <c r="I461" s="19"/>
      <c r="J461" s="16">
        <f>IF(ISBLANK(B461),0,+J$454)</f>
        <v>20</v>
      </c>
      <c r="K461" s="16">
        <f>ROUND($B461*K$454,2)</f>
        <v>-0.08</v>
      </c>
      <c r="L461" s="16">
        <f>IF($B461&gt;K$214,ROUND(($B461-K$214)*L$454,2),0)</f>
        <v>0</v>
      </c>
      <c r="M461" s="8"/>
      <c r="N461" s="8">
        <f>SUM(K461:L461)</f>
        <v>-0.08</v>
      </c>
      <c r="O461" s="8"/>
      <c r="P461" s="8"/>
      <c r="Q461" s="8"/>
      <c r="R461" s="8"/>
      <c r="S461" s="17">
        <f>ROUND($B461*S$454*S460,2)</f>
        <v>0</v>
      </c>
      <c r="T461" s="17">
        <f t="shared" si="31"/>
        <v>0</v>
      </c>
      <c r="U461" s="17">
        <f t="shared" si="31"/>
        <v>0</v>
      </c>
      <c r="V461" s="17">
        <f t="shared" si="31"/>
        <v>-0.01</v>
      </c>
      <c r="W461" s="17">
        <f t="shared" si="31"/>
        <v>0</v>
      </c>
      <c r="X461" s="17">
        <f t="shared" si="31"/>
        <v>-0.01</v>
      </c>
      <c r="Y461" s="17">
        <f t="shared" si="31"/>
        <v>0</v>
      </c>
      <c r="Z461" s="17">
        <f t="shared" si="31"/>
        <v>0</v>
      </c>
      <c r="AA461" s="17">
        <f t="shared" si="31"/>
        <v>0</v>
      </c>
      <c r="AB461" s="19">
        <f>SUM(U456:AA456)</f>
        <v>133</v>
      </c>
      <c r="AC461" s="67" t="str">
        <f>+F461</f>
        <v>CB</v>
      </c>
    </row>
    <row r="462" spans="1:29" x14ac:dyDescent="0.2">
      <c r="B462" s="103">
        <v>-1</v>
      </c>
      <c r="C462" s="9"/>
      <c r="F462" s="12"/>
      <c r="G462" s="12"/>
      <c r="H462" s="12"/>
      <c r="I462" s="19"/>
      <c r="J462" s="12"/>
      <c r="K462" s="12"/>
      <c r="L462" s="12"/>
      <c r="M462" s="12"/>
      <c r="N462" s="12"/>
      <c r="O462" s="12"/>
      <c r="P462" s="12"/>
      <c r="Q462" s="12"/>
      <c r="R462" s="12"/>
      <c r="S462" s="50">
        <v>0.25</v>
      </c>
      <c r="T462" s="12"/>
      <c r="U462" s="12"/>
      <c r="V462" s="12"/>
      <c r="W462" s="12"/>
      <c r="X462" s="12"/>
      <c r="Y462" s="12"/>
      <c r="Z462" s="12"/>
      <c r="AA462" s="12"/>
    </row>
    <row r="463" spans="1:29" x14ac:dyDescent="0.2">
      <c r="A463" s="53"/>
      <c r="B463" s="103">
        <f>IF(AND('AES Indiana Bill Calc.'!$D$17="CB",'AES Indiana Bill Calc.'!$D$18="Yes 25%"),'AES Indiana Bill Calc.'!$D$19,-1)</f>
        <v>-1</v>
      </c>
      <c r="C463" s="1" t="s">
        <v>150</v>
      </c>
      <c r="F463" s="36" t="s">
        <v>59</v>
      </c>
      <c r="G463" s="17">
        <f>SUM(J463:M463,O463:P463,R463:AA463)</f>
        <v>19.899999999999999</v>
      </c>
      <c r="H463" s="19" t="e">
        <f>IF(ISBLANK(B463),0,+#REF!/B463)</f>
        <v>#REF!</v>
      </c>
      <c r="I463" s="19"/>
      <c r="J463" s="16">
        <f>IF(ISBLANK(B463),0,+J$454)</f>
        <v>20</v>
      </c>
      <c r="K463" s="16">
        <f>ROUND($B463*K$454,2)</f>
        <v>-0.08</v>
      </c>
      <c r="L463" s="16">
        <f>IF($B463&gt;K$214,ROUND(($B463-K$214)*L$454,2),0)</f>
        <v>0</v>
      </c>
      <c r="M463" s="8"/>
      <c r="N463" s="8">
        <f>SUM(K463:L463)</f>
        <v>-0.08</v>
      </c>
      <c r="O463" s="8"/>
      <c r="P463" s="8"/>
      <c r="Q463" s="8"/>
      <c r="R463" s="8"/>
      <c r="S463" s="17">
        <f>ROUND($B463*S$454*S462,2)</f>
        <v>0</v>
      </c>
      <c r="T463" s="17">
        <f t="shared" si="31"/>
        <v>0</v>
      </c>
      <c r="U463" s="17">
        <f t="shared" si="31"/>
        <v>0</v>
      </c>
      <c r="V463" s="17">
        <f t="shared" si="31"/>
        <v>-0.01</v>
      </c>
      <c r="W463" s="17">
        <f t="shared" si="31"/>
        <v>0</v>
      </c>
      <c r="X463" s="17">
        <f t="shared" si="31"/>
        <v>-0.01</v>
      </c>
      <c r="Y463" s="17">
        <f t="shared" si="31"/>
        <v>0</v>
      </c>
      <c r="Z463" s="17">
        <f t="shared" si="31"/>
        <v>0</v>
      </c>
      <c r="AA463" s="17">
        <f t="shared" si="31"/>
        <v>0</v>
      </c>
      <c r="AB463" s="19">
        <f>SUM(U458:AA458)</f>
        <v>0</v>
      </c>
      <c r="AC463" s="67" t="str">
        <f>+F463</f>
        <v>CB</v>
      </c>
    </row>
    <row r="464" spans="1:29" x14ac:dyDescent="0.2">
      <c r="B464" s="103">
        <v>-1</v>
      </c>
      <c r="C464" s="9"/>
      <c r="F464" s="12"/>
      <c r="G464" s="12"/>
      <c r="H464" s="12"/>
      <c r="I464" s="19"/>
      <c r="J464" s="12"/>
      <c r="K464" s="12"/>
      <c r="L464" s="12"/>
      <c r="M464" s="12"/>
      <c r="N464" s="12"/>
      <c r="O464" s="12"/>
      <c r="P464" s="12"/>
      <c r="Q464" s="12"/>
      <c r="R464" s="12"/>
      <c r="S464" s="50">
        <v>0.1</v>
      </c>
      <c r="T464" s="12"/>
      <c r="U464" s="12"/>
      <c r="V464" s="12"/>
      <c r="W464" s="12"/>
      <c r="X464" s="12"/>
      <c r="Y464" s="12"/>
      <c r="Z464" s="12"/>
      <c r="AA464" s="12"/>
    </row>
    <row r="465" spans="1:29" x14ac:dyDescent="0.2">
      <c r="A465" s="53"/>
      <c r="B465" s="103">
        <f>IF(AND('AES Indiana Bill Calc.'!$D$17="CB",'AES Indiana Bill Calc.'!$D$18="Yes 10%"),'AES Indiana Bill Calc.'!$D$19,-1)</f>
        <v>-1</v>
      </c>
      <c r="C465" s="1" t="s">
        <v>164</v>
      </c>
      <c r="F465" s="36" t="s">
        <v>59</v>
      </c>
      <c r="G465" s="17">
        <f>SUM(J465:M465,O465:P465,R465:AA465)</f>
        <v>19.899999999999999</v>
      </c>
      <c r="H465" s="19" t="e">
        <f>IF(ISBLANK(B465),0,+#REF!/B465)</f>
        <v>#REF!</v>
      </c>
      <c r="I465" s="19"/>
      <c r="J465" s="16">
        <f>IF(ISBLANK(B465),0,+J$454)</f>
        <v>20</v>
      </c>
      <c r="K465" s="16">
        <f>ROUND($B465*K$454,2)</f>
        <v>-0.08</v>
      </c>
      <c r="L465" s="16">
        <f>IF($B465&gt;K$214,ROUND(($B465-K$214)*L$454,2),0)</f>
        <v>0</v>
      </c>
      <c r="M465" s="8"/>
      <c r="N465" s="8">
        <f>SUM(K465:L465)</f>
        <v>-0.08</v>
      </c>
      <c r="O465" s="8"/>
      <c r="P465" s="8"/>
      <c r="Q465" s="8"/>
      <c r="R465" s="8"/>
      <c r="S465" s="17">
        <f>ROUND($B465*S$454*S464,2)</f>
        <v>0</v>
      </c>
      <c r="T465" s="17">
        <f t="shared" si="31"/>
        <v>0</v>
      </c>
      <c r="U465" s="17">
        <f t="shared" si="31"/>
        <v>0</v>
      </c>
      <c r="V465" s="17">
        <f t="shared" si="31"/>
        <v>-0.01</v>
      </c>
      <c r="W465" s="17">
        <f t="shared" si="31"/>
        <v>0</v>
      </c>
      <c r="X465" s="17">
        <f t="shared" si="31"/>
        <v>-0.01</v>
      </c>
      <c r="Y465" s="17">
        <f t="shared" si="31"/>
        <v>0</v>
      </c>
      <c r="Z465" s="17">
        <f t="shared" si="31"/>
        <v>0</v>
      </c>
      <c r="AA465" s="17">
        <f t="shared" si="31"/>
        <v>0</v>
      </c>
      <c r="AB465" s="19">
        <f>SUM(U460:AA460)</f>
        <v>0</v>
      </c>
      <c r="AC465" s="67" t="str">
        <f>+F465</f>
        <v>CB</v>
      </c>
    </row>
    <row r="466" spans="1:29" x14ac:dyDescent="0.2">
      <c r="B466" s="103">
        <v>-1</v>
      </c>
      <c r="C466" s="9"/>
      <c r="F466" s="12"/>
      <c r="G466" s="12"/>
      <c r="H466" s="12"/>
      <c r="I466" s="19"/>
      <c r="J466" s="12"/>
      <c r="K466" s="12"/>
      <c r="L466" s="12"/>
      <c r="M466" s="12"/>
      <c r="N466" s="12"/>
      <c r="O466" s="12"/>
      <c r="P466" s="12"/>
      <c r="Q466" s="12"/>
      <c r="R466" s="12"/>
      <c r="S466" s="50">
        <v>0</v>
      </c>
      <c r="T466" s="12"/>
      <c r="U466" s="12"/>
      <c r="V466" s="12"/>
      <c r="W466" s="12"/>
      <c r="X466" s="12"/>
      <c r="Y466" s="12"/>
      <c r="Z466" s="12"/>
      <c r="AA466" s="12"/>
    </row>
    <row r="467" spans="1:29" x14ac:dyDescent="0.2">
      <c r="A467" s="53"/>
      <c r="B467" s="103">
        <f>IF(AND('AES Indiana Bill Calc.'!$D$17="CB",'AES Indiana Bill Calc.'!$D$18="No"),'AES Indiana Bill Calc.'!$D$19,-1)</f>
        <v>-1</v>
      </c>
      <c r="C467" s="1" t="s">
        <v>147</v>
      </c>
      <c r="F467" s="36" t="s">
        <v>59</v>
      </c>
      <c r="G467" s="17">
        <f>SUM(J467:M467,O467:P467,R467:AA467)</f>
        <v>19.899999999999999</v>
      </c>
      <c r="H467" s="19" t="e">
        <f>IF(ISBLANK(B467),0,+#REF!/B467)</f>
        <v>#REF!</v>
      </c>
      <c r="I467" s="19"/>
      <c r="J467" s="16">
        <f>IF(ISBLANK(B467),0,+J$454)</f>
        <v>20</v>
      </c>
      <c r="K467" s="16">
        <f>ROUND($B467*K$454,2)</f>
        <v>-0.08</v>
      </c>
      <c r="L467" s="16">
        <f>IF($B467&gt;K$214,ROUND(($B467-K$214)*L$454,2),0)</f>
        <v>0</v>
      </c>
      <c r="M467" s="8"/>
      <c r="N467" s="8">
        <f>SUM(K467:L467)</f>
        <v>-0.08</v>
      </c>
      <c r="O467" s="8"/>
      <c r="P467" s="8"/>
      <c r="Q467" s="8"/>
      <c r="R467" s="8"/>
      <c r="S467" s="17">
        <f>ROUND($B467*S$454*S466,2)</f>
        <v>0</v>
      </c>
      <c r="T467" s="17">
        <f t="shared" si="31"/>
        <v>0</v>
      </c>
      <c r="U467" s="17">
        <f t="shared" si="31"/>
        <v>0</v>
      </c>
      <c r="V467" s="17">
        <f t="shared" si="31"/>
        <v>-0.01</v>
      </c>
      <c r="W467" s="17">
        <f t="shared" si="31"/>
        <v>0</v>
      </c>
      <c r="X467" s="17">
        <f t="shared" si="31"/>
        <v>-0.01</v>
      </c>
      <c r="Y467" s="17">
        <f t="shared" si="31"/>
        <v>0</v>
      </c>
      <c r="Z467" s="17">
        <f t="shared" si="31"/>
        <v>0</v>
      </c>
      <c r="AA467" s="17">
        <f t="shared" si="31"/>
        <v>0</v>
      </c>
      <c r="AB467" s="19">
        <f>SUM(U462:AA462)</f>
        <v>0</v>
      </c>
      <c r="AC467" s="67" t="str">
        <f>+F467</f>
        <v>CB</v>
      </c>
    </row>
    <row r="468" spans="1:29" x14ac:dyDescent="0.2">
      <c r="B468" s="103">
        <v>-1</v>
      </c>
      <c r="C468" s="40"/>
      <c r="G468" s="42"/>
      <c r="H468" s="19"/>
      <c r="I468" s="19"/>
      <c r="J468" s="41"/>
      <c r="K468" s="42"/>
      <c r="L468" s="41"/>
      <c r="M468" s="41"/>
      <c r="N468" s="41"/>
      <c r="O468" s="41"/>
      <c r="P468" s="41"/>
      <c r="Q468" s="41"/>
      <c r="R468" s="41"/>
      <c r="S468" s="42"/>
      <c r="T468" s="42"/>
      <c r="U468" s="42"/>
      <c r="V468" s="42"/>
      <c r="W468" s="42"/>
      <c r="X468" s="42"/>
      <c r="Y468" s="42"/>
      <c r="Z468" s="42"/>
      <c r="AA468" s="42"/>
    </row>
    <row r="469" spans="1:29" x14ac:dyDescent="0.2">
      <c r="B469" s="103">
        <v>-1</v>
      </c>
      <c r="H469" s="19"/>
      <c r="I469" s="19"/>
      <c r="J469" s="8"/>
      <c r="K469" s="17"/>
      <c r="L469" s="8"/>
      <c r="M469" s="8"/>
      <c r="N469" s="8"/>
      <c r="O469" s="8"/>
      <c r="P469" s="8"/>
      <c r="Q469" s="8"/>
      <c r="R469" s="8"/>
      <c r="S469" s="17"/>
      <c r="T469" s="17"/>
      <c r="U469" s="17"/>
      <c r="V469" s="17"/>
      <c r="W469" s="17"/>
      <c r="X469" s="17"/>
      <c r="Y469" s="17"/>
      <c r="Z469" s="17"/>
      <c r="AA469" s="17"/>
    </row>
    <row r="470" spans="1:29" x14ac:dyDescent="0.2">
      <c r="B470" s="103">
        <v>-1</v>
      </c>
      <c r="C470" s="4"/>
      <c r="I470" s="19"/>
      <c r="J470" s="159">
        <v>40</v>
      </c>
      <c r="K470" s="160">
        <v>8.9470999999999995E-2</v>
      </c>
      <c r="L470" s="5">
        <v>0</v>
      </c>
      <c r="M470" s="5"/>
      <c r="N470" s="5"/>
      <c r="O470" s="5"/>
      <c r="P470" s="5"/>
      <c r="Q470" s="5"/>
      <c r="R470" s="5"/>
      <c r="S470" s="27">
        <f>+M$4</f>
        <v>1.8E-3</v>
      </c>
      <c r="T470" s="27">
        <f t="shared" ref="T470:AA470" si="32">+R$4</f>
        <v>3.9020000000000001E-3</v>
      </c>
      <c r="U470" s="27">
        <f>+S$3</f>
        <v>1.8929999999999999E-3</v>
      </c>
      <c r="V470" s="27">
        <f t="shared" si="32"/>
        <v>1.0000999999999999E-2</v>
      </c>
      <c r="W470" s="27">
        <f t="shared" si="32"/>
        <v>0</v>
      </c>
      <c r="X470" s="27">
        <f t="shared" si="32"/>
        <v>8.8730000000000007E-3</v>
      </c>
      <c r="Y470" s="27">
        <f t="shared" si="32"/>
        <v>-8.1800000000000004E-4</v>
      </c>
      <c r="Z470" s="27">
        <f t="shared" si="32"/>
        <v>4.2139999999999999E-3</v>
      </c>
      <c r="AA470" s="27">
        <f t="shared" si="32"/>
        <v>7.0699999999999995E-4</v>
      </c>
      <c r="AB470" s="19">
        <f>SUM(U470:Z470)</f>
        <v>2.4163E-2</v>
      </c>
    </row>
    <row r="471" spans="1:29" x14ac:dyDescent="0.2">
      <c r="A471" s="1"/>
      <c r="B471" s="103">
        <v>-1</v>
      </c>
      <c r="C471" s="37"/>
      <c r="I471" s="19"/>
      <c r="J471" s="72"/>
      <c r="K471" s="73">
        <v>999999</v>
      </c>
    </row>
    <row r="472" spans="1:29" x14ac:dyDescent="0.2">
      <c r="B472" s="103">
        <v>-1</v>
      </c>
      <c r="F472" s="12"/>
      <c r="I472" s="19"/>
      <c r="J472" s="12" t="s">
        <v>137</v>
      </c>
      <c r="K472" s="258" t="s">
        <v>28</v>
      </c>
      <c r="L472" s="258"/>
      <c r="M472" s="12"/>
      <c r="N472" s="12"/>
      <c r="O472" s="12"/>
      <c r="P472" s="12"/>
      <c r="Q472" s="142" t="s">
        <v>173</v>
      </c>
      <c r="R472" s="12"/>
      <c r="S472" s="12">
        <v>21</v>
      </c>
      <c r="T472" s="12">
        <v>6</v>
      </c>
      <c r="U472" s="12">
        <v>3</v>
      </c>
      <c r="V472" s="12">
        <v>22</v>
      </c>
      <c r="W472" s="12">
        <v>13</v>
      </c>
      <c r="X472" s="12">
        <v>20</v>
      </c>
      <c r="Y472" s="12">
        <v>24</v>
      </c>
      <c r="Z472" s="12">
        <v>25</v>
      </c>
      <c r="AA472" s="12">
        <v>26</v>
      </c>
    </row>
    <row r="473" spans="1:29" x14ac:dyDescent="0.2">
      <c r="A473" s="13"/>
      <c r="B473" s="14" t="s">
        <v>140</v>
      </c>
      <c r="C473" s="14" t="s">
        <v>192</v>
      </c>
      <c r="D473" s="15"/>
      <c r="F473" s="13" t="s">
        <v>141</v>
      </c>
      <c r="G473" s="13" t="s">
        <v>142</v>
      </c>
      <c r="H473" s="13" t="s">
        <v>143</v>
      </c>
      <c r="I473" s="19"/>
      <c r="J473" s="13" t="s">
        <v>144</v>
      </c>
      <c r="K473" s="13" t="s">
        <v>174</v>
      </c>
      <c r="L473" s="13"/>
      <c r="M473" s="13"/>
      <c r="N473" s="142" t="s">
        <v>138</v>
      </c>
      <c r="O473" s="13"/>
      <c r="P473" s="13"/>
      <c r="Q473" s="13"/>
      <c r="R473" s="13"/>
      <c r="S473" s="13" t="s">
        <v>106</v>
      </c>
      <c r="T473" s="13" t="s">
        <v>36</v>
      </c>
      <c r="U473" s="138" t="s">
        <v>38</v>
      </c>
      <c r="V473" s="13" t="s">
        <v>107</v>
      </c>
      <c r="W473" s="13" t="s">
        <v>108</v>
      </c>
      <c r="X473" s="13" t="s">
        <v>109</v>
      </c>
      <c r="Y473" s="138" t="s">
        <v>44</v>
      </c>
      <c r="Z473" s="138" t="s">
        <v>46</v>
      </c>
      <c r="AA473" s="138" t="s">
        <v>48</v>
      </c>
      <c r="AB473" s="66" t="s">
        <v>110</v>
      </c>
    </row>
    <row r="474" spans="1:29" x14ac:dyDescent="0.2">
      <c r="B474" s="126">
        <v>-1</v>
      </c>
      <c r="C474" s="34"/>
      <c r="F474" s="12"/>
      <c r="G474" s="12"/>
      <c r="H474" s="12"/>
      <c r="I474" s="19"/>
      <c r="J474" s="12"/>
      <c r="K474" s="12"/>
      <c r="L474" s="12"/>
      <c r="M474" s="12"/>
      <c r="N474" s="12"/>
      <c r="O474" s="12"/>
      <c r="P474" s="12"/>
      <c r="Q474" s="12"/>
      <c r="R474" s="12"/>
      <c r="S474" s="50">
        <v>1</v>
      </c>
      <c r="T474" s="12"/>
      <c r="U474" s="12"/>
      <c r="V474" s="12"/>
      <c r="W474" s="12"/>
      <c r="X474" s="12"/>
      <c r="Y474" s="12"/>
      <c r="Z474" s="12"/>
      <c r="AA474" s="12"/>
    </row>
    <row r="475" spans="1:29" x14ac:dyDescent="0.2">
      <c r="A475" s="53"/>
      <c r="B475" s="103">
        <f>IF(AND('AES Indiana Bill Calc.'!$D$17="UW",'AES Indiana Bill Calc.'!$D$18="Yes 100%"),'AES Indiana Bill Calc.'!$D$19,-1)</f>
        <v>-1</v>
      </c>
      <c r="C475" s="1" t="s">
        <v>148</v>
      </c>
      <c r="F475" s="36" t="s">
        <v>60</v>
      </c>
      <c r="G475" s="17">
        <f>SUM(J475:M475,O475:P475,R475:AA475)</f>
        <v>39.89</v>
      </c>
      <c r="H475" s="19" t="e">
        <f>IF(ISBLANK(B475),0,+#REF!/B475)</f>
        <v>#REF!</v>
      </c>
      <c r="I475" s="19"/>
      <c r="J475" s="16">
        <f>IF(ISBLANK(B475),0,+J$470)</f>
        <v>40</v>
      </c>
      <c r="K475" s="16">
        <f>ROUND($B475*K$470,2)</f>
        <v>-0.09</v>
      </c>
      <c r="L475" s="16">
        <f>IF($B475&gt;K$214,ROUND(($B475-K$214)*L$470,2),0)</f>
        <v>0</v>
      </c>
      <c r="M475" s="8"/>
      <c r="N475" s="8">
        <f>SUM(K475:L475)</f>
        <v>-0.09</v>
      </c>
      <c r="O475" s="8"/>
      <c r="P475" s="8"/>
      <c r="Q475" s="8"/>
      <c r="R475" s="8"/>
      <c r="S475" s="17">
        <f>ROUND($B475*S$470*S474,2)</f>
        <v>0</v>
      </c>
      <c r="T475" s="17">
        <f t="shared" ref="T475:AA483" si="33">ROUND($B475*T$470,2)</f>
        <v>0</v>
      </c>
      <c r="U475" s="17">
        <f t="shared" si="33"/>
        <v>0</v>
      </c>
      <c r="V475" s="17">
        <f t="shared" si="33"/>
        <v>-0.01</v>
      </c>
      <c r="W475" s="17">
        <f t="shared" si="33"/>
        <v>0</v>
      </c>
      <c r="X475" s="17">
        <f t="shared" si="33"/>
        <v>-0.01</v>
      </c>
      <c r="Y475" s="17">
        <f t="shared" si="33"/>
        <v>0</v>
      </c>
      <c r="Z475" s="17">
        <f t="shared" si="33"/>
        <v>0</v>
      </c>
      <c r="AA475" s="17">
        <f t="shared" si="33"/>
        <v>0</v>
      </c>
      <c r="AB475" s="19">
        <f>SUM(U470:AA470)</f>
        <v>2.487E-2</v>
      </c>
      <c r="AC475" s="67" t="str">
        <f>+F475</f>
        <v>UW</v>
      </c>
    </row>
    <row r="476" spans="1:29" x14ac:dyDescent="0.2">
      <c r="B476" s="126">
        <v>-1</v>
      </c>
      <c r="C476" s="9"/>
      <c r="F476" s="12"/>
      <c r="G476" s="12"/>
      <c r="H476" s="12"/>
      <c r="I476" s="19"/>
      <c r="J476" s="12"/>
      <c r="K476" s="12"/>
      <c r="L476" s="12"/>
      <c r="M476" s="12"/>
      <c r="N476" s="12"/>
      <c r="O476" s="12"/>
      <c r="P476" s="12"/>
      <c r="Q476" s="12"/>
      <c r="R476" s="12"/>
      <c r="S476" s="50">
        <v>0.5</v>
      </c>
      <c r="T476" s="12"/>
      <c r="U476" s="12"/>
      <c r="V476" s="12"/>
      <c r="W476" s="12"/>
      <c r="X476" s="12"/>
      <c r="Y476" s="12"/>
      <c r="Z476" s="12"/>
      <c r="AA476" s="12"/>
    </row>
    <row r="477" spans="1:29" x14ac:dyDescent="0.2">
      <c r="A477" s="53"/>
      <c r="B477" s="103">
        <f>IF(AND('AES Indiana Bill Calc.'!$D$17="UW",'AES Indiana Bill Calc.'!$D$18="Yes 50%"),'AES Indiana Bill Calc.'!$D$19,-1)</f>
        <v>-1</v>
      </c>
      <c r="C477" s="1" t="s">
        <v>149</v>
      </c>
      <c r="F477" s="36" t="s">
        <v>60</v>
      </c>
      <c r="G477" s="17">
        <f>SUM(J477:M477,O477:P477,R477:AA477)</f>
        <v>39.89</v>
      </c>
      <c r="H477" s="19" t="e">
        <f>IF(ISBLANK(B477),0,+#REF!/B477)</f>
        <v>#REF!</v>
      </c>
      <c r="I477" s="19"/>
      <c r="J477" s="16">
        <f>IF(ISBLANK(B477),0,+J$470)</f>
        <v>40</v>
      </c>
      <c r="K477" s="16">
        <f>ROUND($B477*K$470,2)</f>
        <v>-0.09</v>
      </c>
      <c r="L477" s="16">
        <f>IF($B477&gt;K$214,ROUND(($B477-K$214)*L$470,2),0)</f>
        <v>0</v>
      </c>
      <c r="M477" s="8"/>
      <c r="N477" s="8">
        <f>SUM(K477:L477)</f>
        <v>-0.09</v>
      </c>
      <c r="O477" s="8"/>
      <c r="P477" s="8"/>
      <c r="Q477" s="8"/>
      <c r="R477" s="8"/>
      <c r="S477" s="17">
        <f>ROUND($B477*S$470*S476,2)</f>
        <v>0</v>
      </c>
      <c r="T477" s="17">
        <f t="shared" si="33"/>
        <v>0</v>
      </c>
      <c r="U477" s="17">
        <f t="shared" si="33"/>
        <v>0</v>
      </c>
      <c r="V477" s="17">
        <f t="shared" si="33"/>
        <v>-0.01</v>
      </c>
      <c r="W477" s="17">
        <f t="shared" si="33"/>
        <v>0</v>
      </c>
      <c r="X477" s="17">
        <f t="shared" si="33"/>
        <v>-0.01</v>
      </c>
      <c r="Y477" s="17">
        <f t="shared" si="33"/>
        <v>0</v>
      </c>
      <c r="Z477" s="17">
        <f t="shared" si="33"/>
        <v>0</v>
      </c>
      <c r="AA477" s="17">
        <f t="shared" si="33"/>
        <v>0</v>
      </c>
      <c r="AB477" s="19">
        <f>SUM(U472:AA472)</f>
        <v>133</v>
      </c>
      <c r="AC477" s="67" t="str">
        <f>+F477</f>
        <v>UW</v>
      </c>
    </row>
    <row r="478" spans="1:29" x14ac:dyDescent="0.2">
      <c r="B478" s="126">
        <v>-1</v>
      </c>
      <c r="C478" s="9"/>
      <c r="F478" s="12"/>
      <c r="G478" s="12"/>
      <c r="H478" s="12"/>
      <c r="I478" s="19"/>
      <c r="J478" s="12"/>
      <c r="K478" s="12"/>
      <c r="L478" s="12"/>
      <c r="M478" s="12"/>
      <c r="N478" s="12"/>
      <c r="O478" s="12"/>
      <c r="P478" s="12"/>
      <c r="Q478" s="12"/>
      <c r="R478" s="12"/>
      <c r="S478" s="50">
        <v>0.25</v>
      </c>
      <c r="T478" s="12"/>
      <c r="U478" s="12"/>
      <c r="V478" s="12"/>
      <c r="W478" s="12"/>
      <c r="X478" s="12"/>
      <c r="Y478" s="12"/>
      <c r="Z478" s="12"/>
      <c r="AA478" s="12"/>
    </row>
    <row r="479" spans="1:29" x14ac:dyDescent="0.2">
      <c r="A479" s="53"/>
      <c r="B479" s="103">
        <f>IF(AND('AES Indiana Bill Calc.'!$D$17="UW",'AES Indiana Bill Calc.'!$D$18="Yes 25%"),'AES Indiana Bill Calc.'!$D$19,-1)</f>
        <v>-1</v>
      </c>
      <c r="C479" s="1" t="s">
        <v>150</v>
      </c>
      <c r="F479" s="36" t="s">
        <v>60</v>
      </c>
      <c r="G479" s="17">
        <f>SUM(J479:M479,O479:P479,R479:AA479)</f>
        <v>39.89</v>
      </c>
      <c r="H479" s="19" t="e">
        <f>IF(ISBLANK(B479),0,+#REF!/B479)</f>
        <v>#REF!</v>
      </c>
      <c r="I479" s="19"/>
      <c r="J479" s="16">
        <f>IF(ISBLANK(B479),0,+J$470)</f>
        <v>40</v>
      </c>
      <c r="K479" s="16">
        <f>ROUND($B479*K$470,2)</f>
        <v>-0.09</v>
      </c>
      <c r="L479" s="16">
        <f>IF($B479&gt;K$214,ROUND(($B479-K$214)*L$470,2),0)</f>
        <v>0</v>
      </c>
      <c r="M479" s="8"/>
      <c r="N479" s="8">
        <f>SUM(K479:L479)</f>
        <v>-0.09</v>
      </c>
      <c r="O479" s="8"/>
      <c r="P479" s="8"/>
      <c r="Q479" s="8"/>
      <c r="R479" s="8"/>
      <c r="S479" s="17">
        <f>ROUND($B479*S$470*S478,2)</f>
        <v>0</v>
      </c>
      <c r="T479" s="17">
        <f t="shared" si="33"/>
        <v>0</v>
      </c>
      <c r="U479" s="17">
        <f t="shared" si="33"/>
        <v>0</v>
      </c>
      <c r="V479" s="17">
        <f t="shared" si="33"/>
        <v>-0.01</v>
      </c>
      <c r="W479" s="17">
        <f t="shared" si="33"/>
        <v>0</v>
      </c>
      <c r="X479" s="17">
        <f t="shared" si="33"/>
        <v>-0.01</v>
      </c>
      <c r="Y479" s="17">
        <f t="shared" si="33"/>
        <v>0</v>
      </c>
      <c r="Z479" s="17">
        <f t="shared" si="33"/>
        <v>0</v>
      </c>
      <c r="AA479" s="17">
        <f t="shared" si="33"/>
        <v>0</v>
      </c>
      <c r="AB479" s="19">
        <f>SUM(U474:AA474)</f>
        <v>0</v>
      </c>
      <c r="AC479" s="67" t="str">
        <f>+F479</f>
        <v>UW</v>
      </c>
    </row>
    <row r="480" spans="1:29" x14ac:dyDescent="0.2">
      <c r="B480" s="126">
        <v>-1</v>
      </c>
      <c r="C480" s="9"/>
      <c r="F480" s="12"/>
      <c r="G480" s="12"/>
      <c r="H480" s="12"/>
      <c r="I480" s="19"/>
      <c r="J480" s="12"/>
      <c r="K480" s="12"/>
      <c r="L480" s="12"/>
      <c r="M480" s="12"/>
      <c r="N480" s="12"/>
      <c r="O480" s="12"/>
      <c r="P480" s="12"/>
      <c r="Q480" s="12"/>
      <c r="R480" s="12"/>
      <c r="S480" s="50">
        <v>0.1</v>
      </c>
      <c r="T480" s="12"/>
      <c r="U480" s="12"/>
      <c r="V480" s="12"/>
      <c r="W480" s="12"/>
      <c r="X480" s="12"/>
      <c r="Y480" s="12"/>
      <c r="Z480" s="12"/>
      <c r="AA480" s="12"/>
    </row>
    <row r="481" spans="1:29" x14ac:dyDescent="0.2">
      <c r="A481" s="53"/>
      <c r="B481" s="103">
        <f>IF(AND('AES Indiana Bill Calc.'!$D$17="UW",'AES Indiana Bill Calc.'!$D$18="Yes 10%"),'AES Indiana Bill Calc.'!$D$19,-1)</f>
        <v>-1</v>
      </c>
      <c r="C481" s="1" t="s">
        <v>164</v>
      </c>
      <c r="F481" s="36" t="s">
        <v>60</v>
      </c>
      <c r="G481" s="17">
        <f>SUM(J481:M481,O481:P481,R481:AA481)</f>
        <v>39.89</v>
      </c>
      <c r="H481" s="19" t="e">
        <f>IF(ISBLANK(B481),0,+#REF!/B481)</f>
        <v>#REF!</v>
      </c>
      <c r="I481" s="19"/>
      <c r="J481" s="16">
        <f>IF(ISBLANK(B481),0,+J$470)</f>
        <v>40</v>
      </c>
      <c r="K481" s="16">
        <f>ROUND($B481*K$470,2)</f>
        <v>-0.09</v>
      </c>
      <c r="L481" s="16">
        <f>IF($B481&gt;K$214,ROUND(($B481-K$214)*L$470,2),0)</f>
        <v>0</v>
      </c>
      <c r="M481" s="8"/>
      <c r="N481" s="8">
        <f>SUM(K481:L481)</f>
        <v>-0.09</v>
      </c>
      <c r="O481" s="8"/>
      <c r="P481" s="8"/>
      <c r="Q481" s="8"/>
      <c r="R481" s="8"/>
      <c r="S481" s="17">
        <f>ROUND($B481*S$470*S480,2)</f>
        <v>0</v>
      </c>
      <c r="T481" s="17">
        <f t="shared" si="33"/>
        <v>0</v>
      </c>
      <c r="U481" s="17">
        <f t="shared" si="33"/>
        <v>0</v>
      </c>
      <c r="V481" s="17">
        <f t="shared" si="33"/>
        <v>-0.01</v>
      </c>
      <c r="W481" s="17">
        <f t="shared" si="33"/>
        <v>0</v>
      </c>
      <c r="X481" s="17">
        <f t="shared" si="33"/>
        <v>-0.01</v>
      </c>
      <c r="Y481" s="17">
        <f t="shared" si="33"/>
        <v>0</v>
      </c>
      <c r="Z481" s="17">
        <f t="shared" si="33"/>
        <v>0</v>
      </c>
      <c r="AA481" s="17">
        <f t="shared" si="33"/>
        <v>0</v>
      </c>
      <c r="AB481" s="19">
        <f>SUM(U476:AA476)</f>
        <v>0</v>
      </c>
      <c r="AC481" s="67" t="str">
        <f>+F481</f>
        <v>UW</v>
      </c>
    </row>
    <row r="482" spans="1:29" x14ac:dyDescent="0.2">
      <c r="B482" s="126">
        <v>-1</v>
      </c>
      <c r="C482" s="9"/>
      <c r="F482" s="12"/>
      <c r="G482" s="12"/>
      <c r="H482" s="12"/>
      <c r="I482" s="19"/>
      <c r="J482" s="12"/>
      <c r="K482" s="12"/>
      <c r="L482" s="12"/>
      <c r="M482" s="12"/>
      <c r="N482" s="12"/>
      <c r="O482" s="12"/>
      <c r="P482" s="12"/>
      <c r="Q482" s="12"/>
      <c r="R482" s="12"/>
      <c r="S482" s="50">
        <v>0</v>
      </c>
      <c r="T482" s="12"/>
      <c r="U482" s="12"/>
      <c r="V482" s="12"/>
      <c r="W482" s="12"/>
      <c r="X482" s="12"/>
      <c r="Y482" s="12"/>
      <c r="Z482" s="12"/>
      <c r="AA482" s="12"/>
    </row>
    <row r="483" spans="1:29" x14ac:dyDescent="0.2">
      <c r="A483" s="53"/>
      <c r="B483" s="103">
        <f>IF(AND('AES Indiana Bill Calc.'!$D$17="UW",'AES Indiana Bill Calc.'!$D$18="No"),'AES Indiana Bill Calc.'!$D$19,-1)</f>
        <v>-1</v>
      </c>
      <c r="C483" s="1" t="s">
        <v>147</v>
      </c>
      <c r="F483" s="36" t="s">
        <v>60</v>
      </c>
      <c r="G483" s="17">
        <f>SUM(J483:M483,O483:P483,R483:AA483)</f>
        <v>39.89</v>
      </c>
      <c r="H483" s="19" t="e">
        <f>IF(ISBLANK(B483),0,+#REF!/B483)</f>
        <v>#REF!</v>
      </c>
      <c r="I483" s="19"/>
      <c r="J483" s="16">
        <f>IF(ISBLANK(B483),0,+J$470)</f>
        <v>40</v>
      </c>
      <c r="K483" s="16">
        <f>ROUND($B483*K$470,2)</f>
        <v>-0.09</v>
      </c>
      <c r="L483" s="16">
        <f>IF($B483&gt;K$214,ROUND(($B483-K$214)*L$470,2),0)</f>
        <v>0</v>
      </c>
      <c r="M483" s="8"/>
      <c r="N483" s="8">
        <f>SUM(K483:L483)</f>
        <v>-0.09</v>
      </c>
      <c r="O483" s="8"/>
      <c r="P483" s="8"/>
      <c r="Q483" s="8"/>
      <c r="R483" s="8"/>
      <c r="S483" s="17">
        <f>ROUND($B483*S$470*S482,2)</f>
        <v>0</v>
      </c>
      <c r="T483" s="17">
        <f t="shared" si="33"/>
        <v>0</v>
      </c>
      <c r="U483" s="17">
        <f t="shared" si="33"/>
        <v>0</v>
      </c>
      <c r="V483" s="17">
        <f t="shared" si="33"/>
        <v>-0.01</v>
      </c>
      <c r="W483" s="17">
        <f t="shared" si="33"/>
        <v>0</v>
      </c>
      <c r="X483" s="17">
        <f t="shared" si="33"/>
        <v>-0.01</v>
      </c>
      <c r="Y483" s="17">
        <f t="shared" si="33"/>
        <v>0</v>
      </c>
      <c r="Z483" s="17">
        <f t="shared" si="33"/>
        <v>0</v>
      </c>
      <c r="AA483" s="17">
        <f t="shared" si="33"/>
        <v>0</v>
      </c>
      <c r="AB483" s="19">
        <f>SUM(U478:AA478)</f>
        <v>0</v>
      </c>
      <c r="AC483" s="67" t="str">
        <f>+F483</f>
        <v>UW</v>
      </c>
    </row>
    <row r="484" spans="1:29" ht="13.5" thickBot="1" x14ac:dyDescent="0.25">
      <c r="A484" s="21"/>
      <c r="B484" s="125">
        <v>-1</v>
      </c>
      <c r="C484" s="28"/>
      <c r="D484" s="21"/>
      <c r="F484" s="21"/>
      <c r="G484" s="23"/>
      <c r="H484" s="25"/>
      <c r="I484" s="19"/>
      <c r="J484" s="24"/>
      <c r="K484" s="23"/>
      <c r="L484" s="24"/>
      <c r="M484" s="24"/>
      <c r="N484" s="24"/>
      <c r="O484" s="24"/>
      <c r="P484" s="24"/>
      <c r="Q484" s="24"/>
      <c r="R484" s="24"/>
      <c r="S484" s="23"/>
      <c r="T484" s="23"/>
      <c r="U484" s="23"/>
      <c r="V484" s="23"/>
      <c r="W484" s="23"/>
      <c r="X484" s="23"/>
      <c r="Y484" s="23"/>
      <c r="Z484" s="23"/>
      <c r="AA484" s="23"/>
      <c r="AB484" s="25"/>
    </row>
    <row r="485" spans="1:29" x14ac:dyDescent="0.2">
      <c r="B485" s="126">
        <v>-1</v>
      </c>
      <c r="G485" s="17"/>
      <c r="H485" s="19"/>
      <c r="I485" s="19"/>
      <c r="J485" s="8"/>
      <c r="K485" s="17"/>
      <c r="L485" s="8"/>
      <c r="M485" s="8"/>
      <c r="N485" s="8"/>
      <c r="O485" s="8"/>
      <c r="P485" s="8"/>
      <c r="Q485" s="8"/>
      <c r="R485" s="8"/>
      <c r="S485" s="17"/>
      <c r="T485" s="17"/>
      <c r="U485" s="17"/>
      <c r="V485" s="27">
        <f>+T10</f>
        <v>0</v>
      </c>
      <c r="W485" s="6" t="s">
        <v>172</v>
      </c>
      <c r="X485" s="17"/>
      <c r="Y485" s="17"/>
      <c r="Z485" s="17"/>
      <c r="AA485" s="17"/>
      <c r="AB485" s="19" t="e">
        <f>+AB$496-V$496+#REF!</f>
        <v>#REF!</v>
      </c>
    </row>
    <row r="486" spans="1:29" x14ac:dyDescent="0.2">
      <c r="B486" s="126">
        <v>-1</v>
      </c>
      <c r="L486" t="s">
        <v>193</v>
      </c>
      <c r="M486" t="s">
        <v>193</v>
      </c>
      <c r="S486" s="6"/>
      <c r="T486" s="6"/>
      <c r="U486" s="6"/>
      <c r="V486" s="27">
        <f>+T12</f>
        <v>0</v>
      </c>
      <c r="W486" s="6" t="s">
        <v>154</v>
      </c>
      <c r="X486" s="6"/>
      <c r="Y486" s="6"/>
      <c r="Z486" s="6"/>
      <c r="AA486" s="6"/>
      <c r="AB486" s="19">
        <f>+AB$496-V$496+V485</f>
        <v>1.2272000000000002E-2</v>
      </c>
    </row>
    <row r="487" spans="1:29" x14ac:dyDescent="0.2">
      <c r="B487" s="126">
        <v>-1</v>
      </c>
      <c r="S487" s="6"/>
      <c r="T487" s="6"/>
      <c r="U487" s="6"/>
      <c r="V487" s="27">
        <f>+T14</f>
        <v>0</v>
      </c>
      <c r="W487" s="6" t="s">
        <v>155</v>
      </c>
      <c r="X487" s="6"/>
      <c r="Y487" s="6"/>
      <c r="Z487" s="6"/>
      <c r="AA487" s="6"/>
      <c r="AB487" s="19">
        <f>+AB$496-V$496+V486</f>
        <v>1.2272000000000002E-2</v>
      </c>
    </row>
    <row r="488" spans="1:29" x14ac:dyDescent="0.2">
      <c r="B488" s="126">
        <v>-1</v>
      </c>
      <c r="S488" s="6"/>
      <c r="T488" s="6"/>
      <c r="U488" s="6"/>
      <c r="V488" s="27">
        <f>T16</f>
        <v>1.18E-4</v>
      </c>
      <c r="W488" s="6" t="s">
        <v>156</v>
      </c>
      <c r="X488" s="6"/>
      <c r="Y488" s="6"/>
      <c r="Z488" s="6"/>
      <c r="AA488" s="6"/>
      <c r="AB488" s="19">
        <f>+AB$496-V$496+V487</f>
        <v>1.2272000000000002E-2</v>
      </c>
    </row>
    <row r="489" spans="1:29" x14ac:dyDescent="0.2">
      <c r="B489" s="126">
        <v>-1</v>
      </c>
      <c r="S489" s="6"/>
      <c r="T489" s="6"/>
      <c r="U489" s="6"/>
      <c r="V489" s="27">
        <f>$T$19</f>
        <v>4.55E-4</v>
      </c>
      <c r="W489" s="6" t="s">
        <v>157</v>
      </c>
      <c r="X489" s="6"/>
      <c r="Y489" s="6"/>
      <c r="Z489" s="6"/>
      <c r="AA489" s="6"/>
      <c r="AB489" s="19"/>
    </row>
    <row r="490" spans="1:29" x14ac:dyDescent="0.2">
      <c r="B490" s="126">
        <v>-1</v>
      </c>
      <c r="S490" s="6"/>
      <c r="T490" s="6"/>
      <c r="U490" s="6"/>
      <c r="V490" s="27">
        <f>$T$21</f>
        <v>9.41E-4</v>
      </c>
      <c r="W490" s="6" t="s">
        <v>158</v>
      </c>
      <c r="X490" s="6"/>
      <c r="Y490" s="6"/>
      <c r="Z490" s="6"/>
      <c r="AA490" s="6"/>
      <c r="AB490" s="19"/>
    </row>
    <row r="491" spans="1:29" x14ac:dyDescent="0.2">
      <c r="B491" s="126">
        <v>-1</v>
      </c>
      <c r="S491" s="6"/>
      <c r="T491" s="6"/>
      <c r="U491" s="6"/>
      <c r="V491" s="27">
        <f>$T$23</f>
        <v>-1.0000000000000001E-5</v>
      </c>
      <c r="W491" s="6" t="s">
        <v>159</v>
      </c>
      <c r="X491" s="6"/>
      <c r="Y491" s="6"/>
      <c r="Z491" s="6"/>
      <c r="AA491" s="6"/>
      <c r="AB491" s="19"/>
    </row>
    <row r="492" spans="1:29" x14ac:dyDescent="0.2">
      <c r="B492" s="126">
        <v>-1</v>
      </c>
      <c r="S492" s="6"/>
      <c r="T492" s="6"/>
      <c r="U492" s="6"/>
      <c r="V492" s="27">
        <f>$T$25</f>
        <v>0</v>
      </c>
      <c r="W492" s="6" t="s">
        <v>160</v>
      </c>
      <c r="X492" s="6"/>
      <c r="Y492" s="6"/>
      <c r="Z492" s="6"/>
      <c r="AA492" s="6"/>
      <c r="AB492" s="19"/>
    </row>
    <row r="493" spans="1:29" x14ac:dyDescent="0.2">
      <c r="B493" s="126">
        <v>-1</v>
      </c>
      <c r="S493" s="6"/>
      <c r="T493" s="6"/>
      <c r="U493" s="6"/>
      <c r="V493" s="19">
        <f>T27</f>
        <v>0</v>
      </c>
      <c r="W493" s="6" t="s">
        <v>161</v>
      </c>
      <c r="X493" s="6"/>
      <c r="Y493" s="6"/>
      <c r="Z493" s="6"/>
      <c r="AA493" s="6"/>
      <c r="AB493" s="19"/>
    </row>
    <row r="494" spans="1:29" x14ac:dyDescent="0.2">
      <c r="B494" s="126">
        <v>-1</v>
      </c>
      <c r="S494" s="6"/>
      <c r="T494" s="6"/>
      <c r="U494" s="6"/>
      <c r="V494" s="19">
        <f>T29</f>
        <v>7.4390000000000003E-3</v>
      </c>
      <c r="W494" s="6" t="s">
        <v>296</v>
      </c>
      <c r="X494" s="6"/>
      <c r="Y494" s="6"/>
      <c r="Z494" s="6"/>
      <c r="AA494" s="6"/>
      <c r="AB494" s="19"/>
    </row>
    <row r="495" spans="1:29" x14ac:dyDescent="0.2">
      <c r="B495" s="126">
        <v>-1</v>
      </c>
      <c r="S495" s="6"/>
      <c r="T495" s="6"/>
      <c r="U495" s="6"/>
      <c r="V495" s="19">
        <f>T31</f>
        <v>8.4290000000000007E-3</v>
      </c>
      <c r="W495" s="6" t="s">
        <v>172</v>
      </c>
      <c r="X495" s="6"/>
      <c r="Y495" s="6"/>
      <c r="Z495" s="6"/>
      <c r="AA495" s="6"/>
      <c r="AB495" s="19"/>
    </row>
    <row r="496" spans="1:29" x14ac:dyDescent="0.2">
      <c r="B496" s="126">
        <v>-1</v>
      </c>
      <c r="C496" s="33" t="s">
        <v>194</v>
      </c>
      <c r="D496" s="70"/>
      <c r="F496" s="70"/>
      <c r="G496" s="70"/>
      <c r="H496" s="70"/>
      <c r="I496" s="70"/>
      <c r="J496" s="159">
        <v>120</v>
      </c>
      <c r="K496" s="160">
        <v>4.1430000000000002E-2</v>
      </c>
      <c r="L496" s="163"/>
      <c r="M496" s="159">
        <v>24.74</v>
      </c>
      <c r="N496" s="72"/>
      <c r="O496" s="159">
        <v>24.74</v>
      </c>
      <c r="P496" s="72"/>
      <c r="Q496" s="72"/>
      <c r="R496" s="5"/>
      <c r="S496" s="27">
        <f>+M$5</f>
        <v>1.8E-3</v>
      </c>
      <c r="T496" s="27">
        <f t="shared" ref="T496:AA496" si="34">+R$5</f>
        <v>3.9020000000000001E-3</v>
      </c>
      <c r="U496" s="27">
        <f t="shared" si="34"/>
        <v>6.1300000000000005E-4</v>
      </c>
      <c r="V496" s="27">
        <f t="shared" si="34"/>
        <v>1.3795999999999999E-2</v>
      </c>
      <c r="W496" s="27">
        <f t="shared" si="34"/>
        <v>0</v>
      </c>
      <c r="X496" s="27">
        <f t="shared" si="34"/>
        <v>8.1969999999999994E-3</v>
      </c>
      <c r="Y496" s="27">
        <f t="shared" si="34"/>
        <v>-4.8200000000000001E-4</v>
      </c>
      <c r="Z496" s="27">
        <f t="shared" si="34"/>
        <v>3.9439999999999996E-3</v>
      </c>
      <c r="AA496" s="27">
        <f t="shared" si="34"/>
        <v>6.6600000000000003E-4</v>
      </c>
      <c r="AB496" s="19">
        <f>SUM(U496:Z496)</f>
        <v>2.6068000000000001E-2</v>
      </c>
    </row>
    <row r="497" spans="1:29" x14ac:dyDescent="0.2">
      <c r="A497" s="1"/>
      <c r="B497" s="126">
        <v>-1</v>
      </c>
      <c r="C497" s="73">
        <v>50</v>
      </c>
      <c r="D497" s="70"/>
      <c r="F497" s="70"/>
      <c r="G497" s="70"/>
      <c r="H497" s="70"/>
      <c r="I497" s="70"/>
      <c r="J497" s="70"/>
      <c r="K497" s="70"/>
      <c r="M497" s="73">
        <v>500</v>
      </c>
      <c r="N497" s="73"/>
      <c r="O497" s="70"/>
      <c r="P497" s="70"/>
      <c r="Q497" s="70"/>
      <c r="R497" s="12" t="s">
        <v>195</v>
      </c>
    </row>
    <row r="498" spans="1:29" x14ac:dyDescent="0.2">
      <c r="B498" s="126">
        <v>-1</v>
      </c>
      <c r="D498" s="12" t="s">
        <v>196</v>
      </c>
      <c r="F498" s="12"/>
      <c r="J498" s="12" t="s">
        <v>137</v>
      </c>
      <c r="K498" s="12" t="s">
        <v>197</v>
      </c>
      <c r="N498" s="130" t="s">
        <v>138</v>
      </c>
      <c r="O498" s="15" t="s">
        <v>30</v>
      </c>
      <c r="P498" s="15"/>
      <c r="Q498" s="142" t="s">
        <v>173</v>
      </c>
      <c r="R498" s="12" t="s">
        <v>196</v>
      </c>
      <c r="S498" s="12">
        <v>21</v>
      </c>
      <c r="T498" s="12">
        <v>6</v>
      </c>
      <c r="U498" s="12">
        <v>3</v>
      </c>
      <c r="V498" s="12">
        <v>22</v>
      </c>
      <c r="W498" s="12">
        <v>13</v>
      </c>
      <c r="X498" s="12">
        <v>20</v>
      </c>
      <c r="Y498" s="12">
        <v>24</v>
      </c>
      <c r="Z498" s="12">
        <v>25</v>
      </c>
      <c r="AA498" s="12">
        <v>26</v>
      </c>
    </row>
    <row r="499" spans="1:29" x14ac:dyDescent="0.2">
      <c r="A499" s="13"/>
      <c r="B499" s="126">
        <v>-1</v>
      </c>
      <c r="C499" s="14" t="s">
        <v>192</v>
      </c>
      <c r="D499" s="13" t="s">
        <v>198</v>
      </c>
      <c r="E499" s="130" t="s">
        <v>199</v>
      </c>
      <c r="F499" s="13" t="s">
        <v>141</v>
      </c>
      <c r="G499" s="13" t="s">
        <v>142</v>
      </c>
      <c r="H499" s="13" t="s">
        <v>143</v>
      </c>
      <c r="I499" s="12"/>
      <c r="J499" s="13" t="s">
        <v>144</v>
      </c>
      <c r="K499" s="13" t="s">
        <v>144</v>
      </c>
      <c r="O499" s="13" t="s">
        <v>200</v>
      </c>
      <c r="P499" s="13" t="s">
        <v>146</v>
      </c>
      <c r="Q499" s="13"/>
      <c r="R499" s="13" t="s">
        <v>201</v>
      </c>
      <c r="S499" s="13" t="s">
        <v>106</v>
      </c>
      <c r="T499" s="13" t="s">
        <v>36</v>
      </c>
      <c r="U499" s="138" t="s">
        <v>38</v>
      </c>
      <c r="V499" s="13" t="s">
        <v>107</v>
      </c>
      <c r="W499" s="13" t="s">
        <v>108</v>
      </c>
      <c r="X499" s="13" t="s">
        <v>109</v>
      </c>
      <c r="Y499" s="138" t="s">
        <v>44</v>
      </c>
      <c r="Z499" s="138" t="s">
        <v>46</v>
      </c>
      <c r="AA499" s="138" t="s">
        <v>48</v>
      </c>
      <c r="AB499" s="66" t="s">
        <v>110</v>
      </c>
    </row>
    <row r="500" spans="1:29" x14ac:dyDescent="0.2">
      <c r="B500" s="126">
        <v>-1</v>
      </c>
      <c r="C500" s="34"/>
      <c r="D500" s="18"/>
      <c r="F500" s="36"/>
      <c r="G500" s="12"/>
      <c r="H500" s="12"/>
      <c r="I500" s="12"/>
      <c r="J500" s="12"/>
      <c r="K500" s="12"/>
      <c r="O500" s="12"/>
      <c r="P500" s="12"/>
      <c r="Q500" s="12"/>
      <c r="R500" s="38" t="e">
        <f>INDEX('Pwr Factor'!$A$1:$B$52,MATCH((D501),'Pwr Factor'!$A$1:$A$52,0),2)</f>
        <v>#N/A</v>
      </c>
      <c r="S500" s="50">
        <v>1</v>
      </c>
      <c r="T500" s="12"/>
      <c r="U500" s="12"/>
      <c r="V500" s="12"/>
      <c r="W500" s="12"/>
      <c r="X500" s="12"/>
      <c r="Y500" s="12"/>
      <c r="Z500" s="12"/>
      <c r="AA500" s="12"/>
    </row>
    <row r="501" spans="1:29" x14ac:dyDescent="0.2">
      <c r="A501" s="1" t="s">
        <v>148</v>
      </c>
      <c r="B501" s="103">
        <f>IF(AND('AES Indiana Bill Calc.'!$D$17="SL",'AES Indiana Bill Calc.'!$D$18="Yes 100%",'AES Indiana Bill Calc.'!$D$20="No"),'AES Indiana Bill Calc.'!$D$19,-1)</f>
        <v>-1</v>
      </c>
      <c r="C501" s="103">
        <f>MAX(E501,$C$497)</f>
        <v>50</v>
      </c>
      <c r="D501" s="103" t="b">
        <f>IF(AND('AES Indiana Bill Calc.'!$D$17="SL",'AES Indiana Bill Calc.'!$D$18="Yes 100%",'AES Indiana Bill Calc.'!$D$20="No"),'AES Indiana Bill Calc.'!$D$22)</f>
        <v>0</v>
      </c>
      <c r="E501" s="103" t="b">
        <f>IF(AND('AES Indiana Bill Calc.'!$D$17="SL",'AES Indiana Bill Calc.'!$D$18="Yes 100%",'AES Indiana Bill Calc.'!$D$20="No"),'AES Indiana Bill Calc.'!$D$21)</f>
        <v>0</v>
      </c>
      <c r="F501" s="36" t="s">
        <v>61</v>
      </c>
      <c r="G501" s="17" t="e">
        <f>SUM(J501:M501,O501:P501,R501:AA501)</f>
        <v>#N/A</v>
      </c>
      <c r="H501" s="19" t="e">
        <f>IF(ISBLANK(B501),0,+#REF!/B501)</f>
        <v>#REF!</v>
      </c>
      <c r="I501" s="19"/>
      <c r="J501" s="16">
        <f>IF(ISBLANK(B501),0,+J$496)</f>
        <v>120</v>
      </c>
      <c r="K501" s="17">
        <f>ROUND($B501*K$496,2)</f>
        <v>-0.04</v>
      </c>
      <c r="N501" s="18">
        <f>K501</f>
        <v>-0.04</v>
      </c>
      <c r="O501" s="17">
        <f>IF($C501&gt;M$497,ROUND(M$497*M$496,2),ROUND($C501*M$496,2))</f>
        <v>1237</v>
      </c>
      <c r="P501" s="17">
        <f>IF($C501&gt;M$497,ROUND(($C501-M$497)*O$496,2),0)</f>
        <v>0</v>
      </c>
      <c r="Q501" s="17">
        <f>SUM(O501:P501)</f>
        <v>1237</v>
      </c>
      <c r="R501" s="16" t="e">
        <f>ROUND(SUM(N501:P501)*(R500-1),2)</f>
        <v>#N/A</v>
      </c>
      <c r="S501" s="17">
        <f>ROUND($B501*S$496*S500,2)</f>
        <v>0</v>
      </c>
      <c r="T501" s="17">
        <f t="shared" ref="T501:AA509" si="35">ROUND($B501*T$496,2)</f>
        <v>0</v>
      </c>
      <c r="U501" s="17">
        <f t="shared" si="35"/>
        <v>0</v>
      </c>
      <c r="V501" s="17">
        <f t="shared" si="35"/>
        <v>-0.01</v>
      </c>
      <c r="W501" s="17">
        <f t="shared" si="35"/>
        <v>0</v>
      </c>
      <c r="X501" s="17">
        <f t="shared" si="35"/>
        <v>-0.01</v>
      </c>
      <c r="Y501" s="17">
        <f t="shared" si="35"/>
        <v>0</v>
      </c>
      <c r="Z501" s="17">
        <f t="shared" si="35"/>
        <v>0</v>
      </c>
      <c r="AA501" s="17">
        <f t="shared" si="35"/>
        <v>0</v>
      </c>
      <c r="AB501" s="19">
        <f>SUM(U496:AA496)</f>
        <v>2.6734000000000001E-2</v>
      </c>
      <c r="AC501" s="67" t="str">
        <f>+F501</f>
        <v>SL</v>
      </c>
    </row>
    <row r="502" spans="1:29" x14ac:dyDescent="0.2">
      <c r="A502" s="9"/>
      <c r="B502" s="126">
        <v>-1</v>
      </c>
      <c r="D502" s="18"/>
      <c r="E502" s="34"/>
      <c r="F502" s="36"/>
      <c r="G502" s="12"/>
      <c r="H502" s="12"/>
      <c r="I502" s="12"/>
      <c r="J502" s="12"/>
      <c r="K502" s="12"/>
      <c r="O502" s="12"/>
      <c r="P502" s="12"/>
      <c r="Q502" s="12"/>
      <c r="R502" s="38" t="e">
        <f>INDEX('Pwr Factor'!$A$1:$B$52,MATCH((D503),'Pwr Factor'!$A$1:$A$52,0),2)</f>
        <v>#N/A</v>
      </c>
      <c r="S502" s="50">
        <v>0.5</v>
      </c>
      <c r="T502" s="12"/>
      <c r="U502" s="12"/>
      <c r="V502" s="12"/>
      <c r="W502" s="12"/>
      <c r="X502" s="12"/>
      <c r="Y502" s="12"/>
      <c r="Z502" s="12"/>
      <c r="AA502" s="12"/>
    </row>
    <row r="503" spans="1:29" x14ac:dyDescent="0.2">
      <c r="A503" s="1" t="s">
        <v>149</v>
      </c>
      <c r="B503" s="103">
        <f>IF(AND('AES Indiana Bill Calc.'!$D$17="SL",'AES Indiana Bill Calc.'!$D$18="Yes 50%",'AES Indiana Bill Calc.'!$D$20="No"),'AES Indiana Bill Calc.'!$D$19,-1)</f>
        <v>-1</v>
      </c>
      <c r="C503" s="103">
        <f>MAX(E503,$C$497)</f>
        <v>50</v>
      </c>
      <c r="D503" s="103" t="b">
        <f>IF(AND('AES Indiana Bill Calc.'!$D$17="SL",'AES Indiana Bill Calc.'!$D$18="Yes 50%",'AES Indiana Bill Calc.'!$D$20="No"),'AES Indiana Bill Calc.'!$D$22)</f>
        <v>0</v>
      </c>
      <c r="E503" s="103" t="b">
        <f>IF(AND('AES Indiana Bill Calc.'!$D$17="SL",'AES Indiana Bill Calc.'!$D$18="Yes 50%",'AES Indiana Bill Calc.'!$D$20="No"),'AES Indiana Bill Calc.'!$D$21)</f>
        <v>0</v>
      </c>
      <c r="F503" s="36" t="s">
        <v>61</v>
      </c>
      <c r="G503" s="17" t="e">
        <f>SUM(J503:M503,O503:P503,R503:AA503)</f>
        <v>#N/A</v>
      </c>
      <c r="H503" s="19" t="e">
        <f>IF(ISBLANK(B503),0,+#REF!/B503)</f>
        <v>#REF!</v>
      </c>
      <c r="I503" s="19"/>
      <c r="J503" s="16">
        <f>IF(ISBLANK(B503),0,+J$496)</f>
        <v>120</v>
      </c>
      <c r="K503" s="17">
        <f>ROUND($B503*K$496,2)</f>
        <v>-0.04</v>
      </c>
      <c r="N503" s="18">
        <f>K503</f>
        <v>-0.04</v>
      </c>
      <c r="O503" s="17">
        <f>IF($C503&gt;M$497,ROUND(M$497*M$496,2),ROUND($C503*M$496,2))</f>
        <v>1237</v>
      </c>
      <c r="P503" s="17">
        <f>IF($C503&gt;M$497,ROUND(($C503-M$497)*O$496,2),0)</f>
        <v>0</v>
      </c>
      <c r="Q503" s="17">
        <f>SUM(O503:P503)</f>
        <v>1237</v>
      </c>
      <c r="R503" s="16" t="e">
        <f>ROUND(SUM(N503:P503)*(R502-1),2)</f>
        <v>#N/A</v>
      </c>
      <c r="S503" s="17">
        <f>ROUND($B503*S$496*S502,2)</f>
        <v>0</v>
      </c>
      <c r="T503" s="17">
        <f t="shared" si="35"/>
        <v>0</v>
      </c>
      <c r="U503" s="17">
        <f t="shared" si="35"/>
        <v>0</v>
      </c>
      <c r="V503" s="17">
        <f t="shared" si="35"/>
        <v>-0.01</v>
      </c>
      <c r="W503" s="17">
        <f t="shared" si="35"/>
        <v>0</v>
      </c>
      <c r="X503" s="17">
        <f t="shared" si="35"/>
        <v>-0.01</v>
      </c>
      <c r="Y503" s="17">
        <f t="shared" si="35"/>
        <v>0</v>
      </c>
      <c r="Z503" s="17">
        <f t="shared" si="35"/>
        <v>0</v>
      </c>
      <c r="AA503" s="17">
        <f t="shared" si="35"/>
        <v>0</v>
      </c>
      <c r="AB503" s="19">
        <f>SUM(U498:AA498)</f>
        <v>133</v>
      </c>
      <c r="AC503" s="67" t="str">
        <f>+F503</f>
        <v>SL</v>
      </c>
    </row>
    <row r="504" spans="1:29" x14ac:dyDescent="0.2">
      <c r="A504" s="9"/>
      <c r="B504" s="126">
        <v>-1</v>
      </c>
      <c r="D504" s="18"/>
      <c r="E504" s="34"/>
      <c r="F504" s="36"/>
      <c r="G504" s="12"/>
      <c r="H504" s="12"/>
      <c r="I504" s="12"/>
      <c r="J504" s="12"/>
      <c r="K504" s="12"/>
      <c r="O504" s="12"/>
      <c r="P504" s="12"/>
      <c r="Q504" s="12"/>
      <c r="R504" s="38" t="e">
        <f>INDEX('Pwr Factor'!$A$1:$B$52,MATCH((D505),'Pwr Factor'!$A$1:$A$52,0),2)</f>
        <v>#N/A</v>
      </c>
      <c r="S504" s="50">
        <v>0.25</v>
      </c>
      <c r="T504" s="12"/>
      <c r="U504" s="12"/>
      <c r="V504" s="12"/>
      <c r="W504" s="12"/>
      <c r="X504" s="12"/>
      <c r="Y504" s="12"/>
      <c r="Z504" s="12"/>
      <c r="AA504" s="12"/>
    </row>
    <row r="505" spans="1:29" x14ac:dyDescent="0.2">
      <c r="A505" s="1" t="s">
        <v>150</v>
      </c>
      <c r="B505" s="103">
        <f>IF(AND('AES Indiana Bill Calc.'!$D$17="SL",'AES Indiana Bill Calc.'!$D$18="Yes 25%",'AES Indiana Bill Calc.'!$D$20="No"),'AES Indiana Bill Calc.'!$D$19,-1)</f>
        <v>-1</v>
      </c>
      <c r="C505" s="103">
        <f>MAX(E505,$C$497)</f>
        <v>50</v>
      </c>
      <c r="D505" s="103" t="b">
        <f>IF(AND('AES Indiana Bill Calc.'!$D$17="SL",'AES Indiana Bill Calc.'!$D$18="Yes 25%",'AES Indiana Bill Calc.'!$D$20="No"),'AES Indiana Bill Calc.'!$D$22)</f>
        <v>0</v>
      </c>
      <c r="E505" s="103" t="b">
        <f>IF(AND('AES Indiana Bill Calc.'!$D$17="SL",'AES Indiana Bill Calc.'!$D$18="Yes 25%",'AES Indiana Bill Calc.'!$D$20="No"),'AES Indiana Bill Calc.'!$D$21)</f>
        <v>0</v>
      </c>
      <c r="F505" s="36" t="s">
        <v>61</v>
      </c>
      <c r="G505" s="17" t="e">
        <f>SUM(J505:M505,O505:P505,R505:AA505)</f>
        <v>#N/A</v>
      </c>
      <c r="H505" s="19" t="e">
        <f>IF(ISBLANK(B505),0,+#REF!/B505)</f>
        <v>#REF!</v>
      </c>
      <c r="I505" s="19"/>
      <c r="J505" s="16">
        <f>IF(ISBLANK(B505),0,+J$496)</f>
        <v>120</v>
      </c>
      <c r="K505" s="17">
        <f>ROUND($B505*K$496,2)</f>
        <v>-0.04</v>
      </c>
      <c r="N505" s="18">
        <f>K505</f>
        <v>-0.04</v>
      </c>
      <c r="O505" s="17">
        <f>IF($C505&gt;M$497,ROUND(M$497*M$496,2),ROUND($C505*M$496,2))</f>
        <v>1237</v>
      </c>
      <c r="P505" s="17">
        <f>IF($C505&gt;M$497,ROUND(($C505-M$497)*O$496,2),0)</f>
        <v>0</v>
      </c>
      <c r="Q505" s="17">
        <f>SUM(O505:P505)</f>
        <v>1237</v>
      </c>
      <c r="R505" s="16" t="e">
        <f>ROUND(SUM(N505:P505)*(R504-1),2)</f>
        <v>#N/A</v>
      </c>
      <c r="S505" s="17">
        <f>ROUND($B505*S$496*S504,2)</f>
        <v>0</v>
      </c>
      <c r="T505" s="17">
        <f t="shared" si="35"/>
        <v>0</v>
      </c>
      <c r="U505" s="17">
        <f t="shared" si="35"/>
        <v>0</v>
      </c>
      <c r="V505" s="17">
        <f t="shared" si="35"/>
        <v>-0.01</v>
      </c>
      <c r="W505" s="17">
        <f t="shared" si="35"/>
        <v>0</v>
      </c>
      <c r="X505" s="17">
        <f t="shared" si="35"/>
        <v>-0.01</v>
      </c>
      <c r="Y505" s="17">
        <f t="shared" si="35"/>
        <v>0</v>
      </c>
      <c r="Z505" s="17">
        <f t="shared" si="35"/>
        <v>0</v>
      </c>
      <c r="AA505" s="17">
        <f t="shared" si="35"/>
        <v>0</v>
      </c>
      <c r="AB505" s="19">
        <f>SUM(U500:AA500)</f>
        <v>0</v>
      </c>
      <c r="AC505" s="67" t="str">
        <f>+F505</f>
        <v>SL</v>
      </c>
    </row>
    <row r="506" spans="1:29" x14ac:dyDescent="0.2">
      <c r="A506" s="9"/>
      <c r="B506" s="103">
        <v>-1</v>
      </c>
      <c r="D506" s="18"/>
      <c r="E506" s="34"/>
      <c r="F506" s="36"/>
      <c r="G506" s="12"/>
      <c r="H506" s="12"/>
      <c r="I506" s="12"/>
      <c r="J506" s="12"/>
      <c r="K506" s="12"/>
      <c r="O506" s="12"/>
      <c r="P506" s="12"/>
      <c r="Q506" s="12"/>
      <c r="R506" s="38" t="e">
        <f>INDEX('Pwr Factor'!$A$1:$B$52,MATCH((D507),'Pwr Factor'!$A$1:$A$52,0),2)</f>
        <v>#N/A</v>
      </c>
      <c r="S506" s="50">
        <v>0.1</v>
      </c>
      <c r="T506" s="12"/>
      <c r="U506" s="12"/>
      <c r="V506" s="12"/>
      <c r="W506" s="12"/>
      <c r="X506" s="12"/>
      <c r="Y506" s="12"/>
      <c r="Z506" s="12"/>
      <c r="AA506" s="12"/>
    </row>
    <row r="507" spans="1:29" x14ac:dyDescent="0.2">
      <c r="A507" s="1" t="s">
        <v>164</v>
      </c>
      <c r="B507" s="103">
        <f>IF(AND('AES Indiana Bill Calc.'!$D$17="SL",'AES Indiana Bill Calc.'!$D$18="Yes 10%",'AES Indiana Bill Calc.'!$D$20="No"),'AES Indiana Bill Calc.'!$D$19,-1)</f>
        <v>-1</v>
      </c>
      <c r="C507" s="103">
        <f>MAX(E507,$C$497)</f>
        <v>50</v>
      </c>
      <c r="D507" s="103" t="b">
        <f>IF(AND('AES Indiana Bill Calc.'!$D$17="SL",'AES Indiana Bill Calc.'!$D$18="Yes 10%",'AES Indiana Bill Calc.'!$D$20="No"),'AES Indiana Bill Calc.'!$D$22)</f>
        <v>0</v>
      </c>
      <c r="E507" s="103" t="b">
        <f>IF(AND('AES Indiana Bill Calc.'!$D$17="SL",'AES Indiana Bill Calc.'!$D$18="Yes 10%",'AES Indiana Bill Calc.'!$D$20="No"),'AES Indiana Bill Calc.'!$D$21)</f>
        <v>0</v>
      </c>
      <c r="F507" s="36" t="s">
        <v>61</v>
      </c>
      <c r="G507" s="17" t="e">
        <f>SUM(J507:M507,O507:P507,R507:AA507)</f>
        <v>#N/A</v>
      </c>
      <c r="H507" s="19" t="e">
        <f>IF(ISBLANK(B507),0,+#REF!/B507)</f>
        <v>#REF!</v>
      </c>
      <c r="I507" s="19"/>
      <c r="J507" s="16">
        <f>IF(ISBLANK(B507),0,+J$496)</f>
        <v>120</v>
      </c>
      <c r="K507" s="17">
        <f>ROUND($B507*K$496,2)</f>
        <v>-0.04</v>
      </c>
      <c r="N507" s="18">
        <f>K507</f>
        <v>-0.04</v>
      </c>
      <c r="O507" s="17">
        <f>IF($C507&gt;M$497,ROUND(M$497*M$496,2),ROUND($C507*M$496,2))</f>
        <v>1237</v>
      </c>
      <c r="P507" s="17">
        <f>IF($C507&gt;M$497,ROUND(($C507-M$497)*O$496,2),0)</f>
        <v>0</v>
      </c>
      <c r="Q507" s="17">
        <f>SUM(O507:P507)</f>
        <v>1237</v>
      </c>
      <c r="R507" s="16" t="e">
        <f>ROUND(SUM(N507:P507)*(R506-1),2)</f>
        <v>#N/A</v>
      </c>
      <c r="S507" s="17">
        <f>ROUND($B507*S$496*S506,2)</f>
        <v>0</v>
      </c>
      <c r="T507" s="17">
        <f t="shared" si="35"/>
        <v>0</v>
      </c>
      <c r="U507" s="17">
        <f t="shared" si="35"/>
        <v>0</v>
      </c>
      <c r="V507" s="17">
        <f t="shared" si="35"/>
        <v>-0.01</v>
      </c>
      <c r="W507" s="17">
        <f t="shared" si="35"/>
        <v>0</v>
      </c>
      <c r="X507" s="17">
        <f t="shared" si="35"/>
        <v>-0.01</v>
      </c>
      <c r="Y507" s="17">
        <f t="shared" si="35"/>
        <v>0</v>
      </c>
      <c r="Z507" s="17">
        <f t="shared" si="35"/>
        <v>0</v>
      </c>
      <c r="AA507" s="17">
        <f t="shared" si="35"/>
        <v>0</v>
      </c>
      <c r="AB507" s="19">
        <f>SUM(U502:AA502)</f>
        <v>0</v>
      </c>
      <c r="AC507" s="67" t="str">
        <f>+F507</f>
        <v>SL</v>
      </c>
    </row>
    <row r="508" spans="1:29" x14ac:dyDescent="0.2">
      <c r="A508" s="9"/>
      <c r="B508" s="103">
        <v>-1</v>
      </c>
      <c r="D508" s="18"/>
      <c r="E508" s="34"/>
      <c r="F508" s="36"/>
      <c r="G508" s="12"/>
      <c r="H508" s="12"/>
      <c r="I508" s="12"/>
      <c r="J508" s="12"/>
      <c r="K508" s="12"/>
      <c r="O508" s="12"/>
      <c r="P508" s="12"/>
      <c r="Q508" s="12"/>
      <c r="R508" s="38" t="e">
        <f>INDEX('Pwr Factor'!$A$1:$B$52,MATCH((D509),'Pwr Factor'!$A$1:$A$52,0),2)</f>
        <v>#N/A</v>
      </c>
      <c r="S508" s="50">
        <v>0</v>
      </c>
      <c r="T508" s="12"/>
      <c r="U508" s="12"/>
      <c r="V508" s="12"/>
      <c r="W508" s="12"/>
      <c r="X508" s="12"/>
      <c r="Y508" s="12"/>
      <c r="Z508" s="12"/>
      <c r="AA508" s="12"/>
    </row>
    <row r="509" spans="1:29" x14ac:dyDescent="0.2">
      <c r="A509" s="1" t="s">
        <v>147</v>
      </c>
      <c r="B509" s="103">
        <f>IF(AND('AES Indiana Bill Calc.'!$D$17="SL",'AES Indiana Bill Calc.'!$D$18="No",'AES Indiana Bill Calc.'!$D$20="No"),'AES Indiana Bill Calc.'!$D$19,-1)</f>
        <v>-1</v>
      </c>
      <c r="C509" s="103">
        <f>MAX(E509,$C$497)</f>
        <v>50</v>
      </c>
      <c r="D509" s="103" t="b">
        <f>IF(AND('AES Indiana Bill Calc.'!$D$17="SL",'AES Indiana Bill Calc.'!$D$18="No",'AES Indiana Bill Calc.'!$D$20="No"),'AES Indiana Bill Calc.'!$D$22)</f>
        <v>0</v>
      </c>
      <c r="E509" s="103" t="b">
        <f>IF(AND('AES Indiana Bill Calc.'!$D$17="SL",'AES Indiana Bill Calc.'!$D$18="No",'AES Indiana Bill Calc.'!$D$20="No"),'AES Indiana Bill Calc.'!$D$21)</f>
        <v>0</v>
      </c>
      <c r="F509" s="36" t="s">
        <v>61</v>
      </c>
      <c r="G509" s="17" t="e">
        <f>SUM(J509:M509,O509:P509,R509:AA509)</f>
        <v>#N/A</v>
      </c>
      <c r="H509" s="19" t="e">
        <f>IF(ISBLANK(B509),0,+#REF!/B509)</f>
        <v>#REF!</v>
      </c>
      <c r="I509" s="19"/>
      <c r="J509" s="16">
        <f>IF(ISBLANK(B509),0,+J$496)</f>
        <v>120</v>
      </c>
      <c r="K509" s="17">
        <f>ROUND($B509*K$496,2)</f>
        <v>-0.04</v>
      </c>
      <c r="N509" s="18">
        <f>K509</f>
        <v>-0.04</v>
      </c>
      <c r="O509" s="17">
        <f>IF($C509&gt;M$497,ROUND(M$497*M$496,2),ROUND($C509*M$496,2))</f>
        <v>1237</v>
      </c>
      <c r="P509" s="17">
        <f>IF($C509&gt;M$497,ROUND(($C509-M$497)*O$496,2),0)</f>
        <v>0</v>
      </c>
      <c r="Q509" s="17">
        <f>SUM(O509:P509)</f>
        <v>1237</v>
      </c>
      <c r="R509" s="16" t="e">
        <f>ROUND(SUM(N509:P509)*(R508-1),2)</f>
        <v>#N/A</v>
      </c>
      <c r="S509" s="17">
        <f>ROUND($B509*S$496*S508,2)</f>
        <v>0</v>
      </c>
      <c r="T509" s="17">
        <f t="shared" si="35"/>
        <v>0</v>
      </c>
      <c r="U509" s="17">
        <f t="shared" si="35"/>
        <v>0</v>
      </c>
      <c r="V509" s="17">
        <f>ROUND($B509*V$496,2)</f>
        <v>-0.01</v>
      </c>
      <c r="W509" s="17">
        <f t="shared" si="35"/>
        <v>0</v>
      </c>
      <c r="X509" s="17">
        <f t="shared" si="35"/>
        <v>-0.01</v>
      </c>
      <c r="Y509" s="17">
        <f t="shared" si="35"/>
        <v>0</v>
      </c>
      <c r="Z509" s="17">
        <f t="shared" si="35"/>
        <v>0</v>
      </c>
      <c r="AA509" s="17">
        <f t="shared" si="35"/>
        <v>0</v>
      </c>
      <c r="AB509" s="19">
        <f>SUM(U504:AA504)</f>
        <v>0</v>
      </c>
      <c r="AC509" s="67" t="str">
        <f>+F509</f>
        <v>SL</v>
      </c>
    </row>
    <row r="510" spans="1:29" x14ac:dyDescent="0.2">
      <c r="B510" s="103">
        <v>-1</v>
      </c>
      <c r="D510" s="8"/>
      <c r="E510" s="9"/>
      <c r="F510" s="36"/>
      <c r="G510" s="17"/>
      <c r="H510" s="19"/>
      <c r="I510" s="19"/>
      <c r="J510" s="16"/>
      <c r="K510" s="17"/>
      <c r="O510" s="17"/>
      <c r="P510" s="17"/>
      <c r="Q510" s="17"/>
      <c r="R510" s="38" t="e">
        <f>VLOOKUP((D511),'Pwr Factor'!$A$1:$B$52,2)</f>
        <v>#N/A</v>
      </c>
      <c r="S510" s="50">
        <v>1</v>
      </c>
      <c r="T510" s="17"/>
      <c r="U510" s="17"/>
      <c r="V510" s="8"/>
      <c r="W510" s="17"/>
      <c r="X510" s="17"/>
      <c r="Y510" s="17"/>
      <c r="Z510" s="17"/>
      <c r="AA510" s="17"/>
      <c r="AB510" s="19"/>
      <c r="AC510" s="67"/>
    </row>
    <row r="511" spans="1:29" x14ac:dyDescent="0.2">
      <c r="A511" s="1" t="s">
        <v>148</v>
      </c>
      <c r="B511" s="103">
        <f>IF(AND('AES Indiana Bill Calc.'!$D$17="SL",'AES Indiana Bill Calc.'!$D$18="Yes 100%",'AES Indiana Bill Calc.'!$D$20="Yes Before 2018"),'AES Indiana Bill Calc.'!$D$19,-1)</f>
        <v>-1</v>
      </c>
      <c r="C511" s="103">
        <f>MAX(E511,$C$497)</f>
        <v>50</v>
      </c>
      <c r="D511" s="103" t="b">
        <f>IF(AND('AES Indiana Bill Calc.'!$D$17="SL",'AES Indiana Bill Calc.'!$D$18="Yes 100%",'AES Indiana Bill Calc.'!$D$20="Yes Before 2018"),'AES Indiana Bill Calc.'!$D$22)</f>
        <v>0</v>
      </c>
      <c r="E511" s="103" t="b">
        <f>IF(AND('AES Indiana Bill Calc.'!$D$17="SL",'AES Indiana Bill Calc.'!$D$18="Yes 100%",'AES Indiana Bill Calc.'!$D$20="Yes Before 2018"),'AES Indiana Bill Calc.'!$D$21)</f>
        <v>0</v>
      </c>
      <c r="F511" s="36" t="s">
        <v>202</v>
      </c>
      <c r="G511" s="17" t="e">
        <f>SUM(J511:M511,O511:P511,R511:AA511)</f>
        <v>#N/A</v>
      </c>
      <c r="H511" s="19" t="e">
        <f>IF(ISBLANK(B511),0,+#REF!/B511)</f>
        <v>#REF!</v>
      </c>
      <c r="J511" s="82">
        <f>IF(ISBLANK(B511),0,+J$496)</f>
        <v>120</v>
      </c>
      <c r="K511" s="42">
        <f>ROUND($B511*K$496,2)</f>
        <v>-0.04</v>
      </c>
      <c r="N511" s="18">
        <f>K511</f>
        <v>-0.04</v>
      </c>
      <c r="O511" s="17">
        <f>IF($C511&gt;M$497,ROUND(M$497*M$496,2),ROUND($C511*M$496,2))</f>
        <v>1237</v>
      </c>
      <c r="P511" s="17">
        <f>IF($C511&gt;M$497,ROUND(($C511-M$497)*O$496,2),0)</f>
        <v>0</v>
      </c>
      <c r="Q511" s="17">
        <f>SUM(O511:P511)</f>
        <v>1237</v>
      </c>
      <c r="R511" s="16" t="e">
        <f>ROUND(SUM(N511:P511)*(R510-1),2)</f>
        <v>#N/A</v>
      </c>
      <c r="S511" s="42">
        <f>ROUND($B511*S$496*S510,2)</f>
        <v>0</v>
      </c>
      <c r="T511" s="42">
        <f>ROUND($B511*T$496,2)</f>
        <v>0</v>
      </c>
      <c r="U511" s="42">
        <f>ROUND($B511*U$496,2)</f>
        <v>0</v>
      </c>
      <c r="V511" s="41">
        <f>ROUND($B511*V$487,2)</f>
        <v>0</v>
      </c>
      <c r="W511" s="42">
        <f>ROUND($B511*W$496,2)</f>
        <v>0</v>
      </c>
      <c r="X511" s="42">
        <f>ROUND($B511*X$496,2)</f>
        <v>-0.01</v>
      </c>
      <c r="Y511" s="42">
        <f>ROUND($B511*Y$496,2)</f>
        <v>0</v>
      </c>
      <c r="Z511" s="42">
        <f>ROUND($B511*Z$496,2)</f>
        <v>0</v>
      </c>
      <c r="AA511" s="42">
        <f>ROUND($B511*AA$496,2)</f>
        <v>0</v>
      </c>
      <c r="AB511" s="19">
        <f>SUM(U$496:AA$496)+(-V$496+V487)</f>
        <v>1.2938000000000002E-2</v>
      </c>
      <c r="AC511" s="94" t="str">
        <f>+F511</f>
        <v>SL7</v>
      </c>
    </row>
    <row r="512" spans="1:29" x14ac:dyDescent="0.2">
      <c r="A512" s="9"/>
      <c r="B512" s="103">
        <v>-1</v>
      </c>
      <c r="D512" s="8"/>
      <c r="E512" s="9"/>
      <c r="F512" s="36"/>
      <c r="G512" s="17"/>
      <c r="H512" s="19"/>
      <c r="I512" s="19"/>
      <c r="J512" s="16"/>
      <c r="K512" s="17"/>
      <c r="O512" s="17"/>
      <c r="P512" s="17"/>
      <c r="Q512" s="17"/>
      <c r="R512" s="38" t="e">
        <f>VLOOKUP((D513),'Pwr Factor'!$A$1:$B$52,2)</f>
        <v>#N/A</v>
      </c>
      <c r="S512" s="50">
        <v>0.5</v>
      </c>
      <c r="T512" s="17"/>
      <c r="U512" s="17"/>
      <c r="V512" s="8"/>
      <c r="W512" s="17"/>
      <c r="X512" s="17"/>
      <c r="Y512" s="17"/>
      <c r="Z512" s="17"/>
      <c r="AA512" s="17"/>
      <c r="AB512" s="19"/>
      <c r="AC512" s="67"/>
    </row>
    <row r="513" spans="1:29" x14ac:dyDescent="0.2">
      <c r="A513" s="1" t="s">
        <v>149</v>
      </c>
      <c r="B513" s="103">
        <f>IF(AND('AES Indiana Bill Calc.'!$D$17="SL",'AES Indiana Bill Calc.'!$D$18="Yes 50%",'AES Indiana Bill Calc.'!$D$20="Yes Before 2018"),'AES Indiana Bill Calc.'!$D$19,-1)</f>
        <v>-1</v>
      </c>
      <c r="C513" s="103">
        <f>MAX(E513,$C$497)</f>
        <v>50</v>
      </c>
      <c r="D513" s="103" t="b">
        <f>IF(AND('AES Indiana Bill Calc.'!$D$17="SL",'AES Indiana Bill Calc.'!$D$18="Yes 50%",'AES Indiana Bill Calc.'!$D$20="Yes Before 2018"),'AES Indiana Bill Calc.'!$D$22)</f>
        <v>0</v>
      </c>
      <c r="E513" s="103" t="b">
        <f>IF(AND('AES Indiana Bill Calc.'!$D$17="SL",'AES Indiana Bill Calc.'!$D$18="Yes 50%",'AES Indiana Bill Calc.'!$D$20="Yes Before 2018"),'AES Indiana Bill Calc.'!$D$21)</f>
        <v>0</v>
      </c>
      <c r="F513" s="36" t="s">
        <v>202</v>
      </c>
      <c r="G513" s="17" t="e">
        <f>SUM(J513:M513,O513:P513,R513:AA513)</f>
        <v>#N/A</v>
      </c>
      <c r="H513" s="19" t="e">
        <f>IF(ISBLANK(B513),0,+#REF!/B513)</f>
        <v>#REF!</v>
      </c>
      <c r="J513" s="82">
        <f>IF(ISBLANK(B513),0,+J$496)</f>
        <v>120</v>
      </c>
      <c r="K513" s="42">
        <f>ROUND($B513*K$496,2)</f>
        <v>-0.04</v>
      </c>
      <c r="N513" s="18">
        <f>K513</f>
        <v>-0.04</v>
      </c>
      <c r="O513" s="17">
        <f>IF($C513&gt;M$497,ROUND(M$497*M$496,2),ROUND($C513*M$496,2))</f>
        <v>1237</v>
      </c>
      <c r="P513" s="17">
        <f>IF($C513&gt;M$497,ROUND(($C513-M$497)*O$496,2),0)</f>
        <v>0</v>
      </c>
      <c r="Q513" s="17">
        <f>SUM(O513:P513)</f>
        <v>1237</v>
      </c>
      <c r="R513" s="16" t="e">
        <f>ROUND(SUM(N513:P513)*(R512-1),2)</f>
        <v>#N/A</v>
      </c>
      <c r="S513" s="42">
        <f>ROUND($B513*S$496*S512,2)</f>
        <v>0</v>
      </c>
      <c r="T513" s="42">
        <f>ROUND($B513*T$496,2)</f>
        <v>0</v>
      </c>
      <c r="U513" s="42">
        <f>ROUND($B513*U$496,2)</f>
        <v>0</v>
      </c>
      <c r="V513" s="41">
        <f>ROUND($B513*V$487,2)</f>
        <v>0</v>
      </c>
      <c r="W513" s="42">
        <f>ROUND($B513*W$496,2)</f>
        <v>0</v>
      </c>
      <c r="X513" s="42">
        <f>ROUND($B513*X$496,2)</f>
        <v>-0.01</v>
      </c>
      <c r="Y513" s="42">
        <f>ROUND($B513*Y$496,2)</f>
        <v>0</v>
      </c>
      <c r="Z513" s="42">
        <f>ROUND($B513*Z$496,2)</f>
        <v>0</v>
      </c>
      <c r="AA513" s="42">
        <f>ROUND($B513*AA$496,2)</f>
        <v>0</v>
      </c>
      <c r="AB513" s="19">
        <f>SUM(U$496:AA$496)+(-V$496+V489)</f>
        <v>1.3393000000000002E-2</v>
      </c>
      <c r="AC513" s="94" t="str">
        <f>+F513</f>
        <v>SL7</v>
      </c>
    </row>
    <row r="514" spans="1:29" x14ac:dyDescent="0.2">
      <c r="A514" s="9"/>
      <c r="B514" s="103">
        <v>-1</v>
      </c>
      <c r="D514" s="8"/>
      <c r="E514" s="9"/>
      <c r="F514" s="36"/>
      <c r="G514" s="17"/>
      <c r="H514" s="19"/>
      <c r="I514" s="19"/>
      <c r="J514" s="16"/>
      <c r="K514" s="17"/>
      <c r="O514" s="17"/>
      <c r="P514" s="17"/>
      <c r="Q514" s="17"/>
      <c r="R514" s="38" t="e">
        <f>VLOOKUP((D515),'Pwr Factor'!$A$1:$B$52,2)</f>
        <v>#N/A</v>
      </c>
      <c r="S514" s="50">
        <v>0.25</v>
      </c>
      <c r="T514" s="17"/>
      <c r="U514" s="17"/>
      <c r="V514" s="8"/>
      <c r="W514" s="17"/>
      <c r="X514" s="17"/>
      <c r="Y514" s="17"/>
      <c r="Z514" s="17"/>
      <c r="AA514" s="17"/>
      <c r="AB514" s="19"/>
      <c r="AC514" s="67"/>
    </row>
    <row r="515" spans="1:29" x14ac:dyDescent="0.2">
      <c r="A515" s="1" t="s">
        <v>150</v>
      </c>
      <c r="B515" s="103">
        <f>IF(AND('AES Indiana Bill Calc.'!$D$17="SL",'AES Indiana Bill Calc.'!$D$18="Yes 25%",'AES Indiana Bill Calc.'!$D$20="Yes Before 2018"),'AES Indiana Bill Calc.'!$D$19,-1)</f>
        <v>-1</v>
      </c>
      <c r="C515" s="103">
        <f>MAX(E515,$C$497)</f>
        <v>50</v>
      </c>
      <c r="D515" s="103" t="b">
        <f>IF(AND('AES Indiana Bill Calc.'!$D$17="SL",'AES Indiana Bill Calc.'!$D$18="Yes 25%",'AES Indiana Bill Calc.'!$D$20="Yes Before 2018"),'AES Indiana Bill Calc.'!$D$22)</f>
        <v>0</v>
      </c>
      <c r="E515" s="103" t="b">
        <f>IF(AND('AES Indiana Bill Calc.'!$D$17="SL",'AES Indiana Bill Calc.'!$D$18="Yes 25%",'AES Indiana Bill Calc.'!$D$20="Yes Before 2018"),'AES Indiana Bill Calc.'!$D$21)</f>
        <v>0</v>
      </c>
      <c r="F515" s="36" t="s">
        <v>202</v>
      </c>
      <c r="G515" s="17" t="e">
        <f>SUM(J515:M515,O515:P515,R515:AA515)</f>
        <v>#N/A</v>
      </c>
      <c r="H515" s="19" t="e">
        <f>IF(ISBLANK(B515),0,+#REF!/B515)</f>
        <v>#REF!</v>
      </c>
      <c r="J515" s="82">
        <f>IF(ISBLANK(B515),0,+J$496)</f>
        <v>120</v>
      </c>
      <c r="K515" s="42">
        <f>ROUND($B515*K$496,2)</f>
        <v>-0.04</v>
      </c>
      <c r="N515" s="18">
        <f>K515</f>
        <v>-0.04</v>
      </c>
      <c r="O515" s="17">
        <f>IF($C515&gt;M$497,ROUND(M$497*M$496,2),ROUND($C515*M$496,2))</f>
        <v>1237</v>
      </c>
      <c r="P515" s="17">
        <f>IF($C515&gt;M$497,ROUND(($C515-M$497)*O$496,2),0)</f>
        <v>0</v>
      </c>
      <c r="Q515" s="17">
        <f>SUM(O515:P515)</f>
        <v>1237</v>
      </c>
      <c r="R515" s="16" t="e">
        <f>ROUND(SUM(N515:P515)*(R514-1),2)</f>
        <v>#N/A</v>
      </c>
      <c r="S515" s="42">
        <f>ROUND($B515*S$496*S514,2)</f>
        <v>0</v>
      </c>
      <c r="T515" s="42">
        <f>ROUND($B515*T$496,2)</f>
        <v>0</v>
      </c>
      <c r="U515" s="42">
        <f>ROUND($B515*U$496,2)</f>
        <v>0</v>
      </c>
      <c r="V515" s="41">
        <f>ROUND($B515*V$487,2)</f>
        <v>0</v>
      </c>
      <c r="W515" s="42">
        <f>ROUND($B515*W$496,2)</f>
        <v>0</v>
      </c>
      <c r="X515" s="42">
        <f>ROUND($B515*X$496,2)</f>
        <v>-0.01</v>
      </c>
      <c r="Y515" s="42">
        <f>ROUND($B515*Y$496,2)</f>
        <v>0</v>
      </c>
      <c r="Z515" s="42">
        <f>ROUND($B515*Z$496,2)</f>
        <v>0</v>
      </c>
      <c r="AA515" s="42">
        <f>ROUND($B515*AA$496,2)</f>
        <v>0</v>
      </c>
      <c r="AB515" s="19">
        <f>SUM(U$496:AA$496)+(-V$496+V491)</f>
        <v>1.2928000000000002E-2</v>
      </c>
      <c r="AC515" s="94" t="str">
        <f>+F515</f>
        <v>SL7</v>
      </c>
    </row>
    <row r="516" spans="1:29" x14ac:dyDescent="0.2">
      <c r="A516" s="9"/>
      <c r="B516" s="103">
        <v>-1</v>
      </c>
      <c r="D516" s="8"/>
      <c r="E516" s="9"/>
      <c r="F516" s="36"/>
      <c r="G516" s="17"/>
      <c r="H516" s="19"/>
      <c r="I516" s="19"/>
      <c r="J516" s="16"/>
      <c r="K516" s="17"/>
      <c r="O516" s="17"/>
      <c r="P516" s="17"/>
      <c r="Q516" s="17"/>
      <c r="R516" s="38" t="e">
        <f>VLOOKUP((D517),'Pwr Factor'!$A$1:$B$52,2)</f>
        <v>#N/A</v>
      </c>
      <c r="S516" s="50">
        <v>0.1</v>
      </c>
      <c r="T516" s="17"/>
      <c r="U516" s="17"/>
      <c r="V516" s="8"/>
      <c r="W516" s="17"/>
      <c r="X516" s="17"/>
      <c r="Y516" s="17"/>
      <c r="Z516" s="17"/>
      <c r="AA516" s="17"/>
      <c r="AB516" s="19"/>
      <c r="AC516" s="67"/>
    </row>
    <row r="517" spans="1:29" x14ac:dyDescent="0.2">
      <c r="A517" s="1" t="s">
        <v>164</v>
      </c>
      <c r="B517" s="103">
        <f>IF(AND('AES Indiana Bill Calc.'!$D$17="SL",'AES Indiana Bill Calc.'!$D$18="Yes 10%",'AES Indiana Bill Calc.'!$D$20="Yes Before 2018"),'AES Indiana Bill Calc.'!$D$19,-1)</f>
        <v>-1</v>
      </c>
      <c r="C517" s="103">
        <f>MAX(E517,$C$497)</f>
        <v>50</v>
      </c>
      <c r="D517" s="103" t="b">
        <f>IF(AND('AES Indiana Bill Calc.'!$D$17="SL",'AES Indiana Bill Calc.'!$D$18="Yes 10%",'AES Indiana Bill Calc.'!$D$20="Yes Before 2018"),'AES Indiana Bill Calc.'!$D$22)</f>
        <v>0</v>
      </c>
      <c r="E517" s="103" t="b">
        <f>IF(AND('AES Indiana Bill Calc.'!$D$17="SL",'AES Indiana Bill Calc.'!$D$18="Yes 10%",'AES Indiana Bill Calc.'!$D$20="Yes Before 2018"),'AES Indiana Bill Calc.'!$D$21)</f>
        <v>0</v>
      </c>
      <c r="F517" s="36" t="s">
        <v>202</v>
      </c>
      <c r="G517" s="17" t="e">
        <f>SUM(J517:M517,O517:P517,R517:AA517)</f>
        <v>#N/A</v>
      </c>
      <c r="H517" s="19" t="e">
        <f>IF(ISBLANK(B517),0,+#REF!/B517)</f>
        <v>#REF!</v>
      </c>
      <c r="J517" s="82">
        <f>IF(ISBLANK(B517),0,+J$496)</f>
        <v>120</v>
      </c>
      <c r="K517" s="42">
        <f>ROUND($B517*K$496,2)</f>
        <v>-0.04</v>
      </c>
      <c r="N517" s="18">
        <f>K517</f>
        <v>-0.04</v>
      </c>
      <c r="O517" s="17">
        <f>IF($C517&gt;M$497,ROUND(M$497*M$496,2),ROUND($C517*M$496,2))</f>
        <v>1237</v>
      </c>
      <c r="P517" s="17">
        <f>IF($C517&gt;M$497,ROUND(($C517-M$497)*O$496,2),0)</f>
        <v>0</v>
      </c>
      <c r="Q517" s="17">
        <f>SUM(O517:P517)</f>
        <v>1237</v>
      </c>
      <c r="R517" s="16" t="e">
        <f>ROUND(SUM(N517:P517)*(R516-1),2)</f>
        <v>#N/A</v>
      </c>
      <c r="S517" s="42">
        <f>ROUND($B517*S$496*S516,2)</f>
        <v>0</v>
      </c>
      <c r="T517" s="42">
        <f>ROUND($B517*T$496,2)</f>
        <v>0</v>
      </c>
      <c r="U517" s="42">
        <f>ROUND($B517*U$496,2)</f>
        <v>0</v>
      </c>
      <c r="V517" s="41">
        <f>ROUND($B517*V$487,2)</f>
        <v>0</v>
      </c>
      <c r="W517" s="42">
        <f>ROUND($B517*W$496,2)</f>
        <v>0</v>
      </c>
      <c r="X517" s="42">
        <f>ROUND($B517*X$496,2)</f>
        <v>-0.01</v>
      </c>
      <c r="Y517" s="42">
        <f>ROUND($B517*Y$496,2)</f>
        <v>0</v>
      </c>
      <c r="Z517" s="42">
        <f>ROUND($B517*Z$496,2)</f>
        <v>0</v>
      </c>
      <c r="AA517" s="42">
        <f>ROUND($B517*AA$496,2)</f>
        <v>0</v>
      </c>
      <c r="AB517" s="19">
        <f>SUM(U$496:AA$496)+(-V$496+V497)</f>
        <v>1.2938000000000002E-2</v>
      </c>
      <c r="AC517" s="94" t="str">
        <f>+F517</f>
        <v>SL7</v>
      </c>
    </row>
    <row r="518" spans="1:29" x14ac:dyDescent="0.2">
      <c r="A518" s="9"/>
      <c r="B518" s="103">
        <v>-1</v>
      </c>
      <c r="D518" s="8"/>
      <c r="E518" s="9"/>
      <c r="F518" s="36"/>
      <c r="G518" s="17"/>
      <c r="H518" s="19"/>
      <c r="I518" s="19"/>
      <c r="J518" s="16"/>
      <c r="K518" s="17"/>
      <c r="O518" s="17"/>
      <c r="P518" s="17"/>
      <c r="Q518" s="17"/>
      <c r="R518" s="38" t="e">
        <f>VLOOKUP((D519),'Pwr Factor'!$A$1:$B$52,2)</f>
        <v>#N/A</v>
      </c>
      <c r="S518" s="50">
        <v>0</v>
      </c>
      <c r="T518" s="17"/>
      <c r="U518" s="17"/>
      <c r="V518" s="8"/>
      <c r="W518" s="17"/>
      <c r="X518" s="17"/>
      <c r="Y518" s="17"/>
      <c r="Z518" s="17"/>
      <c r="AA518" s="17"/>
      <c r="AB518" s="19"/>
      <c r="AC518" s="67"/>
    </row>
    <row r="519" spans="1:29" x14ac:dyDescent="0.2">
      <c r="A519" s="1" t="s">
        <v>147</v>
      </c>
      <c r="B519" s="103">
        <f>IF(AND('AES Indiana Bill Calc.'!$D$17="SL",'AES Indiana Bill Calc.'!$D$18="No",'AES Indiana Bill Calc.'!$D$20="Yes Before 2018"),'AES Indiana Bill Calc.'!$D$19,-1)</f>
        <v>-1</v>
      </c>
      <c r="C519" s="103">
        <f>MAX(E519,$C$497)</f>
        <v>50</v>
      </c>
      <c r="D519" s="103" t="b">
        <f>IF(AND('AES Indiana Bill Calc.'!$D$17="SL",'AES Indiana Bill Calc.'!$D$18="No",'AES Indiana Bill Calc.'!$D$20="Yes Before 2018"),'AES Indiana Bill Calc.'!$D$22)</f>
        <v>0</v>
      </c>
      <c r="E519" s="103" t="b">
        <f>IF(AND('AES Indiana Bill Calc.'!$D$17="SL",'AES Indiana Bill Calc.'!$D$18="No",'AES Indiana Bill Calc.'!$D$20="Yes Before 2018"),'AES Indiana Bill Calc.'!$D$21)</f>
        <v>0</v>
      </c>
      <c r="F519" s="36" t="s">
        <v>202</v>
      </c>
      <c r="G519" s="17" t="e">
        <f>SUM(J519:M519,O519:P519,R519:AA519)</f>
        <v>#N/A</v>
      </c>
      <c r="H519" s="19" t="e">
        <f>IF(ISBLANK(B519),0,+#REF!/B519)</f>
        <v>#REF!</v>
      </c>
      <c r="J519" s="82">
        <f>IF(ISBLANK(B519),0,+J$496)</f>
        <v>120</v>
      </c>
      <c r="K519" s="42">
        <f>ROUND($B519*K$496,2)</f>
        <v>-0.04</v>
      </c>
      <c r="N519" s="18">
        <f>K519</f>
        <v>-0.04</v>
      </c>
      <c r="O519" s="17">
        <f>IF($C519&gt;M$497,ROUND(M$497*M$496,2),ROUND($C519*M$496,2))</f>
        <v>1237</v>
      </c>
      <c r="P519" s="17">
        <f>IF($C519&gt;M$497,ROUND(($C519-M$497)*O$496,2),0)</f>
        <v>0</v>
      </c>
      <c r="Q519" s="17">
        <f>SUM(O519:P519)</f>
        <v>1237</v>
      </c>
      <c r="R519" s="16" t="e">
        <f>ROUND(SUM(N519:P519)*(R518-1),2)</f>
        <v>#N/A</v>
      </c>
      <c r="S519" s="42">
        <f>ROUND($B519*S$496*S518,2)</f>
        <v>0</v>
      </c>
      <c r="T519" s="42">
        <f>ROUND($B519*T$496,2)</f>
        <v>0</v>
      </c>
      <c r="U519" s="42">
        <f>ROUND($B519*U$496,2)</f>
        <v>0</v>
      </c>
      <c r="V519" s="41">
        <f>ROUND($B519*V$487,2)</f>
        <v>0</v>
      </c>
      <c r="W519" s="42">
        <f>ROUND($B519*W$496,2)</f>
        <v>0</v>
      </c>
      <c r="X519" s="42">
        <f>ROUND($B519*X$496,2)</f>
        <v>-0.01</v>
      </c>
      <c r="Y519" s="42">
        <f>ROUND($B519*Y$496,2)</f>
        <v>0</v>
      </c>
      <c r="Z519" s="42">
        <f>ROUND($B519*Z$496,2)</f>
        <v>0</v>
      </c>
      <c r="AA519" s="42">
        <f>ROUND($B519*AA$496,2)</f>
        <v>0</v>
      </c>
      <c r="AB519" s="19" t="e">
        <f>SUM(U$496:AA$496)+(-V$496+V499)</f>
        <v>#VALUE!</v>
      </c>
      <c r="AC519" s="94" t="str">
        <f>+F519</f>
        <v>SL7</v>
      </c>
    </row>
    <row r="520" spans="1:29" x14ac:dyDescent="0.2">
      <c r="B520" s="103">
        <v>-1</v>
      </c>
      <c r="D520" s="32"/>
      <c r="E520" s="103"/>
      <c r="F520" s="36"/>
      <c r="G520" s="92"/>
      <c r="H520" s="19"/>
      <c r="I520" s="19"/>
      <c r="J520" s="16"/>
      <c r="K520" s="17"/>
      <c r="O520" s="17"/>
      <c r="P520" s="17"/>
      <c r="Q520" s="17"/>
      <c r="R520" s="38" t="e">
        <f>INDEX('Pwr Factor'!$A$1:$B$52,MATCH((D521),'Pwr Factor'!$A$1:$A$52,0),2)</f>
        <v>#N/A</v>
      </c>
      <c r="S520" s="50">
        <v>1</v>
      </c>
      <c r="T520" s="17"/>
      <c r="U520" s="17"/>
      <c r="V520" s="8"/>
      <c r="W520" s="17"/>
      <c r="X520" s="17"/>
      <c r="Y520" s="17"/>
      <c r="Z520" s="17"/>
      <c r="AA520" s="17"/>
      <c r="AB520" s="19"/>
      <c r="AC520" s="67"/>
    </row>
    <row r="521" spans="1:29" x14ac:dyDescent="0.2">
      <c r="A521" s="1" t="s">
        <v>148</v>
      </c>
      <c r="B521" s="103">
        <f>IF(AND('AES Indiana Bill Calc.'!$D$17="SL",'AES Indiana Bill Calc.'!$D$18="Yes 100%",'AES Indiana Bill Calc.'!$D$20="Yes 2018"),'AES Indiana Bill Calc.'!$D$19,-1)</f>
        <v>-1</v>
      </c>
      <c r="C521" s="103">
        <f>MAX(E521,$C$497)</f>
        <v>50</v>
      </c>
      <c r="D521" s="103" t="b">
        <f>IF(AND('AES Indiana Bill Calc.'!$D$17="SL",'AES Indiana Bill Calc.'!$D$18="Yes 100%",'AES Indiana Bill Calc.'!$D$20="Yes 2018"),'AES Indiana Bill Calc.'!$D$22)</f>
        <v>0</v>
      </c>
      <c r="E521" s="103" t="b">
        <f>IF(AND('AES Indiana Bill Calc.'!$D$17="SL",'AES Indiana Bill Calc.'!$D$18="Yes 100%",'AES Indiana Bill Calc.'!$D$20="Yes 2018"),'AES Indiana Bill Calc.'!$D$21)</f>
        <v>0</v>
      </c>
      <c r="F521" s="36" t="s">
        <v>203</v>
      </c>
      <c r="G521" s="17" t="e">
        <f>SUM(J521:M521,O521:P521,R521:AA521)</f>
        <v>#N/A</v>
      </c>
      <c r="H521" s="19" t="e">
        <f>IF(ISBLANK(B521),0,+#REF!/B521)</f>
        <v>#REF!</v>
      </c>
      <c r="J521" s="82">
        <f>IF(ISBLANK(B521),0,+J$496)</f>
        <v>120</v>
      </c>
      <c r="K521" s="42">
        <f>ROUND($B521*K$496,2)</f>
        <v>-0.04</v>
      </c>
      <c r="N521" s="18">
        <f>K521</f>
        <v>-0.04</v>
      </c>
      <c r="O521" s="17">
        <f>IF($C521&gt;M$497,ROUND(M$497*M$496,2),ROUND($C521*M$496,2))</f>
        <v>1237</v>
      </c>
      <c r="P521" s="17">
        <f>IF($C521&gt;M$497,ROUND(($C521-M$497)*O$496,2),0)</f>
        <v>0</v>
      </c>
      <c r="Q521" s="17">
        <f>SUM(O521:P521)</f>
        <v>1237</v>
      </c>
      <c r="R521" s="16" t="e">
        <f>ROUND(SUM(N521:P521)*(R520-1),2)</f>
        <v>#N/A</v>
      </c>
      <c r="S521" s="42">
        <f>ROUND($B521*S$496*S520,2)</f>
        <v>0</v>
      </c>
      <c r="T521" s="42">
        <f>ROUND($B521*T$496,2)</f>
        <v>0</v>
      </c>
      <c r="U521" s="42">
        <f>ROUND($B521*U$496,2)</f>
        <v>0</v>
      </c>
      <c r="V521" s="41">
        <f>ROUND($B521*$V$488,2)</f>
        <v>0</v>
      </c>
      <c r="W521" s="42">
        <f>ROUND($B521*W$496,2)</f>
        <v>0</v>
      </c>
      <c r="X521" s="42">
        <f>ROUND($B521*X$496,2)</f>
        <v>-0.01</v>
      </c>
      <c r="Y521" s="42">
        <f>ROUND($B521*Y$496,2)</f>
        <v>0</v>
      </c>
      <c r="Z521" s="42">
        <f>ROUND($B521*Z$496,2)</f>
        <v>0</v>
      </c>
      <c r="AA521" s="42">
        <f>ROUND($B521*AA$496,2)</f>
        <v>0</v>
      </c>
      <c r="AB521" s="19">
        <f>SUM(U$496:AA$496)+(-V$496+V497)</f>
        <v>1.2938000000000002E-2</v>
      </c>
      <c r="AC521" s="94" t="str">
        <f>+F521</f>
        <v>SL8</v>
      </c>
    </row>
    <row r="522" spans="1:29" x14ac:dyDescent="0.2">
      <c r="A522" s="9"/>
      <c r="B522" s="103">
        <v>-1</v>
      </c>
      <c r="D522" s="32"/>
      <c r="E522" s="103"/>
      <c r="F522" s="36"/>
      <c r="G522" s="92"/>
      <c r="H522" s="19"/>
      <c r="I522" s="19"/>
      <c r="J522" s="16"/>
      <c r="K522" s="17"/>
      <c r="O522" s="17"/>
      <c r="P522" s="17"/>
      <c r="Q522" s="17"/>
      <c r="R522" s="38" t="e">
        <f>INDEX('Pwr Factor'!$A$1:$B$52,MATCH((D523),'Pwr Factor'!$A$1:$A$52,0),2)</f>
        <v>#N/A</v>
      </c>
      <c r="S522" s="50">
        <v>0.5</v>
      </c>
      <c r="T522" s="17"/>
      <c r="U522" s="17"/>
      <c r="V522" s="8"/>
      <c r="W522" s="17"/>
      <c r="X522" s="17"/>
      <c r="Y522" s="17"/>
      <c r="Z522" s="17"/>
      <c r="AA522" s="17"/>
      <c r="AB522" s="19"/>
      <c r="AC522" s="67"/>
    </row>
    <row r="523" spans="1:29" x14ac:dyDescent="0.2">
      <c r="A523" s="1" t="s">
        <v>149</v>
      </c>
      <c r="B523" s="103">
        <f>IF(AND('AES Indiana Bill Calc.'!$D$17="SL",'AES Indiana Bill Calc.'!$D$18="Yes 50%",'AES Indiana Bill Calc.'!$D$20="Yes 2018"),'AES Indiana Bill Calc.'!$D$19,-1)</f>
        <v>-1</v>
      </c>
      <c r="C523" s="103">
        <f>MAX(E523,$C$497)</f>
        <v>50</v>
      </c>
      <c r="D523" s="103" t="b">
        <f>IF(AND('AES Indiana Bill Calc.'!$D$17="SL",'AES Indiana Bill Calc.'!$D$18="Yes 50%",'AES Indiana Bill Calc.'!$D$20="Yes 2018"),'AES Indiana Bill Calc.'!$D$22)</f>
        <v>0</v>
      </c>
      <c r="E523" s="103" t="b">
        <f>IF(AND('AES Indiana Bill Calc.'!$D$17="SL",'AES Indiana Bill Calc.'!$D$18="Yes 50%",'AES Indiana Bill Calc.'!$D$20="Yes 2018"),'AES Indiana Bill Calc.'!$D$21)</f>
        <v>0</v>
      </c>
      <c r="F523" s="36" t="s">
        <v>203</v>
      </c>
      <c r="G523" s="17" t="e">
        <f>SUM(J523:M523,O523:P523,R523:AA523)</f>
        <v>#N/A</v>
      </c>
      <c r="H523" s="19" t="e">
        <f>IF(ISBLANK(B523),0,+#REF!/B523)</f>
        <v>#REF!</v>
      </c>
      <c r="J523" s="82">
        <f>IF(ISBLANK(B523),0,+J$496)</f>
        <v>120</v>
      </c>
      <c r="K523" s="42">
        <f>ROUND($B523*K$496,2)</f>
        <v>-0.04</v>
      </c>
      <c r="N523" s="18">
        <f>K523</f>
        <v>-0.04</v>
      </c>
      <c r="O523" s="17">
        <f>IF($C523&gt;M$497,ROUND(M$497*M$496,2),ROUND($C523*M$496,2))</f>
        <v>1237</v>
      </c>
      <c r="P523" s="17">
        <f>IF($C523&gt;M$497,ROUND(($C523-M$497)*O$496,2),0)</f>
        <v>0</v>
      </c>
      <c r="Q523" s="17">
        <f>SUM(O523:P523)</f>
        <v>1237</v>
      </c>
      <c r="R523" s="16" t="e">
        <f>ROUND(SUM(N523:P523)*(R522-1),2)</f>
        <v>#N/A</v>
      </c>
      <c r="S523" s="42">
        <f>ROUND($B523*S$496*S522,2)</f>
        <v>0</v>
      </c>
      <c r="T523" s="42">
        <f>ROUND($B523*T$496,2)</f>
        <v>0</v>
      </c>
      <c r="U523" s="42">
        <f>ROUND($B523*U$496,2)</f>
        <v>0</v>
      </c>
      <c r="V523" s="41">
        <f>ROUND($B523*$V$488,2)</f>
        <v>0</v>
      </c>
      <c r="W523" s="42">
        <f>ROUND($B523*W$496,2)</f>
        <v>0</v>
      </c>
      <c r="X523" s="42">
        <f>ROUND($B523*X$496,2)</f>
        <v>-0.01</v>
      </c>
      <c r="Y523" s="42">
        <f>ROUND($B523*Y$496,2)</f>
        <v>0</v>
      </c>
      <c r="Z523" s="42">
        <f>ROUND($B523*Z$496,2)</f>
        <v>0</v>
      </c>
      <c r="AA523" s="42">
        <f>ROUND($B523*AA$496,2)</f>
        <v>0</v>
      </c>
      <c r="AB523" s="19" t="e">
        <f>SUM(U$496:AA$496)+(-V$496+V499)</f>
        <v>#VALUE!</v>
      </c>
      <c r="AC523" s="94" t="str">
        <f>+F523</f>
        <v>SL8</v>
      </c>
    </row>
    <row r="524" spans="1:29" x14ac:dyDescent="0.2">
      <c r="A524" s="9"/>
      <c r="B524" s="103">
        <v>-1</v>
      </c>
      <c r="D524" s="32"/>
      <c r="E524" s="103"/>
      <c r="F524" s="36"/>
      <c r="G524" s="92"/>
      <c r="H524" s="19"/>
      <c r="I524" s="19"/>
      <c r="J524" s="16"/>
      <c r="K524" s="17"/>
      <c r="O524" s="17"/>
      <c r="P524" s="17"/>
      <c r="Q524" s="17"/>
      <c r="R524" s="38" t="e">
        <f>INDEX('Pwr Factor'!$A$1:$B$52,MATCH((D525),'Pwr Factor'!$A$1:$A$52,0),2)</f>
        <v>#N/A</v>
      </c>
      <c r="S524" s="50">
        <v>0.25</v>
      </c>
      <c r="T524" s="17"/>
      <c r="U524" s="17"/>
      <c r="V524" s="8"/>
      <c r="W524" s="17"/>
      <c r="X524" s="17"/>
      <c r="Y524" s="17"/>
      <c r="Z524" s="17"/>
      <c r="AA524" s="17"/>
      <c r="AB524" s="19"/>
      <c r="AC524" s="67"/>
    </row>
    <row r="525" spans="1:29" x14ac:dyDescent="0.2">
      <c r="A525" s="1" t="s">
        <v>150</v>
      </c>
      <c r="B525" s="103">
        <f>IF(AND('AES Indiana Bill Calc.'!$D$17="SL",'AES Indiana Bill Calc.'!$D$18="Yes 25%",'AES Indiana Bill Calc.'!$D$20="Yes 2018"),'AES Indiana Bill Calc.'!$D$19,-1)</f>
        <v>-1</v>
      </c>
      <c r="C525" s="103">
        <f>MAX(E525,$C$497)</f>
        <v>50</v>
      </c>
      <c r="D525" s="103" t="b">
        <f>IF(AND('AES Indiana Bill Calc.'!$D$17="SL",'AES Indiana Bill Calc.'!$D$18="Yes 25%",'AES Indiana Bill Calc.'!$D$20="Yes 2018"),'AES Indiana Bill Calc.'!$D$22)</f>
        <v>0</v>
      </c>
      <c r="E525" s="103" t="b">
        <f>IF(AND('AES Indiana Bill Calc.'!$D$17="SL",'AES Indiana Bill Calc.'!$D$18="Yes 25%",'AES Indiana Bill Calc.'!$D$20="Yes 2018"),'AES Indiana Bill Calc.'!$D$21)</f>
        <v>0</v>
      </c>
      <c r="F525" s="36" t="s">
        <v>203</v>
      </c>
      <c r="G525" s="17" t="e">
        <f>SUM(J525:M525,O525:P525,R525:AA525)</f>
        <v>#N/A</v>
      </c>
      <c r="H525" s="19" t="e">
        <f>IF(ISBLANK(B525),0,+#REF!/B525)</f>
        <v>#REF!</v>
      </c>
      <c r="J525" s="82">
        <f>IF(ISBLANK(B525),0,+J$496)</f>
        <v>120</v>
      </c>
      <c r="K525" s="42">
        <f>ROUND($B525*K$496,2)</f>
        <v>-0.04</v>
      </c>
      <c r="N525" s="18">
        <f>K525</f>
        <v>-0.04</v>
      </c>
      <c r="O525" s="17">
        <f>IF($C525&gt;M$497,ROUND(M$497*M$496,2),ROUND($C525*M$496,2))</f>
        <v>1237</v>
      </c>
      <c r="P525" s="17">
        <f>IF($C525&gt;M$497,ROUND(($C525-M$497)*O$496,2),0)</f>
        <v>0</v>
      </c>
      <c r="Q525" s="17">
        <f>SUM(O525:P525)</f>
        <v>1237</v>
      </c>
      <c r="R525" s="16" t="e">
        <f>ROUND(SUM(N525:P525)*(R524-1),2)</f>
        <v>#N/A</v>
      </c>
      <c r="S525" s="42">
        <f>ROUND($B525*S$496*S524,2)</f>
        <v>0</v>
      </c>
      <c r="T525" s="42">
        <f>ROUND($B525*T$496,2)</f>
        <v>0</v>
      </c>
      <c r="U525" s="42">
        <f>ROUND($B525*U$496,2)</f>
        <v>0</v>
      </c>
      <c r="V525" s="41">
        <f>ROUND($B525*$V$488,2)</f>
        <v>0</v>
      </c>
      <c r="W525" s="42">
        <f>ROUND($B525*W$496,2)</f>
        <v>0</v>
      </c>
      <c r="X525" s="42">
        <f>ROUND($B525*X$496,2)</f>
        <v>-0.01</v>
      </c>
      <c r="Y525" s="42">
        <f>ROUND($B525*Y$496,2)</f>
        <v>0</v>
      </c>
      <c r="Z525" s="42">
        <f>ROUND($B525*Z$496,2)</f>
        <v>0</v>
      </c>
      <c r="AA525" s="42">
        <f>ROUND($B525*AA$496,2)</f>
        <v>0</v>
      </c>
      <c r="AB525" s="19">
        <f>SUM(U$496:AA$496)+(-V$496+V501)</f>
        <v>2.9380000000000031E-3</v>
      </c>
      <c r="AC525" s="94" t="str">
        <f>+F525</f>
        <v>SL8</v>
      </c>
    </row>
    <row r="526" spans="1:29" x14ac:dyDescent="0.2">
      <c r="A526" s="9"/>
      <c r="B526" s="103">
        <v>-1</v>
      </c>
      <c r="D526" s="32"/>
      <c r="E526" s="103"/>
      <c r="F526" s="36"/>
      <c r="G526" s="92"/>
      <c r="H526" s="19"/>
      <c r="I526" s="19"/>
      <c r="J526" s="16"/>
      <c r="K526" s="17"/>
      <c r="O526" s="17"/>
      <c r="P526" s="17"/>
      <c r="Q526" s="17"/>
      <c r="R526" s="38" t="e">
        <f>INDEX('Pwr Factor'!$A$1:$B$52,MATCH((D527),'Pwr Factor'!$A$1:$A$52,0),2)</f>
        <v>#N/A</v>
      </c>
      <c r="S526" s="50">
        <v>0.1</v>
      </c>
      <c r="T526" s="17"/>
      <c r="U526" s="17"/>
      <c r="V526" s="8"/>
      <c r="W526" s="17"/>
      <c r="X526" s="17"/>
      <c r="Y526" s="17"/>
      <c r="Z526" s="17"/>
      <c r="AA526" s="17"/>
      <c r="AB526" s="19"/>
      <c r="AC526" s="67"/>
    </row>
    <row r="527" spans="1:29" x14ac:dyDescent="0.2">
      <c r="A527" s="1" t="s">
        <v>164</v>
      </c>
      <c r="B527" s="103">
        <f>IF(AND('AES Indiana Bill Calc.'!$D$17="SL",'AES Indiana Bill Calc.'!$D$18="Yes 10%",'AES Indiana Bill Calc.'!$D$20="Yes 2018"),'AES Indiana Bill Calc.'!$D$19,-1)</f>
        <v>-1</v>
      </c>
      <c r="C527" s="103">
        <f>MAX(E527,$C$497)</f>
        <v>50</v>
      </c>
      <c r="D527" s="103" t="b">
        <f>IF(AND('AES Indiana Bill Calc.'!$D$17="SL",'AES Indiana Bill Calc.'!$D$18="Yes 10%",'AES Indiana Bill Calc.'!$D$20="Yes 2018"),'AES Indiana Bill Calc.'!$D$22)</f>
        <v>0</v>
      </c>
      <c r="E527" s="103" t="b">
        <f>IF(AND('AES Indiana Bill Calc.'!$D$17="SL",'AES Indiana Bill Calc.'!$D$18="Yes 10%",'AES Indiana Bill Calc.'!$D$20="Yes 2018"),'AES Indiana Bill Calc.'!$D$21)</f>
        <v>0</v>
      </c>
      <c r="F527" s="36" t="s">
        <v>203</v>
      </c>
      <c r="G527" s="17" t="e">
        <f>SUM(J527:M527,O527:P527,R527:AA527)</f>
        <v>#N/A</v>
      </c>
      <c r="H527" s="19" t="e">
        <f>IF(ISBLANK(B527),0,+#REF!/B527)</f>
        <v>#REF!</v>
      </c>
      <c r="J527" s="82">
        <f>IF(ISBLANK(B527),0,+J$496)</f>
        <v>120</v>
      </c>
      <c r="K527" s="42">
        <f>ROUND($B527*K$496,2)</f>
        <v>-0.04</v>
      </c>
      <c r="N527" s="18">
        <f>K527</f>
        <v>-0.04</v>
      </c>
      <c r="O527" s="17">
        <f>IF($C527&gt;M$497,ROUND(M$497*M$496,2),ROUND($C527*M$496,2))</f>
        <v>1237</v>
      </c>
      <c r="P527" s="17">
        <f>IF($C527&gt;M$497,ROUND(($C527-M$497)*O$496,2),0)</f>
        <v>0</v>
      </c>
      <c r="Q527" s="17">
        <f>SUM(O527:P527)</f>
        <v>1237</v>
      </c>
      <c r="R527" s="16" t="e">
        <f>ROUND(SUM(N527:P527)*(R526-1),2)</f>
        <v>#N/A</v>
      </c>
      <c r="S527" s="42">
        <f>ROUND($B527*S$496*S526,2)</f>
        <v>0</v>
      </c>
      <c r="T527" s="42">
        <f>ROUND($B527*T$496,2)</f>
        <v>0</v>
      </c>
      <c r="U527" s="42">
        <f>ROUND($B527*U$496,2)</f>
        <v>0</v>
      </c>
      <c r="V527" s="41">
        <f>ROUND($B527*$V$488,2)</f>
        <v>0</v>
      </c>
      <c r="W527" s="42">
        <f>ROUND($B527*W$496,2)</f>
        <v>0</v>
      </c>
      <c r="X527" s="42">
        <f>ROUND($B527*X$496,2)</f>
        <v>-0.01</v>
      </c>
      <c r="Y527" s="42">
        <f>ROUND($B527*Y$496,2)</f>
        <v>0</v>
      </c>
      <c r="Z527" s="42">
        <f>ROUND($B527*Z$496,2)</f>
        <v>0</v>
      </c>
      <c r="AA527" s="42">
        <f>ROUND($B527*AA$496,2)</f>
        <v>0</v>
      </c>
      <c r="AB527" s="19">
        <f>SUM(U$496:AA$496)+(-V$496+V503)</f>
        <v>2.9380000000000031E-3</v>
      </c>
      <c r="AC527" s="94" t="str">
        <f>+F527</f>
        <v>SL8</v>
      </c>
    </row>
    <row r="528" spans="1:29" x14ac:dyDescent="0.2">
      <c r="A528" s="9"/>
      <c r="B528" s="103">
        <v>-1</v>
      </c>
      <c r="D528" s="32"/>
      <c r="E528" s="103"/>
      <c r="F528" s="36"/>
      <c r="G528" s="92"/>
      <c r="H528" s="19"/>
      <c r="I528" s="19"/>
      <c r="J528" s="16"/>
      <c r="K528" s="17"/>
      <c r="O528" s="17"/>
      <c r="P528" s="17"/>
      <c r="Q528" s="17"/>
      <c r="R528" s="38" t="e">
        <f>INDEX('Pwr Factor'!$A$1:$B$52,MATCH((D529),'Pwr Factor'!$A$1:$A$52,0),2)</f>
        <v>#N/A</v>
      </c>
      <c r="S528" s="50">
        <v>0</v>
      </c>
      <c r="T528" s="17"/>
      <c r="U528" s="17"/>
      <c r="V528" s="8"/>
      <c r="W528" s="17"/>
      <c r="X528" s="17"/>
      <c r="Y528" s="17"/>
      <c r="Z528" s="17"/>
      <c r="AA528" s="17"/>
      <c r="AB528" s="19"/>
      <c r="AC528" s="67"/>
    </row>
    <row r="529" spans="1:123" x14ac:dyDescent="0.2">
      <c r="A529" s="1" t="s">
        <v>147</v>
      </c>
      <c r="B529" s="103">
        <f>IF(AND('AES Indiana Bill Calc.'!$D$17="SL",'AES Indiana Bill Calc.'!$D$18="No",'AES Indiana Bill Calc.'!$D$20="Yes 2018"),'AES Indiana Bill Calc.'!$D$19,-1)</f>
        <v>-1</v>
      </c>
      <c r="C529" s="103">
        <f>MAX(E529,$C$497)</f>
        <v>50</v>
      </c>
      <c r="D529" s="103" t="b">
        <f>IF(AND('AES Indiana Bill Calc.'!$D$17="SL",'AES Indiana Bill Calc.'!$D$18="No",'AES Indiana Bill Calc.'!$D$20="Yes 2018"),'AES Indiana Bill Calc.'!$D$22)</f>
        <v>0</v>
      </c>
      <c r="E529" s="103" t="b">
        <f>IF(AND('AES Indiana Bill Calc.'!$D$17="SL",'AES Indiana Bill Calc.'!$D$18="No",'AES Indiana Bill Calc.'!$D$20="Yes 2018"),'AES Indiana Bill Calc.'!$D$21)</f>
        <v>0</v>
      </c>
      <c r="F529" s="36" t="s">
        <v>203</v>
      </c>
      <c r="G529" s="17" t="e">
        <f>SUM(J529:M529,O529:P529,R529:AA529)</f>
        <v>#N/A</v>
      </c>
      <c r="H529" s="19" t="e">
        <f>IF(ISBLANK(B529),0,+#REF!/B529)</f>
        <v>#REF!</v>
      </c>
      <c r="J529" s="82">
        <f>IF(ISBLANK(B529),0,+J$496)</f>
        <v>120</v>
      </c>
      <c r="K529" s="42">
        <f>ROUND($B529*K$496,2)</f>
        <v>-0.04</v>
      </c>
      <c r="N529" s="18">
        <f>K529</f>
        <v>-0.04</v>
      </c>
      <c r="O529" s="17">
        <f>IF($C529&gt;M$497,ROUND(M$497*M$496,2),ROUND($C529*M$496,2))</f>
        <v>1237</v>
      </c>
      <c r="P529" s="17">
        <f>IF($C529&gt;M$497,ROUND(($C529-M$497)*O$496,2),0)</f>
        <v>0</v>
      </c>
      <c r="Q529" s="17">
        <f>SUM(O529:P529)</f>
        <v>1237</v>
      </c>
      <c r="R529" s="16" t="e">
        <f>ROUND(SUM(N529:P529)*(R528-1),2)</f>
        <v>#N/A</v>
      </c>
      <c r="S529" s="42">
        <f>ROUND($B529*S$496*S528,2)</f>
        <v>0</v>
      </c>
      <c r="T529" s="42">
        <f>ROUND($B529*T$496,2)</f>
        <v>0</v>
      </c>
      <c r="U529" s="42">
        <f>ROUND($B529*U$496,2)</f>
        <v>0</v>
      </c>
      <c r="V529" s="41">
        <f>ROUND($B529*$V$488,2)</f>
        <v>0</v>
      </c>
      <c r="W529" s="42">
        <f>ROUND($B529*W$496,2)</f>
        <v>0</v>
      </c>
      <c r="X529" s="42">
        <f>ROUND($B529*X$496,2)</f>
        <v>-0.01</v>
      </c>
      <c r="Y529" s="42">
        <f>ROUND($B529*Y$496,2)</f>
        <v>0</v>
      </c>
      <c r="Z529" s="42">
        <f>ROUND($B529*Z$496,2)</f>
        <v>0</v>
      </c>
      <c r="AA529" s="42">
        <f>ROUND($B529*AA$496,2)</f>
        <v>0</v>
      </c>
      <c r="AB529" s="19">
        <f>SUM(U$496:AA$496)+(-V$496+V505)</f>
        <v>2.9380000000000031E-3</v>
      </c>
      <c r="AC529" s="94" t="str">
        <f>+F529</f>
        <v>SL8</v>
      </c>
    </row>
    <row r="530" spans="1:123" x14ac:dyDescent="0.2">
      <c r="A530" s="53"/>
      <c r="B530" s="97">
        <v>-1</v>
      </c>
      <c r="D530" s="87"/>
      <c r="E530" s="97"/>
      <c r="F530" s="36"/>
      <c r="G530" s="98"/>
      <c r="H530" s="19"/>
      <c r="J530" s="104"/>
      <c r="K530" s="98"/>
      <c r="O530" s="98"/>
      <c r="P530" s="98"/>
      <c r="Q530" s="98"/>
      <c r="R530" s="38" t="e">
        <f>INDEX('Pwr Factor'!$A$1:$B$52,MATCH((D531),'Pwr Factor'!$A$1:$A$52,0),2)</f>
        <v>#N/A</v>
      </c>
      <c r="S530" s="50">
        <v>1</v>
      </c>
      <c r="T530" s="98"/>
      <c r="U530" s="98"/>
      <c r="V530" s="87"/>
      <c r="W530" s="98"/>
      <c r="X530" s="98"/>
      <c r="Y530" s="98"/>
      <c r="Z530" s="98"/>
      <c r="AA530" s="98"/>
      <c r="AB530" s="19"/>
      <c r="AC530" s="105"/>
    </row>
    <row r="531" spans="1:123" x14ac:dyDescent="0.2">
      <c r="A531" s="1" t="s">
        <v>148</v>
      </c>
      <c r="B531" s="103">
        <f>IF(AND('AES Indiana Bill Calc.'!$D$17="SL",'AES Indiana Bill Calc.'!$D$18="Yes 100%",'AES Indiana Bill Calc.'!$D$20="Yes 2019"),'AES Indiana Bill Calc.'!$D$19,-1)</f>
        <v>-1</v>
      </c>
      <c r="C531" s="103">
        <f>MAX(E531,$C$497)</f>
        <v>50</v>
      </c>
      <c r="D531" s="103" t="b">
        <f>IF(AND('AES Indiana Bill Calc.'!$D$17="SL",'AES Indiana Bill Calc.'!$D$18="Yes 100%",'AES Indiana Bill Calc.'!$D$20="Yes 2019"),'AES Indiana Bill Calc.'!$D$22)</f>
        <v>0</v>
      </c>
      <c r="E531" s="103" t="b">
        <f>IF(AND('AES Indiana Bill Calc.'!$D$17="SL",'AES Indiana Bill Calc.'!$D$18="Yes 100%",'AES Indiana Bill Calc.'!$D$20="Yes 2019"),'AES Indiana Bill Calc.'!$D$21)</f>
        <v>0</v>
      </c>
      <c r="F531" s="36" t="s">
        <v>204</v>
      </c>
      <c r="G531" s="17" t="e">
        <f>SUM(J531:M531,O531:P531,R531:AA531)</f>
        <v>#N/A</v>
      </c>
      <c r="H531" s="19" t="e">
        <f>IF(ISBLANK(B531),0,+#REF!/B531)</f>
        <v>#REF!</v>
      </c>
      <c r="J531" s="82">
        <f>IF(ISBLANK(B531),0,+J$496)</f>
        <v>120</v>
      </c>
      <c r="K531" s="42">
        <f>ROUND($B531*K$496,2)</f>
        <v>-0.04</v>
      </c>
      <c r="N531" s="18">
        <f>K531</f>
        <v>-0.04</v>
      </c>
      <c r="O531" s="17">
        <f>IF($C531&gt;M$497,ROUND(M$497*M$496,2),ROUND($C531*M$496,2))</f>
        <v>1237</v>
      </c>
      <c r="P531" s="17">
        <f>IF($C531&gt;M$497,ROUND(($C531-M$497)*O$496,2),0)</f>
        <v>0</v>
      </c>
      <c r="Q531" s="17">
        <f>SUM(O531:P531)</f>
        <v>1237</v>
      </c>
      <c r="R531" s="16" t="e">
        <f>ROUND(SUM(N531:P531)*(R530-1),2)</f>
        <v>#N/A</v>
      </c>
      <c r="S531" s="42">
        <f>ROUND($B531*S$496*S530,2)</f>
        <v>0</v>
      </c>
      <c r="T531" s="42">
        <f>ROUND($B531*T$496,2)</f>
        <v>0</v>
      </c>
      <c r="U531" s="42">
        <f>ROUND($B531*U$496,2)</f>
        <v>0</v>
      </c>
      <c r="V531" s="41">
        <f>ROUND($B531*$V$489,2)</f>
        <v>0</v>
      </c>
      <c r="W531" s="42">
        <f>ROUND($B531*W$496,2)</f>
        <v>0</v>
      </c>
      <c r="X531" s="42">
        <f>ROUND($B531*X$496,2)</f>
        <v>-0.01</v>
      </c>
      <c r="Y531" s="42">
        <f>ROUND($B531*Y$496,2)</f>
        <v>0</v>
      </c>
      <c r="Z531" s="42">
        <f>ROUND($B531*Z$496,2)</f>
        <v>0</v>
      </c>
      <c r="AA531" s="42">
        <f>ROUND($B531*AA$496,2)</f>
        <v>0</v>
      </c>
      <c r="AB531" s="19" t="e">
        <f>SUM(U$496:AA$496)+(-V$496+V499)</f>
        <v>#VALUE!</v>
      </c>
      <c r="AC531" s="94" t="str">
        <f>+F531</f>
        <v>SL9</v>
      </c>
    </row>
    <row r="532" spans="1:123" x14ac:dyDescent="0.2">
      <c r="A532" s="9"/>
      <c r="B532" s="97">
        <v>-1</v>
      </c>
      <c r="D532" s="87"/>
      <c r="E532" s="97"/>
      <c r="F532" s="36"/>
      <c r="G532" s="98"/>
      <c r="H532" s="19"/>
      <c r="J532" s="104"/>
      <c r="K532" s="98"/>
      <c r="O532" s="98"/>
      <c r="P532" s="98"/>
      <c r="Q532" s="98"/>
      <c r="R532" s="38" t="e">
        <f>INDEX('Pwr Factor'!$A$1:$B$52,MATCH((D533),'Pwr Factor'!$A$1:$A$52,0),2)</f>
        <v>#N/A</v>
      </c>
      <c r="S532" s="50">
        <v>0.5</v>
      </c>
      <c r="T532" s="98"/>
      <c r="U532" s="98"/>
      <c r="V532" s="87"/>
      <c r="W532" s="98"/>
      <c r="X532" s="98"/>
      <c r="Y532" s="98"/>
      <c r="Z532" s="98"/>
      <c r="AA532" s="98"/>
      <c r="AB532" s="19"/>
      <c r="AC532" s="105"/>
    </row>
    <row r="533" spans="1:123" x14ac:dyDescent="0.2">
      <c r="A533" s="1" t="s">
        <v>149</v>
      </c>
      <c r="B533" s="103">
        <f>IF(AND('AES Indiana Bill Calc.'!$D$17="SL",'AES Indiana Bill Calc.'!$D$18="Yes 50%",'AES Indiana Bill Calc.'!$D$20="Yes 2019"),'AES Indiana Bill Calc.'!$D$19,-1)</f>
        <v>-1</v>
      </c>
      <c r="C533" s="103">
        <f>MAX(E533,$C$497)</f>
        <v>50</v>
      </c>
      <c r="D533" s="103" t="b">
        <f>IF(AND('AES Indiana Bill Calc.'!$D$17="SL",'AES Indiana Bill Calc.'!$D$18="Yes 50%",'AES Indiana Bill Calc.'!$D$20="Yes 2019"),'AES Indiana Bill Calc.'!$D$22)</f>
        <v>0</v>
      </c>
      <c r="E533" s="103" t="b">
        <f>IF(AND('AES Indiana Bill Calc.'!$D$17="SL",'AES Indiana Bill Calc.'!$D$18="Yes 50%",'AES Indiana Bill Calc.'!$D$20="Yes 2019"),'AES Indiana Bill Calc.'!$D$21)</f>
        <v>0</v>
      </c>
      <c r="F533" s="36" t="s">
        <v>204</v>
      </c>
      <c r="G533" s="17" t="e">
        <f>SUM(J533:M533,O533:P533,R533:AA533)</f>
        <v>#N/A</v>
      </c>
      <c r="H533" s="19" t="e">
        <f>IF(ISBLANK(B533),0,+#REF!/B533)</f>
        <v>#REF!</v>
      </c>
      <c r="J533" s="82">
        <f>IF(ISBLANK(B533),0,+J$496)</f>
        <v>120</v>
      </c>
      <c r="K533" s="42">
        <f>ROUND($B533*K$496,2)</f>
        <v>-0.04</v>
      </c>
      <c r="N533" s="18">
        <f>K533</f>
        <v>-0.04</v>
      </c>
      <c r="O533" s="17">
        <f>IF($C533&gt;M$497,ROUND(M$497*M$496,2),ROUND($C533*M$496,2))</f>
        <v>1237</v>
      </c>
      <c r="P533" s="17">
        <f>IF($C533&gt;M$497,ROUND(($C533-M$497)*O$496,2),0)</f>
        <v>0</v>
      </c>
      <c r="Q533" s="17">
        <f>SUM(O533:P533)</f>
        <v>1237</v>
      </c>
      <c r="R533" s="16" t="e">
        <f>ROUND(SUM(N533:P533)*(R532-1),2)</f>
        <v>#N/A</v>
      </c>
      <c r="S533" s="42">
        <f>ROUND($B533*S$496*S532,2)</f>
        <v>0</v>
      </c>
      <c r="T533" s="42">
        <f>ROUND($B533*T$496,2)</f>
        <v>0</v>
      </c>
      <c r="U533" s="42">
        <f>ROUND($B533*U$496,2)</f>
        <v>0</v>
      </c>
      <c r="V533" s="41">
        <f>ROUND($B533*$V$489,2)</f>
        <v>0</v>
      </c>
      <c r="W533" s="42">
        <f>ROUND($B533*W$496,2)</f>
        <v>0</v>
      </c>
      <c r="X533" s="42">
        <f>ROUND($B533*X$496,2)</f>
        <v>-0.01</v>
      </c>
      <c r="Y533" s="42">
        <f>ROUND($B533*Y$496,2)</f>
        <v>0</v>
      </c>
      <c r="Z533" s="42">
        <f>ROUND($B533*Z$496,2)</f>
        <v>0</v>
      </c>
      <c r="AA533" s="42">
        <f>ROUND($B533*AA$496,2)</f>
        <v>0</v>
      </c>
      <c r="AB533" s="19">
        <f>SUM(U$496:AA$496)+(-V$496+V501)</f>
        <v>2.9380000000000031E-3</v>
      </c>
      <c r="AC533" s="94" t="str">
        <f>+F533</f>
        <v>SL9</v>
      </c>
    </row>
    <row r="534" spans="1:123" x14ac:dyDescent="0.2">
      <c r="A534" s="9"/>
      <c r="B534" s="97">
        <v>-1</v>
      </c>
      <c r="D534" s="87"/>
      <c r="E534" s="97"/>
      <c r="F534" s="36"/>
      <c r="G534" s="98"/>
      <c r="H534" s="19"/>
      <c r="J534" s="104"/>
      <c r="K534" s="98"/>
      <c r="O534" s="98"/>
      <c r="P534" s="98"/>
      <c r="Q534" s="98"/>
      <c r="R534" s="38" t="e">
        <f>INDEX('Pwr Factor'!$A$1:$B$52,MATCH((D535),'Pwr Factor'!$A$1:$A$52,0),2)</f>
        <v>#N/A</v>
      </c>
      <c r="S534" s="50">
        <v>0.25</v>
      </c>
      <c r="T534" s="98"/>
      <c r="U534" s="98"/>
      <c r="V534" s="87"/>
      <c r="W534" s="98"/>
      <c r="X534" s="98"/>
      <c r="Y534" s="98"/>
      <c r="Z534" s="98"/>
      <c r="AA534" s="98"/>
      <c r="AB534" s="19"/>
      <c r="AC534" s="105"/>
    </row>
    <row r="535" spans="1:123" x14ac:dyDescent="0.2">
      <c r="A535" s="1" t="s">
        <v>150</v>
      </c>
      <c r="B535" s="103">
        <f>IF(AND('AES Indiana Bill Calc.'!$D$17="SL",'AES Indiana Bill Calc.'!$D$18="Yes 25%",'AES Indiana Bill Calc.'!$D$20="Yes 2019"),'AES Indiana Bill Calc.'!$D$19,-1)</f>
        <v>-1</v>
      </c>
      <c r="C535" s="103">
        <f>MAX(E535,$C$497)</f>
        <v>50</v>
      </c>
      <c r="D535" s="103" t="b">
        <f>IF(AND('AES Indiana Bill Calc.'!$D$17="SL",'AES Indiana Bill Calc.'!$D$18="Yes 25%",'AES Indiana Bill Calc.'!$D$20="Yes 2019"),'AES Indiana Bill Calc.'!$D$22)</f>
        <v>0</v>
      </c>
      <c r="E535" s="103" t="b">
        <f>IF(AND('AES Indiana Bill Calc.'!$D$17="SL",'AES Indiana Bill Calc.'!$D$18="Yes 25%",'AES Indiana Bill Calc.'!$D$20="Yes 2019"),'AES Indiana Bill Calc.'!$D$21)</f>
        <v>0</v>
      </c>
      <c r="F535" s="36" t="s">
        <v>204</v>
      </c>
      <c r="G535" s="17" t="e">
        <f>SUM(J535:M535,O535:P535,R535:AA535)</f>
        <v>#N/A</v>
      </c>
      <c r="H535" s="19" t="e">
        <f>IF(ISBLANK(B535),0,+#REF!/B535)</f>
        <v>#REF!</v>
      </c>
      <c r="J535" s="82">
        <f>IF(ISBLANK(B535),0,+J$496)</f>
        <v>120</v>
      </c>
      <c r="K535" s="42">
        <f>ROUND($B535*K$496,2)</f>
        <v>-0.04</v>
      </c>
      <c r="N535" s="18">
        <f>K535</f>
        <v>-0.04</v>
      </c>
      <c r="O535" s="17">
        <f>IF($C535&gt;M$497,ROUND(M$497*M$496,2),ROUND($C535*M$496,2))</f>
        <v>1237</v>
      </c>
      <c r="P535" s="17">
        <f>IF($C535&gt;M$497,ROUND(($C535-M$497)*O$496,2),0)</f>
        <v>0</v>
      </c>
      <c r="Q535" s="17">
        <f>SUM(O535:P535)</f>
        <v>1237</v>
      </c>
      <c r="R535" s="16" t="e">
        <f>ROUND(SUM(N535:P535)*(R534-1),2)</f>
        <v>#N/A</v>
      </c>
      <c r="S535" s="42">
        <f>ROUND($B535*S$496*S534,2)</f>
        <v>0</v>
      </c>
      <c r="T535" s="42">
        <f>ROUND($B535*T$496,2)</f>
        <v>0</v>
      </c>
      <c r="U535" s="42">
        <f>ROUND($B535*U$496,2)</f>
        <v>0</v>
      </c>
      <c r="V535" s="41">
        <f>ROUND($B535*$V$489,2)</f>
        <v>0</v>
      </c>
      <c r="W535" s="42">
        <f>ROUND($B535*W$496,2)</f>
        <v>0</v>
      </c>
      <c r="X535" s="42">
        <f>ROUND($B535*X$496,2)</f>
        <v>-0.01</v>
      </c>
      <c r="Y535" s="42">
        <f>ROUND($B535*Y$496,2)</f>
        <v>0</v>
      </c>
      <c r="Z535" s="42">
        <f>ROUND($B535*Z$496,2)</f>
        <v>0</v>
      </c>
      <c r="AA535" s="42">
        <f>ROUND($B535*AA$496,2)</f>
        <v>0</v>
      </c>
      <c r="AB535" s="19">
        <f>SUM(U$496:AA$496)+(-V$496+V503)</f>
        <v>2.9380000000000031E-3</v>
      </c>
      <c r="AC535" s="94" t="str">
        <f>+F535</f>
        <v>SL9</v>
      </c>
    </row>
    <row r="536" spans="1:123" x14ac:dyDescent="0.2">
      <c r="A536" s="9"/>
      <c r="B536" s="97">
        <v>-1</v>
      </c>
      <c r="D536" s="87"/>
      <c r="E536" s="97"/>
      <c r="F536" s="36"/>
      <c r="G536" s="98"/>
      <c r="H536" s="19"/>
      <c r="J536" s="104"/>
      <c r="K536" s="98"/>
      <c r="O536" s="98"/>
      <c r="P536" s="98"/>
      <c r="Q536" s="98"/>
      <c r="R536" s="38" t="e">
        <f>INDEX('Pwr Factor'!$A$1:$B$52,MATCH((D537),'Pwr Factor'!$A$1:$A$52,0),2)</f>
        <v>#N/A</v>
      </c>
      <c r="S536" s="50">
        <v>0.1</v>
      </c>
      <c r="T536" s="98"/>
      <c r="U536" s="98"/>
      <c r="V536" s="87"/>
      <c r="W536" s="98"/>
      <c r="X536" s="98"/>
      <c r="Y536" s="98"/>
      <c r="Z536" s="98"/>
      <c r="AA536" s="98"/>
      <c r="AB536" s="19"/>
      <c r="AC536" s="105"/>
    </row>
    <row r="537" spans="1:123" x14ac:dyDescent="0.2">
      <c r="A537" s="1" t="s">
        <v>164</v>
      </c>
      <c r="B537" s="103">
        <f>IF(AND('AES Indiana Bill Calc.'!$D$17="SL",'AES Indiana Bill Calc.'!$D$18="Yes 10%",'AES Indiana Bill Calc.'!$D$20="Yes 2019"),'AES Indiana Bill Calc.'!$D$19,-1)</f>
        <v>-1</v>
      </c>
      <c r="C537" s="103">
        <f>MAX(E537,$C$497)</f>
        <v>50</v>
      </c>
      <c r="D537" s="103" t="b">
        <f>IF(AND('AES Indiana Bill Calc.'!$D$17="SL",'AES Indiana Bill Calc.'!$D$18="Yes 10%",'AES Indiana Bill Calc.'!$D$20="Yes 2019"),'AES Indiana Bill Calc.'!$D$22)</f>
        <v>0</v>
      </c>
      <c r="E537" s="103" t="b">
        <f>IF(AND('AES Indiana Bill Calc.'!$D$17="SL",'AES Indiana Bill Calc.'!$D$18="Yes 10%",'AES Indiana Bill Calc.'!$D$20="Yes 2019"),'AES Indiana Bill Calc.'!$D$21)</f>
        <v>0</v>
      </c>
      <c r="F537" s="36" t="s">
        <v>204</v>
      </c>
      <c r="G537" s="17" t="e">
        <f>SUM(J537:M537,O537:P537,R537:AA537)</f>
        <v>#N/A</v>
      </c>
      <c r="H537" s="19" t="e">
        <f>IF(ISBLANK(B537),0,+#REF!/B537)</f>
        <v>#REF!</v>
      </c>
      <c r="J537" s="82">
        <f>IF(ISBLANK(B537),0,+J$496)</f>
        <v>120</v>
      </c>
      <c r="K537" s="42">
        <f>ROUND($B537*K$496,2)</f>
        <v>-0.04</v>
      </c>
      <c r="N537" s="18">
        <f>K537</f>
        <v>-0.04</v>
      </c>
      <c r="O537" s="17">
        <f>IF($C537&gt;M$497,ROUND(M$497*M$496,2),ROUND($C537*M$496,2))</f>
        <v>1237</v>
      </c>
      <c r="P537" s="17">
        <f>IF($C537&gt;M$497,ROUND(($C537-M$497)*O$496,2),0)</f>
        <v>0</v>
      </c>
      <c r="Q537" s="17">
        <f>SUM(O537:P537)</f>
        <v>1237</v>
      </c>
      <c r="R537" s="16" t="e">
        <f>ROUND(SUM(N537:P537)*(R536-1),2)</f>
        <v>#N/A</v>
      </c>
      <c r="S537" s="42">
        <f>ROUND($B537*S$496*S536,2)</f>
        <v>0</v>
      </c>
      <c r="T537" s="42">
        <f>ROUND($B537*T$496,2)</f>
        <v>0</v>
      </c>
      <c r="U537" s="42">
        <f>ROUND($B537*U$496,2)</f>
        <v>0</v>
      </c>
      <c r="V537" s="41">
        <f>ROUND($B537*$V$489,2)</f>
        <v>0</v>
      </c>
      <c r="W537" s="42">
        <f>ROUND($B537*W$496,2)</f>
        <v>0</v>
      </c>
      <c r="X537" s="42">
        <f>ROUND($B537*X$496,2)</f>
        <v>-0.01</v>
      </c>
      <c r="Y537" s="42">
        <f>ROUND($B537*Y$496,2)</f>
        <v>0</v>
      </c>
      <c r="Z537" s="42">
        <f>ROUND($B537*Z$496,2)</f>
        <v>0</v>
      </c>
      <c r="AA537" s="42">
        <f>ROUND($B537*AA$496,2)</f>
        <v>0</v>
      </c>
      <c r="AB537" s="19">
        <f>SUM(U$496:AA$496)+(-V$496+V505)</f>
        <v>2.9380000000000031E-3</v>
      </c>
      <c r="AC537" s="94" t="str">
        <f>+F537</f>
        <v>SL9</v>
      </c>
    </row>
    <row r="538" spans="1:123" x14ac:dyDescent="0.2">
      <c r="A538" s="9"/>
      <c r="B538" s="97">
        <v>-1</v>
      </c>
      <c r="D538" s="87"/>
      <c r="E538" s="97"/>
      <c r="F538" s="36"/>
      <c r="G538" s="98"/>
      <c r="H538" s="19"/>
      <c r="J538" s="104"/>
      <c r="K538" s="98"/>
      <c r="O538" s="98"/>
      <c r="P538" s="98"/>
      <c r="Q538" s="98"/>
      <c r="R538" s="38" t="e">
        <f>INDEX('Pwr Factor'!$A$1:$B$52,MATCH((D539),'Pwr Factor'!$A$1:$A$52,0),2)</f>
        <v>#N/A</v>
      </c>
      <c r="S538" s="50">
        <v>0</v>
      </c>
      <c r="T538" s="98"/>
      <c r="U538" s="98"/>
      <c r="V538" s="87"/>
      <c r="W538" s="98"/>
      <c r="X538" s="98"/>
      <c r="Y538" s="98"/>
      <c r="Z538" s="98"/>
      <c r="AA538" s="98"/>
      <c r="AB538" s="19"/>
      <c r="AC538" s="105"/>
    </row>
    <row r="539" spans="1:123" x14ac:dyDescent="0.2">
      <c r="A539" s="1" t="s">
        <v>147</v>
      </c>
      <c r="B539" s="103">
        <f>IF(AND('AES Indiana Bill Calc.'!$D$17="SL",'AES Indiana Bill Calc.'!$D$18="No",'AES Indiana Bill Calc.'!$D$20="Yes 2019"),'AES Indiana Bill Calc.'!$D$19,-1)</f>
        <v>-1</v>
      </c>
      <c r="C539" s="103">
        <f>MAX(E539,$C$497)</f>
        <v>50</v>
      </c>
      <c r="D539" s="103" t="b">
        <f>IF(AND('AES Indiana Bill Calc.'!$D$17="SL",'AES Indiana Bill Calc.'!$D$18="No",'AES Indiana Bill Calc.'!$D$20="Yes 2019"),'AES Indiana Bill Calc.'!$D$22)</f>
        <v>0</v>
      </c>
      <c r="E539" s="103" t="b">
        <f>IF(AND('AES Indiana Bill Calc.'!$D$17="SL",'AES Indiana Bill Calc.'!$D$18="No",'AES Indiana Bill Calc.'!$D$20="Yes 2019"),'AES Indiana Bill Calc.'!$D$21)</f>
        <v>0</v>
      </c>
      <c r="F539" s="36" t="s">
        <v>204</v>
      </c>
      <c r="G539" s="17" t="e">
        <f>SUM(J539:M539,O539:P539,R539:AA539)</f>
        <v>#N/A</v>
      </c>
      <c r="H539" s="19" t="e">
        <f>IF(ISBLANK(B539),0,+#REF!/B539)</f>
        <v>#REF!</v>
      </c>
      <c r="J539" s="82">
        <f>IF(ISBLANK(B539),0,+J$496)</f>
        <v>120</v>
      </c>
      <c r="K539" s="42">
        <f>ROUND($B539*K$496,2)</f>
        <v>-0.04</v>
      </c>
      <c r="N539" s="18">
        <f>K539</f>
        <v>-0.04</v>
      </c>
      <c r="O539" s="17">
        <f>IF($C539&gt;M$497,ROUND(M$497*M$496,2),ROUND($C539*M$496,2))</f>
        <v>1237</v>
      </c>
      <c r="P539" s="17">
        <f>IF($C539&gt;M$497,ROUND(($C539-M$497)*O$496,2),0)</f>
        <v>0</v>
      </c>
      <c r="Q539" s="17">
        <f>SUM(O539:P539)</f>
        <v>1237</v>
      </c>
      <c r="R539" s="16" t="e">
        <f>ROUND(SUM(N539:P539)*(R538-1),2)</f>
        <v>#N/A</v>
      </c>
      <c r="S539" s="42">
        <f>ROUND($B539*S$496*S538,2)</f>
        <v>0</v>
      </c>
      <c r="T539" s="42">
        <f>ROUND($B539*T$496,2)</f>
        <v>0</v>
      </c>
      <c r="U539" s="42">
        <f>ROUND($B539*U$496,2)</f>
        <v>0</v>
      </c>
      <c r="V539" s="41">
        <f>ROUND($B539*$V$489,2)</f>
        <v>0</v>
      </c>
      <c r="W539" s="42">
        <f>ROUND($B539*W$496,2)</f>
        <v>0</v>
      </c>
      <c r="X539" s="42">
        <f>ROUND($B539*X$496,2)</f>
        <v>-0.01</v>
      </c>
      <c r="Y539" s="42">
        <f>ROUND($B539*Y$496,2)</f>
        <v>0</v>
      </c>
      <c r="Z539" s="42">
        <f>ROUND($B539*Z$496,2)</f>
        <v>0</v>
      </c>
      <c r="AA539" s="42">
        <f>ROUND($B539*AA$496,2)</f>
        <v>0</v>
      </c>
      <c r="AB539" s="19">
        <f>SUM(U$496:AA$496)+(-V$496+V507)</f>
        <v>2.9380000000000031E-3</v>
      </c>
      <c r="AC539" s="94" t="str">
        <f>+F539</f>
        <v>SL9</v>
      </c>
    </row>
    <row r="540" spans="1:123" x14ac:dyDescent="0.2">
      <c r="A540" s="53"/>
      <c r="B540" s="97">
        <v>-1</v>
      </c>
      <c r="D540" s="87"/>
      <c r="E540" s="97"/>
      <c r="F540" s="36"/>
      <c r="G540" s="98"/>
      <c r="H540" s="19"/>
      <c r="J540" s="82"/>
      <c r="K540" s="42"/>
      <c r="O540" s="42"/>
      <c r="P540" s="42"/>
      <c r="Q540" s="42"/>
      <c r="R540" s="38" t="e">
        <f>INDEX('Pwr Factor'!$A$1:$B$52,MATCH((D541),'Pwr Factor'!$A$1:$A$52,0),2)</f>
        <v>#N/A</v>
      </c>
      <c r="S540" s="50">
        <v>1</v>
      </c>
      <c r="T540" s="42"/>
      <c r="U540" s="42"/>
      <c r="V540" s="41"/>
      <c r="W540" s="42"/>
      <c r="X540" s="42"/>
      <c r="Y540" s="42"/>
      <c r="Z540" s="42"/>
      <c r="AA540" s="42"/>
      <c r="AB540" s="19"/>
      <c r="AC540" s="67"/>
    </row>
    <row r="541" spans="1:123" s="21" customFormat="1" ht="13.5" thickBot="1" x14ac:dyDescent="0.25">
      <c r="A541" s="1" t="s">
        <v>148</v>
      </c>
      <c r="B541" s="103">
        <f>IF(AND('AES Indiana Bill Calc.'!$D$17="SL",'AES Indiana Bill Calc.'!$D$18="Yes 100%",'AES Indiana Bill Calc.'!$D$20="Yes 2020"),'AES Indiana Bill Calc.'!$D$19,-1)</f>
        <v>-1</v>
      </c>
      <c r="C541" s="103">
        <f>MAX(E541,$C$497)</f>
        <v>50</v>
      </c>
      <c r="D541" s="103" t="b">
        <f>IF(AND('AES Indiana Bill Calc.'!$D$17="SL",'AES Indiana Bill Calc.'!$D$18="Yes 100%",'AES Indiana Bill Calc.'!$D$20="Yes 2020"),'AES Indiana Bill Calc.'!$D$22)</f>
        <v>0</v>
      </c>
      <c r="E541" s="103" t="b">
        <f>IF(AND('AES Indiana Bill Calc.'!$D$17="SL",'AES Indiana Bill Calc.'!$D$18="Yes 100%",'AES Indiana Bill Calc.'!$D$20="Yes 2020"),'AES Indiana Bill Calc.'!$D$21)</f>
        <v>0</v>
      </c>
      <c r="F541" s="36" t="s">
        <v>205</v>
      </c>
      <c r="G541" s="17" t="e">
        <f>SUM(J541:M541,O541:P541,R541:AA541)</f>
        <v>#N/A</v>
      </c>
      <c r="H541" s="19" t="e">
        <f>IF(ISBLANK(B541),0,+#REF!/B541)</f>
        <v>#REF!</v>
      </c>
      <c r="I541"/>
      <c r="J541" s="82">
        <f>IF(ISBLANK(B541),0,+J$496)</f>
        <v>120</v>
      </c>
      <c r="K541" s="42">
        <f>ROUND($B541*K$496,2)</f>
        <v>-0.04</v>
      </c>
      <c r="L541"/>
      <c r="M541"/>
      <c r="N541" s="18">
        <f>K541</f>
        <v>-0.04</v>
      </c>
      <c r="O541" s="17">
        <f>IF($C541&gt;M$497,ROUND(M$497*M$496,2),ROUND($C541*M$496,2))</f>
        <v>1237</v>
      </c>
      <c r="P541" s="17">
        <f>IF($C541&gt;M$497,ROUND(($C541-M$497)*O$496,2),0)</f>
        <v>0</v>
      </c>
      <c r="Q541" s="17">
        <f>SUM(O541:P541)</f>
        <v>1237</v>
      </c>
      <c r="R541" s="16" t="e">
        <f>ROUND(SUM(N541:P541)*(R540-1),2)</f>
        <v>#N/A</v>
      </c>
      <c r="S541" s="42">
        <f>ROUND($B541*S$496*S540,2)</f>
        <v>0</v>
      </c>
      <c r="T541" s="42">
        <f>ROUND($B541*T$496,2)</f>
        <v>0</v>
      </c>
      <c r="U541" s="42">
        <f>ROUND($B541*U$496,2)</f>
        <v>0</v>
      </c>
      <c r="V541" s="41">
        <f>ROUND($B541*$V$490,2)</f>
        <v>0</v>
      </c>
      <c r="W541" s="42">
        <f>ROUND($B541*W$496,2)</f>
        <v>0</v>
      </c>
      <c r="X541" s="42">
        <f>ROUND($B541*X$496,2)</f>
        <v>-0.01</v>
      </c>
      <c r="Y541" s="42">
        <f>ROUND($B541*Y$496,2)</f>
        <v>0</v>
      </c>
      <c r="Z541" s="42">
        <f>ROUND($B541*Z$496,2)</f>
        <v>0</v>
      </c>
      <c r="AA541" s="42">
        <f>ROUND($B541*AA$496,2)</f>
        <v>0</v>
      </c>
      <c r="AB541" s="19">
        <f>SUM(U$496:AA$496)+(-V$496+V501)</f>
        <v>2.9380000000000031E-3</v>
      </c>
      <c r="AC541" s="94" t="str">
        <f>+F541</f>
        <v>SL0</v>
      </c>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row>
    <row r="542" spans="1:123" x14ac:dyDescent="0.2">
      <c r="A542" s="9"/>
      <c r="B542" s="97">
        <v>-1</v>
      </c>
      <c r="D542" s="87"/>
      <c r="E542" s="97"/>
      <c r="F542" s="36"/>
      <c r="G542" s="98"/>
      <c r="H542" s="19"/>
      <c r="J542" s="82"/>
      <c r="K542" s="42"/>
      <c r="O542" s="42"/>
      <c r="P542" s="42"/>
      <c r="Q542" s="42"/>
      <c r="R542" s="38" t="e">
        <f>INDEX('Pwr Factor'!$A$1:$B$52,MATCH((D543),'Pwr Factor'!$A$1:$A$52,0),2)</f>
        <v>#N/A</v>
      </c>
      <c r="S542" s="50">
        <v>0.5</v>
      </c>
      <c r="T542" s="42"/>
      <c r="U542" s="42"/>
      <c r="V542" s="41"/>
      <c r="W542" s="42"/>
      <c r="X542" s="42"/>
      <c r="Y542" s="42"/>
      <c r="Z542" s="42"/>
      <c r="AA542" s="42"/>
      <c r="AB542" s="19"/>
      <c r="AC542" s="67"/>
    </row>
    <row r="543" spans="1:123" x14ac:dyDescent="0.2">
      <c r="A543" s="1" t="s">
        <v>149</v>
      </c>
      <c r="B543" s="103">
        <f>IF(AND('AES Indiana Bill Calc.'!$D$17="SL",'AES Indiana Bill Calc.'!$D$18="Yes 50%",'AES Indiana Bill Calc.'!$D$20="Yes 2020"),'AES Indiana Bill Calc.'!$D$19,-1)</f>
        <v>-1</v>
      </c>
      <c r="C543" s="103">
        <f>MAX(E543,$C$497)</f>
        <v>50</v>
      </c>
      <c r="D543" s="103" t="b">
        <f>IF(AND('AES Indiana Bill Calc.'!$D$17="SL",'AES Indiana Bill Calc.'!$D$18="Yes 50%",'AES Indiana Bill Calc.'!$D$20="Yes 2020"),'AES Indiana Bill Calc.'!$D$22)</f>
        <v>0</v>
      </c>
      <c r="E543" s="103" t="b">
        <f>IF(AND('AES Indiana Bill Calc.'!$D$17="SL",'AES Indiana Bill Calc.'!$D$18="Yes 50%",'AES Indiana Bill Calc.'!$D$20="Yes 2020"),'AES Indiana Bill Calc.'!$D$21)</f>
        <v>0</v>
      </c>
      <c r="F543" s="36" t="s">
        <v>205</v>
      </c>
      <c r="G543" s="17" t="e">
        <f>SUM(J543:M543,O543:P543,R543:AA543)</f>
        <v>#N/A</v>
      </c>
      <c r="H543" s="19" t="e">
        <f>IF(ISBLANK(B543),0,+#REF!/B543)</f>
        <v>#REF!</v>
      </c>
      <c r="J543" s="82">
        <f>IF(ISBLANK(B543),0,+J$496)</f>
        <v>120</v>
      </c>
      <c r="K543" s="42">
        <f>ROUND($B543*K$496,2)</f>
        <v>-0.04</v>
      </c>
      <c r="N543" s="18">
        <f>K543</f>
        <v>-0.04</v>
      </c>
      <c r="O543" s="17">
        <f>IF($C543&gt;M$497,ROUND(M$497*M$496,2),ROUND($C543*M$496,2))</f>
        <v>1237</v>
      </c>
      <c r="P543" s="17">
        <f>IF($C543&gt;M$497,ROUND(($C543-M$497)*O$496,2),0)</f>
        <v>0</v>
      </c>
      <c r="Q543" s="17">
        <f>SUM(O543:P543)</f>
        <v>1237</v>
      </c>
      <c r="R543" s="16" t="e">
        <f>ROUND(SUM(N543:P543)*(R542-1),2)</f>
        <v>#N/A</v>
      </c>
      <c r="S543" s="42">
        <f>ROUND($B543*S$496*S542,2)</f>
        <v>0</v>
      </c>
      <c r="T543" s="42">
        <f>ROUND($B543*T$496,2)</f>
        <v>0</v>
      </c>
      <c r="U543" s="42">
        <f>ROUND($B543*U$496,2)</f>
        <v>0</v>
      </c>
      <c r="V543" s="41">
        <f>ROUND($B543*$V$490,2)</f>
        <v>0</v>
      </c>
      <c r="W543" s="42">
        <f>ROUND($B543*W$496,2)</f>
        <v>0</v>
      </c>
      <c r="X543" s="42">
        <f>ROUND($B543*X$496,2)</f>
        <v>-0.01</v>
      </c>
      <c r="Y543" s="42">
        <f>ROUND($B543*Y$496,2)</f>
        <v>0</v>
      </c>
      <c r="Z543" s="42">
        <f>ROUND($B543*Z$496,2)</f>
        <v>0</v>
      </c>
      <c r="AA543" s="42">
        <f>ROUND($B543*AA$496,2)</f>
        <v>0</v>
      </c>
      <c r="AB543" s="19">
        <f>SUM(U$496:AA$496)+(-V$496+V503)</f>
        <v>2.9380000000000031E-3</v>
      </c>
      <c r="AC543" s="94" t="str">
        <f>+F543</f>
        <v>SL0</v>
      </c>
    </row>
    <row r="544" spans="1:123" x14ac:dyDescent="0.2">
      <c r="A544" s="9"/>
      <c r="B544" s="97">
        <v>-1</v>
      </c>
      <c r="D544" s="87"/>
      <c r="E544" s="97"/>
      <c r="F544" s="36"/>
      <c r="G544" s="98"/>
      <c r="H544" s="19"/>
      <c r="J544" s="82"/>
      <c r="K544" s="42"/>
      <c r="O544" s="42"/>
      <c r="P544" s="42"/>
      <c r="Q544" s="42"/>
      <c r="R544" s="38" t="e">
        <f>INDEX('Pwr Factor'!$A$1:$B$52,MATCH((D545),'Pwr Factor'!$A$1:$A$52,0),2)</f>
        <v>#N/A</v>
      </c>
      <c r="S544" s="50">
        <v>0.25</v>
      </c>
      <c r="T544" s="42"/>
      <c r="U544" s="42"/>
      <c r="V544" s="41"/>
      <c r="W544" s="42"/>
      <c r="X544" s="42"/>
      <c r="Y544" s="42"/>
      <c r="Z544" s="42"/>
      <c r="AA544" s="42"/>
      <c r="AB544" s="19"/>
      <c r="AC544" s="67"/>
    </row>
    <row r="545" spans="1:29" x14ac:dyDescent="0.2">
      <c r="A545" s="1" t="s">
        <v>150</v>
      </c>
      <c r="B545" s="103">
        <f>IF(AND('AES Indiana Bill Calc.'!$D$17="SL",'AES Indiana Bill Calc.'!$D$18="Yes 25%",'AES Indiana Bill Calc.'!$D$20="Yes 2020"),'AES Indiana Bill Calc.'!$D$19,-1)</f>
        <v>-1</v>
      </c>
      <c r="C545" s="103">
        <f>MAX(E545,$C$497)</f>
        <v>50</v>
      </c>
      <c r="D545" s="103" t="b">
        <f>IF(AND('AES Indiana Bill Calc.'!$D$17="SL",'AES Indiana Bill Calc.'!$D$18="Yes 25%",'AES Indiana Bill Calc.'!$D$20="Yes 2020"),'AES Indiana Bill Calc.'!$D$22)</f>
        <v>0</v>
      </c>
      <c r="E545" s="103" t="b">
        <f>IF(AND('AES Indiana Bill Calc.'!$D$17="SL",'AES Indiana Bill Calc.'!$D$18="Yes 25%",'AES Indiana Bill Calc.'!$D$20="Yes 2020"),'AES Indiana Bill Calc.'!$D$21)</f>
        <v>0</v>
      </c>
      <c r="F545" s="36" t="s">
        <v>205</v>
      </c>
      <c r="G545" s="17" t="e">
        <f>SUM(J545:M545,O545:P545,R545:AA545)</f>
        <v>#N/A</v>
      </c>
      <c r="H545" s="19" t="e">
        <f>IF(ISBLANK(B545),0,+#REF!/B545)</f>
        <v>#REF!</v>
      </c>
      <c r="J545" s="82">
        <f>IF(ISBLANK(B545),0,+J$496)</f>
        <v>120</v>
      </c>
      <c r="K545" s="42">
        <f>ROUND($B545*K$496,2)</f>
        <v>-0.04</v>
      </c>
      <c r="N545" s="18">
        <f>K545</f>
        <v>-0.04</v>
      </c>
      <c r="O545" s="17">
        <f>IF($C545&gt;M$497,ROUND(M$497*M$496,2),ROUND($C545*M$496,2))</f>
        <v>1237</v>
      </c>
      <c r="P545" s="17">
        <f>IF($C545&gt;M$497,ROUND(($C545-M$497)*O$496,2),0)</f>
        <v>0</v>
      </c>
      <c r="Q545" s="17">
        <f>SUM(O545:P545)</f>
        <v>1237</v>
      </c>
      <c r="R545" s="16" t="e">
        <f>ROUND(SUM(N545:P545)*(R544-1),2)</f>
        <v>#N/A</v>
      </c>
      <c r="S545" s="42">
        <f>ROUND($B545*S$496*S544,2)</f>
        <v>0</v>
      </c>
      <c r="T545" s="42">
        <f>ROUND($B545*T$496,2)</f>
        <v>0</v>
      </c>
      <c r="U545" s="42">
        <f>ROUND($B545*U$496,2)</f>
        <v>0</v>
      </c>
      <c r="V545" s="41">
        <f>ROUND($B545*$V$490,2)</f>
        <v>0</v>
      </c>
      <c r="W545" s="42">
        <f>ROUND($B545*W$496,2)</f>
        <v>0</v>
      </c>
      <c r="X545" s="42">
        <f>ROUND($B545*X$496,2)</f>
        <v>-0.01</v>
      </c>
      <c r="Y545" s="42">
        <f>ROUND($B545*Y$496,2)</f>
        <v>0</v>
      </c>
      <c r="Z545" s="42">
        <f>ROUND($B545*Z$496,2)</f>
        <v>0</v>
      </c>
      <c r="AA545" s="42">
        <f>ROUND($B545*AA$496,2)</f>
        <v>0</v>
      </c>
      <c r="AB545" s="19">
        <f>SUM(U$496:AA$496)+(-V$496+V505)</f>
        <v>2.9380000000000031E-3</v>
      </c>
      <c r="AC545" s="94" t="str">
        <f>+F545</f>
        <v>SL0</v>
      </c>
    </row>
    <row r="546" spans="1:29" x14ac:dyDescent="0.2">
      <c r="A546" s="9"/>
      <c r="B546" s="97">
        <v>-1</v>
      </c>
      <c r="D546" s="87"/>
      <c r="E546" s="97"/>
      <c r="F546" s="36"/>
      <c r="G546" s="98"/>
      <c r="H546" s="19"/>
      <c r="J546" s="82"/>
      <c r="K546" s="42"/>
      <c r="O546" s="42"/>
      <c r="P546" s="42"/>
      <c r="Q546" s="42"/>
      <c r="R546" s="38" t="e">
        <f>INDEX('Pwr Factor'!$A$1:$B$52,MATCH((D547),'Pwr Factor'!$A$1:$A$52,0),2)</f>
        <v>#N/A</v>
      </c>
      <c r="S546" s="50">
        <v>0.1</v>
      </c>
      <c r="T546" s="42"/>
      <c r="U546" s="42"/>
      <c r="V546" s="41"/>
      <c r="W546" s="42"/>
      <c r="X546" s="42"/>
      <c r="Y546" s="42"/>
      <c r="Z546" s="42"/>
      <c r="AA546" s="42"/>
      <c r="AB546" s="19"/>
      <c r="AC546" s="67"/>
    </row>
    <row r="547" spans="1:29" x14ac:dyDescent="0.2">
      <c r="A547" s="1" t="s">
        <v>164</v>
      </c>
      <c r="B547" s="103">
        <f>IF(AND('AES Indiana Bill Calc.'!$D$17="SL",'AES Indiana Bill Calc.'!$D$18="Yes 10%",'AES Indiana Bill Calc.'!$D$20="Yes 2020"),'AES Indiana Bill Calc.'!$D$19,-1)</f>
        <v>-1</v>
      </c>
      <c r="C547" s="103">
        <f>MAX(E547,$C$497)</f>
        <v>50</v>
      </c>
      <c r="D547" s="103" t="b">
        <f>IF(AND('AES Indiana Bill Calc.'!$D$17="SL",'AES Indiana Bill Calc.'!$D$18="Yes 10%",'AES Indiana Bill Calc.'!$D$20="Yes 2020"),'AES Indiana Bill Calc.'!$D$22)</f>
        <v>0</v>
      </c>
      <c r="E547" s="103" t="b">
        <f>IF(AND('AES Indiana Bill Calc.'!$D$17="SL",'AES Indiana Bill Calc.'!$D$18="Yes 10%",'AES Indiana Bill Calc.'!$D$20="Yes 2020"),'AES Indiana Bill Calc.'!$D$21)</f>
        <v>0</v>
      </c>
      <c r="F547" s="36" t="s">
        <v>205</v>
      </c>
      <c r="G547" s="17" t="e">
        <f>SUM(J547:M547,O547:P547,R547:AA547)</f>
        <v>#N/A</v>
      </c>
      <c r="H547" s="19" t="e">
        <f>IF(ISBLANK(B547),0,+#REF!/B547)</f>
        <v>#REF!</v>
      </c>
      <c r="J547" s="82">
        <f>IF(ISBLANK(B547),0,+J$496)</f>
        <v>120</v>
      </c>
      <c r="K547" s="42">
        <f>ROUND($B547*K$496,2)</f>
        <v>-0.04</v>
      </c>
      <c r="N547" s="18">
        <f>K547</f>
        <v>-0.04</v>
      </c>
      <c r="O547" s="17">
        <f>IF($C547&gt;M$497,ROUND(M$497*M$496,2),ROUND($C547*M$496,2))</f>
        <v>1237</v>
      </c>
      <c r="P547" s="17">
        <f>IF($C547&gt;M$497,ROUND(($C547-M$497)*O$496,2),0)</f>
        <v>0</v>
      </c>
      <c r="Q547" s="17">
        <f>SUM(O547:P547)</f>
        <v>1237</v>
      </c>
      <c r="R547" s="16" t="e">
        <f>ROUND(SUM(N547:P547)*(R546-1),2)</f>
        <v>#N/A</v>
      </c>
      <c r="S547" s="42">
        <f>ROUND($B547*S$496*S546,2)</f>
        <v>0</v>
      </c>
      <c r="T547" s="42">
        <f>ROUND($B547*T$496,2)</f>
        <v>0</v>
      </c>
      <c r="U547" s="42">
        <f>ROUND($B547*U$496,2)</f>
        <v>0</v>
      </c>
      <c r="V547" s="41">
        <f>ROUND($B547*$V$490,2)</f>
        <v>0</v>
      </c>
      <c r="W547" s="42">
        <f>ROUND($B547*W$496,2)</f>
        <v>0</v>
      </c>
      <c r="X547" s="42">
        <f>ROUND($B547*X$496,2)</f>
        <v>-0.01</v>
      </c>
      <c r="Y547" s="42">
        <f>ROUND($B547*Y$496,2)</f>
        <v>0</v>
      </c>
      <c r="Z547" s="42">
        <f>ROUND($B547*Z$496,2)</f>
        <v>0</v>
      </c>
      <c r="AA547" s="42">
        <f>ROUND($B547*AA$496,2)</f>
        <v>0</v>
      </c>
      <c r="AB547" s="19">
        <f>SUM(U$496:AA$496)+(-V$496+V507)</f>
        <v>2.9380000000000031E-3</v>
      </c>
      <c r="AC547" s="94" t="str">
        <f>+F547</f>
        <v>SL0</v>
      </c>
    </row>
    <row r="548" spans="1:29" x14ac:dyDescent="0.2">
      <c r="A548" s="9"/>
      <c r="B548" s="97">
        <v>-1</v>
      </c>
      <c r="D548" s="87"/>
      <c r="E548" s="97"/>
      <c r="F548" s="36"/>
      <c r="G548" s="98"/>
      <c r="H548" s="19"/>
      <c r="J548" s="82"/>
      <c r="K548" s="42"/>
      <c r="O548" s="42"/>
      <c r="P548" s="42"/>
      <c r="Q548" s="42"/>
      <c r="R548" s="38" t="e">
        <f>INDEX('Pwr Factor'!$A$1:$B$52,MATCH((D549),'Pwr Factor'!$A$1:$A$52,0),2)</f>
        <v>#N/A</v>
      </c>
      <c r="S548" s="50">
        <v>0</v>
      </c>
      <c r="T548" s="42"/>
      <c r="U548" s="42"/>
      <c r="V548" s="41"/>
      <c r="W548" s="42"/>
      <c r="X548" s="42"/>
      <c r="Y548" s="42"/>
      <c r="Z548" s="42"/>
      <c r="AA548" s="42"/>
      <c r="AB548" s="19"/>
      <c r="AC548" s="94"/>
    </row>
    <row r="549" spans="1:29" x14ac:dyDescent="0.2">
      <c r="A549" s="1" t="s">
        <v>147</v>
      </c>
      <c r="B549" s="103">
        <f>IF(AND('AES Indiana Bill Calc.'!$D$17="SL",'AES Indiana Bill Calc.'!$D$18="No",'AES Indiana Bill Calc.'!$D$20="Yes 2020"),'AES Indiana Bill Calc.'!$D$19,-1)</f>
        <v>-1</v>
      </c>
      <c r="C549" s="103">
        <f>MAX(E549,$C$497)</f>
        <v>50</v>
      </c>
      <c r="D549" s="103" t="b">
        <f>IF(AND('AES Indiana Bill Calc.'!$D$17="SL",'AES Indiana Bill Calc.'!$D$18="No",'AES Indiana Bill Calc.'!$D$20="Yes 2020"),'AES Indiana Bill Calc.'!$D$22)</f>
        <v>0</v>
      </c>
      <c r="E549" s="103" t="b">
        <f>IF(AND('AES Indiana Bill Calc.'!$D$17="SL",'AES Indiana Bill Calc.'!$D$18="No",'AES Indiana Bill Calc.'!$D$20="Yes 2020"),'AES Indiana Bill Calc.'!$D$21)</f>
        <v>0</v>
      </c>
      <c r="F549" s="36" t="s">
        <v>205</v>
      </c>
      <c r="G549" s="17" t="e">
        <f>SUM(J549:M549,O549:P549,R549:AA549)</f>
        <v>#N/A</v>
      </c>
      <c r="H549" s="19" t="e">
        <f>IF(ISBLANK(B549),0,+#REF!/B549)</f>
        <v>#REF!</v>
      </c>
      <c r="J549" s="82">
        <f>IF(ISBLANK(B549),0,+J$496)</f>
        <v>120</v>
      </c>
      <c r="K549" s="42">
        <f>ROUND($B549*K$496,2)</f>
        <v>-0.04</v>
      </c>
      <c r="N549" s="18">
        <f>K549</f>
        <v>-0.04</v>
      </c>
      <c r="O549" s="17">
        <f>IF($C549&gt;M$497,ROUND(M$497*M$496,2),ROUND($C549*M$496,2))</f>
        <v>1237</v>
      </c>
      <c r="P549" s="17">
        <f>IF($C549&gt;M$497,ROUND(($C549-M$497)*O$496,2),0)</f>
        <v>0</v>
      </c>
      <c r="Q549" s="42">
        <f>SUM(O549:P549)</f>
        <v>1237</v>
      </c>
      <c r="R549" s="16" t="e">
        <f>ROUND(SUM(N549:P549)*(R548-1),2)</f>
        <v>#N/A</v>
      </c>
      <c r="S549" s="42">
        <f>ROUND($B549*S$496*S548,2)</f>
        <v>0</v>
      </c>
      <c r="T549" s="42">
        <f>ROUND($B549*T$496,2)</f>
        <v>0</v>
      </c>
      <c r="U549" s="42">
        <f>ROUND($B549*U$496,2)</f>
        <v>0</v>
      </c>
      <c r="V549" s="41">
        <f>ROUND($B549*$V$490,2)</f>
        <v>0</v>
      </c>
      <c r="W549" s="42">
        <f>ROUND($B549*W$496,2)</f>
        <v>0</v>
      </c>
      <c r="X549" s="42">
        <f>ROUND($B549*X$496,2)</f>
        <v>-0.01</v>
      </c>
      <c r="Y549" s="42">
        <f>ROUND($B549*Y$496,2)</f>
        <v>0</v>
      </c>
      <c r="Z549" s="42">
        <f>ROUND($B549*Z$496,2)</f>
        <v>0</v>
      </c>
      <c r="AA549" s="42">
        <f>ROUND($B549*AA$496,2)</f>
        <v>0</v>
      </c>
      <c r="AB549" s="19">
        <f>SUM(U$496:AA$496)+(-V$496+V509)</f>
        <v>2.9380000000000031E-3</v>
      </c>
      <c r="AC549" s="94" t="str">
        <f>+F549</f>
        <v>SL0</v>
      </c>
    </row>
    <row r="550" spans="1:29" x14ac:dyDescent="0.2">
      <c r="A550" s="53"/>
      <c r="B550" s="97">
        <v>-1</v>
      </c>
      <c r="D550" s="41"/>
      <c r="E550" s="80"/>
      <c r="F550" s="36"/>
      <c r="G550" s="98"/>
      <c r="H550" s="19"/>
      <c r="J550" s="82"/>
      <c r="K550" s="42"/>
      <c r="O550" s="42"/>
      <c r="P550" s="42"/>
      <c r="Q550" s="42"/>
      <c r="R550" s="38" t="e">
        <f>INDEX('Pwr Factor'!$A$1:$B$52,MATCH((D551),'Pwr Factor'!$A$1:$A$52,0),2)</f>
        <v>#N/A</v>
      </c>
      <c r="S550" s="50">
        <v>1</v>
      </c>
      <c r="T550" s="42"/>
      <c r="U550" s="42"/>
      <c r="V550" s="41"/>
      <c r="W550" s="42"/>
      <c r="X550" s="42"/>
      <c r="Y550" s="42"/>
      <c r="Z550" s="42"/>
      <c r="AA550" s="42"/>
      <c r="AB550" s="19"/>
      <c r="AC550" s="94"/>
    </row>
    <row r="551" spans="1:29" x14ac:dyDescent="0.2">
      <c r="A551" s="1" t="s">
        <v>148</v>
      </c>
      <c r="B551" s="103">
        <f>IF(AND('AES Indiana Bill Calc.'!$D$17="SL",'AES Indiana Bill Calc.'!$D$18="Yes 100%",'AES Indiana Bill Calc.'!$D$20="Yes 2021"),'AES Indiana Bill Calc.'!$D$19,-1)</f>
        <v>-1</v>
      </c>
      <c r="C551" s="103">
        <f>MAX(E551,$C$497)</f>
        <v>50</v>
      </c>
      <c r="D551" s="103" t="b">
        <f>IF(AND('AES Indiana Bill Calc.'!$D$17="SL",'AES Indiana Bill Calc.'!$D$18="Yes 100%",'AES Indiana Bill Calc.'!$D$20="Yes 2021"),'AES Indiana Bill Calc.'!$D$22)</f>
        <v>0</v>
      </c>
      <c r="E551" s="103" t="b">
        <f>IF(AND('AES Indiana Bill Calc.'!$D$17="SL",'AES Indiana Bill Calc.'!$D$18="Yes 100%",'AES Indiana Bill Calc.'!$D$20="Yes 2021"),'AES Indiana Bill Calc.'!$D$21)</f>
        <v>0</v>
      </c>
      <c r="F551" s="36" t="s">
        <v>206</v>
      </c>
      <c r="G551" s="17" t="e">
        <f>SUM(J551:M551,O551:P551,R551:AA551)</f>
        <v>#N/A</v>
      </c>
      <c r="H551" s="19" t="e">
        <f>IF(ISBLANK(B551),0,+#REF!/B551)</f>
        <v>#REF!</v>
      </c>
      <c r="J551" s="82">
        <f>IF(ISBLANK(B551),0,+J$496)</f>
        <v>120</v>
      </c>
      <c r="K551" s="42">
        <f>ROUND($B551*K$496,2)</f>
        <v>-0.04</v>
      </c>
      <c r="N551" s="18">
        <f>K551</f>
        <v>-0.04</v>
      </c>
      <c r="O551" s="17">
        <f>IF($C551&gt;M$497,ROUND(M$497*M$496,2),ROUND($C551*M$496,2))</f>
        <v>1237</v>
      </c>
      <c r="P551" s="17">
        <f>IF($C551&gt;M$497,ROUND(($C551-M$497)*O$496,2),0)</f>
        <v>0</v>
      </c>
      <c r="Q551" s="42">
        <f>SUM(O551:P551)</f>
        <v>1237</v>
      </c>
      <c r="R551" s="16" t="e">
        <f>ROUND(SUM(N551:P551)*(R550-1),2)</f>
        <v>#N/A</v>
      </c>
      <c r="S551" s="42">
        <f>ROUND($B551*S$496*S550,2)</f>
        <v>0</v>
      </c>
      <c r="T551" s="42">
        <f>ROUND($B551*T$496,2)</f>
        <v>0</v>
      </c>
      <c r="U551" s="42">
        <f>ROUND($B551*U$496,2)</f>
        <v>0</v>
      </c>
      <c r="V551" s="41">
        <f>ROUND($B551*$V$491,2)</f>
        <v>0</v>
      </c>
      <c r="W551" s="42">
        <f>ROUND($B551*W$496,2)</f>
        <v>0</v>
      </c>
      <c r="X551" s="42">
        <f>ROUND($B551*X$496,2)</f>
        <v>-0.01</v>
      </c>
      <c r="Y551" s="42">
        <f>ROUND($B551*Y$496,2)</f>
        <v>0</v>
      </c>
      <c r="Z551" s="42">
        <f>ROUND($B551*Z$496,2)</f>
        <v>0</v>
      </c>
      <c r="AA551" s="42">
        <f>ROUND($B551*AA$496,2)</f>
        <v>0</v>
      </c>
      <c r="AB551" s="19" t="e">
        <f>SUM(U$496:AA$496)+(-V$496+#REF!)</f>
        <v>#REF!</v>
      </c>
      <c r="AC551" s="94" t="str">
        <f>+F551</f>
        <v>SL1</v>
      </c>
    </row>
    <row r="552" spans="1:29" x14ac:dyDescent="0.2">
      <c r="A552" s="9"/>
      <c r="B552" s="97">
        <v>-1</v>
      </c>
      <c r="D552" s="87"/>
      <c r="E552" s="97"/>
      <c r="F552" s="36"/>
      <c r="G552" s="98"/>
      <c r="H552" s="19"/>
      <c r="J552" s="82"/>
      <c r="K552" s="42"/>
      <c r="O552" s="42"/>
      <c r="P552" s="42"/>
      <c r="Q552" s="42"/>
      <c r="R552" s="38" t="e">
        <f>INDEX('Pwr Factor'!$A$1:$B$52,MATCH((D553),'Pwr Factor'!$A$1:$A$52,0),2)</f>
        <v>#N/A</v>
      </c>
      <c r="S552" s="50">
        <v>0.5</v>
      </c>
      <c r="T552" s="42"/>
      <c r="U552" s="42"/>
      <c r="V552" s="41"/>
      <c r="W552" s="42"/>
      <c r="X552" s="42"/>
      <c r="Y552" s="42"/>
      <c r="Z552" s="42"/>
      <c r="AA552" s="42"/>
      <c r="AB552" s="19"/>
      <c r="AC552" s="94"/>
    </row>
    <row r="553" spans="1:29" x14ac:dyDescent="0.2">
      <c r="A553" s="1" t="s">
        <v>149</v>
      </c>
      <c r="B553" s="103">
        <f>IF(AND('AES Indiana Bill Calc.'!$D$17="SL",'AES Indiana Bill Calc.'!$D$18="Yes 50%",'AES Indiana Bill Calc.'!$D$20="Yes 2021"),'AES Indiana Bill Calc.'!$D$19,-1)</f>
        <v>-1</v>
      </c>
      <c r="C553" s="103">
        <f>MAX(E553,$C$497)</f>
        <v>50</v>
      </c>
      <c r="D553" s="103" t="b">
        <f>IF(AND('AES Indiana Bill Calc.'!$D$17="SL",'AES Indiana Bill Calc.'!$D$18="Yes 50%",'AES Indiana Bill Calc.'!$D$20="Yes 2021"),'AES Indiana Bill Calc.'!$D$22)</f>
        <v>0</v>
      </c>
      <c r="E553" s="103" t="b">
        <f>IF(AND('AES Indiana Bill Calc.'!$D$17="SL",'AES Indiana Bill Calc.'!$D$18="Yes 50%",'AES Indiana Bill Calc.'!$D$20="Yes 2021"),'AES Indiana Bill Calc.'!$D$21)</f>
        <v>0</v>
      </c>
      <c r="F553" s="36" t="s">
        <v>206</v>
      </c>
      <c r="G553" s="17" t="e">
        <f>SUM(J553:M553,O553:P553,R553:AA553)</f>
        <v>#N/A</v>
      </c>
      <c r="H553" s="19" t="e">
        <f>IF(ISBLANK(B553),0,+#REF!/B553)</f>
        <v>#REF!</v>
      </c>
      <c r="J553" s="82">
        <f>IF(ISBLANK(B553),0,+J$496)</f>
        <v>120</v>
      </c>
      <c r="K553" s="42">
        <f>ROUND($B553*K$496,2)</f>
        <v>-0.04</v>
      </c>
      <c r="N553" s="18">
        <f>K553</f>
        <v>-0.04</v>
      </c>
      <c r="O553" s="17">
        <f>IF($C553&gt;M$497,ROUND(M$497*M$496,2),ROUND($C553*M$496,2))</f>
        <v>1237</v>
      </c>
      <c r="P553" s="17">
        <f>IF($C553&gt;M$497,ROUND(($C553-M$497)*O$496,2),0)</f>
        <v>0</v>
      </c>
      <c r="Q553" s="42">
        <f>SUM(O553:P553)</f>
        <v>1237</v>
      </c>
      <c r="R553" s="16" t="e">
        <f>ROUND(SUM(N553:P553)*(R552-1),2)</f>
        <v>#N/A</v>
      </c>
      <c r="S553" s="42">
        <f>ROUND($B553*S$496*S552,2)</f>
        <v>0</v>
      </c>
      <c r="T553" s="42">
        <f>ROUND($B553*T$496,2)</f>
        <v>0</v>
      </c>
      <c r="U553" s="42">
        <f>ROUND($B553*U$496,2)</f>
        <v>0</v>
      </c>
      <c r="V553" s="41">
        <f>ROUND($B553*$V$491,2)</f>
        <v>0</v>
      </c>
      <c r="W553" s="42">
        <f>ROUND($B553*W$496,2)</f>
        <v>0</v>
      </c>
      <c r="X553" s="42">
        <f>ROUND($B553*X$496,2)</f>
        <v>-0.01</v>
      </c>
      <c r="Y553" s="42">
        <f>ROUND($B553*Y$496,2)</f>
        <v>0</v>
      </c>
      <c r="Z553" s="42">
        <f>ROUND($B553*Z$496,2)</f>
        <v>0</v>
      </c>
      <c r="AA553" s="42">
        <f>ROUND($B553*AA$496,2)</f>
        <v>0</v>
      </c>
      <c r="AB553" s="19" t="e">
        <f>SUM(U$496:AA$496)+(-V$496+#REF!)</f>
        <v>#REF!</v>
      </c>
      <c r="AC553" s="94" t="str">
        <f>+F553</f>
        <v>SL1</v>
      </c>
    </row>
    <row r="554" spans="1:29" x14ac:dyDescent="0.2">
      <c r="A554" s="9"/>
      <c r="B554" s="97">
        <v>-1</v>
      </c>
      <c r="D554" s="87"/>
      <c r="E554" s="97"/>
      <c r="F554" s="36"/>
      <c r="G554" s="98"/>
      <c r="H554" s="19"/>
      <c r="J554" s="82"/>
      <c r="K554" s="42"/>
      <c r="O554" s="42"/>
      <c r="P554" s="42"/>
      <c r="Q554" s="42"/>
      <c r="R554" s="38" t="e">
        <f>INDEX('Pwr Factor'!$A$1:$B$52,MATCH((D555),'Pwr Factor'!$A$1:$A$52,0),2)</f>
        <v>#N/A</v>
      </c>
      <c r="S554" s="50">
        <v>0.25</v>
      </c>
      <c r="T554" s="42"/>
      <c r="U554" s="42"/>
      <c r="V554" s="41"/>
      <c r="W554" s="42"/>
      <c r="X554" s="42"/>
      <c r="Y554" s="42"/>
      <c r="Z554" s="42"/>
      <c r="AA554" s="42"/>
      <c r="AB554" s="19"/>
      <c r="AC554" s="94"/>
    </row>
    <row r="555" spans="1:29" x14ac:dyDescent="0.2">
      <c r="A555" s="1" t="s">
        <v>150</v>
      </c>
      <c r="B555" s="103">
        <f>IF(AND('AES Indiana Bill Calc.'!$D$17="SL",'AES Indiana Bill Calc.'!$D$18="Yes 25%",'AES Indiana Bill Calc.'!$D$20="Yes 2021"),'AES Indiana Bill Calc.'!$D$19,-1)</f>
        <v>-1</v>
      </c>
      <c r="C555" s="103">
        <f>MAX(E555,$C$497)</f>
        <v>50</v>
      </c>
      <c r="D555" s="103" t="b">
        <f>IF(AND('AES Indiana Bill Calc.'!$D$17="SL",'AES Indiana Bill Calc.'!$D$18="Yes 25%",'AES Indiana Bill Calc.'!$D$20="Yes 2021"),'AES Indiana Bill Calc.'!$D$22)</f>
        <v>0</v>
      </c>
      <c r="E555" s="103" t="b">
        <f>IF(AND('AES Indiana Bill Calc.'!$D$17="SL",'AES Indiana Bill Calc.'!$D$18="Yes 25%",'AES Indiana Bill Calc.'!$D$20="Yes 2021"),'AES Indiana Bill Calc.'!$D$21)</f>
        <v>0</v>
      </c>
      <c r="F555" s="36" t="s">
        <v>206</v>
      </c>
      <c r="G555" s="17" t="e">
        <f>SUM(J555:M555,O555:P555,R555:AA555)</f>
        <v>#N/A</v>
      </c>
      <c r="H555" s="19" t="e">
        <f>IF(ISBLANK(B555),0,+#REF!/B555)</f>
        <v>#REF!</v>
      </c>
      <c r="J555" s="82">
        <f>IF(ISBLANK(B555),0,+J$496)</f>
        <v>120</v>
      </c>
      <c r="K555" s="42">
        <f>ROUND($B555*K$496,2)</f>
        <v>-0.04</v>
      </c>
      <c r="N555" s="18">
        <f>K555</f>
        <v>-0.04</v>
      </c>
      <c r="O555" s="17">
        <f>IF($C555&gt;M$497,ROUND(M$497*M$496,2),ROUND($C555*M$496,2))</f>
        <v>1237</v>
      </c>
      <c r="P555" s="17">
        <f>IF($C555&gt;M$497,ROUND(($C555-M$497)*O$496,2),0)</f>
        <v>0</v>
      </c>
      <c r="Q555" s="42">
        <f>SUM(O555:P555)</f>
        <v>1237</v>
      </c>
      <c r="R555" s="16" t="e">
        <f>ROUND(SUM(N555:P555)*(R554-1),2)</f>
        <v>#N/A</v>
      </c>
      <c r="S555" s="42">
        <f>ROUND($B555*S$496*S554,2)</f>
        <v>0</v>
      </c>
      <c r="T555" s="42">
        <f>ROUND($B555*T$496,2)</f>
        <v>0</v>
      </c>
      <c r="U555" s="42">
        <f>ROUND($B555*U$496,2)</f>
        <v>0</v>
      </c>
      <c r="V555" s="41">
        <f>ROUND($B555*$V$491,2)</f>
        <v>0</v>
      </c>
      <c r="W555" s="42">
        <f>ROUND($B555*W$496,2)</f>
        <v>0</v>
      </c>
      <c r="X555" s="42">
        <f>ROUND($B555*X$496,2)</f>
        <v>-0.01</v>
      </c>
      <c r="Y555" s="42">
        <f>ROUND($B555*Y$496,2)</f>
        <v>0</v>
      </c>
      <c r="Z555" s="42">
        <f>ROUND($B555*Z$496,2)</f>
        <v>0</v>
      </c>
      <c r="AA555" s="42">
        <f>ROUND($B555*AA$496,2)</f>
        <v>0</v>
      </c>
      <c r="AB555" s="19" t="e">
        <f>SUM(U$496:AA$496)+(-V$496+#REF!)</f>
        <v>#REF!</v>
      </c>
      <c r="AC555" s="94" t="str">
        <f>+F555</f>
        <v>SL1</v>
      </c>
    </row>
    <row r="556" spans="1:29" x14ac:dyDescent="0.2">
      <c r="A556" s="9"/>
      <c r="B556" s="97">
        <v>-1</v>
      </c>
      <c r="D556" s="87"/>
      <c r="E556" s="97"/>
      <c r="F556" s="36"/>
      <c r="G556" s="98"/>
      <c r="H556" s="19"/>
      <c r="J556" s="82"/>
      <c r="K556" s="42"/>
      <c r="O556" s="42"/>
      <c r="P556" s="42"/>
      <c r="Q556" s="42"/>
      <c r="R556" s="38" t="e">
        <f>INDEX('Pwr Factor'!$A$1:$B$52,MATCH((D557),'Pwr Factor'!$A$1:$A$52,0),2)</f>
        <v>#N/A</v>
      </c>
      <c r="S556" s="50">
        <v>0.1</v>
      </c>
      <c r="T556" s="42"/>
      <c r="U556" s="42"/>
      <c r="V556" s="41"/>
      <c r="W556" s="42"/>
      <c r="X556" s="42"/>
      <c r="Y556" s="42"/>
      <c r="Z556" s="42"/>
      <c r="AA556" s="42"/>
      <c r="AB556" s="19"/>
      <c r="AC556" s="94"/>
    </row>
    <row r="557" spans="1:29" x14ac:dyDescent="0.2">
      <c r="A557" s="1" t="s">
        <v>164</v>
      </c>
      <c r="B557" s="103">
        <f>IF(AND('AES Indiana Bill Calc.'!$D$17="SL",'AES Indiana Bill Calc.'!$D$18="Yes 10%",'AES Indiana Bill Calc.'!$D$20="Yes 2021"),'AES Indiana Bill Calc.'!$D$19,-1)</f>
        <v>-1</v>
      </c>
      <c r="C557" s="103">
        <f>MAX(E557,$C$497)</f>
        <v>50</v>
      </c>
      <c r="D557" s="103" t="b">
        <f>IF(AND('AES Indiana Bill Calc.'!$D$17="SL",'AES Indiana Bill Calc.'!$D$18="Yes 10%",'AES Indiana Bill Calc.'!$D$20="Yes 2021"),'AES Indiana Bill Calc.'!$D$22)</f>
        <v>0</v>
      </c>
      <c r="E557" s="103" t="b">
        <f>IF(AND('AES Indiana Bill Calc.'!$D$17="SL",'AES Indiana Bill Calc.'!$D$18="Yes 10%",'AES Indiana Bill Calc.'!$D$20="Yes 2021"),'AES Indiana Bill Calc.'!$D$21)</f>
        <v>0</v>
      </c>
      <c r="F557" s="36" t="s">
        <v>206</v>
      </c>
      <c r="G557" s="17" t="e">
        <f>SUM(J557:M557,O557:P557,R557:AA557)</f>
        <v>#N/A</v>
      </c>
      <c r="H557" s="19" t="e">
        <f>IF(ISBLANK(B557),0,+#REF!/B557)</f>
        <v>#REF!</v>
      </c>
      <c r="J557" s="82">
        <f>IF(ISBLANK(B557),0,+J$496)</f>
        <v>120</v>
      </c>
      <c r="K557" s="42">
        <f>ROUND($B557*K$496,2)</f>
        <v>-0.04</v>
      </c>
      <c r="N557" s="18">
        <f>K557</f>
        <v>-0.04</v>
      </c>
      <c r="O557" s="17">
        <f>IF($C557&gt;M$497,ROUND(M$497*M$496,2),ROUND($C557*M$496,2))</f>
        <v>1237</v>
      </c>
      <c r="P557" s="17">
        <f>IF($C557&gt;M$497,ROUND(($C557-M$497)*O$496,2),0)</f>
        <v>0</v>
      </c>
      <c r="Q557" s="42">
        <f>SUM(O557:P557)</f>
        <v>1237</v>
      </c>
      <c r="R557" s="16" t="e">
        <f>ROUND(SUM(N557:P557)*(R556-1),2)</f>
        <v>#N/A</v>
      </c>
      <c r="S557" s="42">
        <f>ROUND($B557*S$496*S556,2)</f>
        <v>0</v>
      </c>
      <c r="T557" s="42">
        <f>ROUND($B557*T$496,2)</f>
        <v>0</v>
      </c>
      <c r="U557" s="42">
        <f>ROUND($B557*U$496,2)</f>
        <v>0</v>
      </c>
      <c r="V557" s="41">
        <f>ROUND($B557*$V$491,2)</f>
        <v>0</v>
      </c>
      <c r="W557" s="42">
        <f>ROUND($B557*W$496,2)</f>
        <v>0</v>
      </c>
      <c r="X557" s="42">
        <f>ROUND($B557*X$496,2)</f>
        <v>-0.01</v>
      </c>
      <c r="Y557" s="42">
        <f>ROUND($B557*Y$496,2)</f>
        <v>0</v>
      </c>
      <c r="Z557" s="42">
        <f>ROUND($B557*Z$496,2)</f>
        <v>0</v>
      </c>
      <c r="AA557" s="42">
        <f>ROUND($B557*AA$496,2)</f>
        <v>0</v>
      </c>
      <c r="AB557" s="19" t="e">
        <f>SUM(U$496:AA$496)+(-V$496+#REF!)</f>
        <v>#REF!</v>
      </c>
      <c r="AC557" s="94" t="str">
        <f>+F557</f>
        <v>SL1</v>
      </c>
    </row>
    <row r="558" spans="1:29" x14ac:dyDescent="0.2">
      <c r="A558" s="9"/>
      <c r="B558" s="97">
        <v>-1</v>
      </c>
      <c r="D558" s="87"/>
      <c r="E558" s="97"/>
      <c r="F558" s="36"/>
      <c r="G558" s="98"/>
      <c r="H558" s="19"/>
      <c r="J558" s="82"/>
      <c r="K558" s="42"/>
      <c r="O558" s="42"/>
      <c r="P558" s="42"/>
      <c r="Q558" s="42"/>
      <c r="R558" s="38" t="e">
        <f>INDEX('Pwr Factor'!$A$1:$B$52,MATCH((D559),'Pwr Factor'!$A$1:$A$52,0),2)</f>
        <v>#N/A</v>
      </c>
      <c r="S558" s="50">
        <v>0</v>
      </c>
      <c r="T558" s="42"/>
      <c r="U558" s="42"/>
      <c r="V558" s="41"/>
      <c r="W558" s="42"/>
      <c r="X558" s="42"/>
      <c r="Y558" s="42"/>
      <c r="Z558" s="42"/>
      <c r="AA558" s="42"/>
      <c r="AB558" s="19"/>
      <c r="AC558" s="94"/>
    </row>
    <row r="559" spans="1:29" x14ac:dyDescent="0.2">
      <c r="A559" s="1" t="s">
        <v>147</v>
      </c>
      <c r="B559" s="103">
        <f>IF(AND('AES Indiana Bill Calc.'!$D$17="SL",'AES Indiana Bill Calc.'!$D$18="No",'AES Indiana Bill Calc.'!$D$20="Yes 2021"),'AES Indiana Bill Calc.'!$D$19,-1)</f>
        <v>-1</v>
      </c>
      <c r="C559" s="103">
        <f>MAX(E559,$C$497)</f>
        <v>50</v>
      </c>
      <c r="D559" s="103" t="b">
        <f>IF(AND('AES Indiana Bill Calc.'!$D$17="SL",'AES Indiana Bill Calc.'!$D$18="No",'AES Indiana Bill Calc.'!$D$20="Yes 2021"),'AES Indiana Bill Calc.'!$D$22)</f>
        <v>0</v>
      </c>
      <c r="E559" s="103" t="b">
        <f>IF(AND('AES Indiana Bill Calc.'!$D$17="SL",'AES Indiana Bill Calc.'!$D$18="No",'AES Indiana Bill Calc.'!$D$20="Yes 2021"),'AES Indiana Bill Calc.'!$D$21)</f>
        <v>0</v>
      </c>
      <c r="F559" s="36" t="s">
        <v>206</v>
      </c>
      <c r="G559" s="17" t="e">
        <f>SUM(J559:M559,O559:P559,R559:AA559)</f>
        <v>#N/A</v>
      </c>
      <c r="H559" s="19" t="e">
        <f>IF(ISBLANK(B559),0,+#REF!/B559)</f>
        <v>#REF!</v>
      </c>
      <c r="J559" s="82">
        <f>IF(ISBLANK(B559),0,+J$496)</f>
        <v>120</v>
      </c>
      <c r="K559" s="42">
        <f>ROUND($B559*K$496,2)</f>
        <v>-0.04</v>
      </c>
      <c r="N559" s="18">
        <f>K559</f>
        <v>-0.04</v>
      </c>
      <c r="O559" s="17">
        <f>IF($C559&gt;M$497,ROUND(M$497*M$496,2),ROUND($C559*M$496,2))</f>
        <v>1237</v>
      </c>
      <c r="P559" s="17">
        <f>IF($C559&gt;M$497,ROUND(($C559-M$497)*O$496,2),0)</f>
        <v>0</v>
      </c>
      <c r="Q559" s="17">
        <f>SUM(O559:P559)</f>
        <v>1237</v>
      </c>
      <c r="R559" s="16" t="e">
        <f>ROUND(SUM(N559:P559)*(R558-1),2)</f>
        <v>#N/A</v>
      </c>
      <c r="S559" s="42">
        <f>ROUND($B559*S$496*S558,2)</f>
        <v>0</v>
      </c>
      <c r="T559" s="42">
        <f>ROUND($B559*T$496,2)</f>
        <v>0</v>
      </c>
      <c r="U559" s="42">
        <f>ROUND($B559*U$496,2)</f>
        <v>0</v>
      </c>
      <c r="V559" s="41">
        <f>ROUND($B559*$V$491,2)</f>
        <v>0</v>
      </c>
      <c r="W559" s="42">
        <f>ROUND($B559*W$496,2)</f>
        <v>0</v>
      </c>
      <c r="X559" s="42">
        <f>ROUND($B559*X$496,2)</f>
        <v>-0.01</v>
      </c>
      <c r="Y559" s="42">
        <f>ROUND($B559*Y$496,2)</f>
        <v>0</v>
      </c>
      <c r="Z559" s="42">
        <f>ROUND($B559*Z$496,2)</f>
        <v>0</v>
      </c>
      <c r="AA559" s="42">
        <f>ROUND($B559*AA$496,2)</f>
        <v>0</v>
      </c>
      <c r="AB559" s="19" t="e">
        <f>SUM(U$496:AA$496)+(-V$496+#REF!)</f>
        <v>#REF!</v>
      </c>
      <c r="AC559" s="94" t="str">
        <f>+F559</f>
        <v>SL1</v>
      </c>
    </row>
    <row r="560" spans="1:29" x14ac:dyDescent="0.2">
      <c r="A560" s="53"/>
      <c r="B560" s="97">
        <v>-1</v>
      </c>
      <c r="D560" s="41"/>
      <c r="E560" s="80"/>
      <c r="F560" s="36"/>
      <c r="G560" s="98"/>
      <c r="H560" s="19"/>
      <c r="J560" s="82"/>
      <c r="K560" s="42"/>
      <c r="O560" s="42"/>
      <c r="P560" s="42"/>
      <c r="Q560" s="42"/>
      <c r="R560" s="38" t="e">
        <f>INDEX('Pwr Factor'!$A$1:$B$52,MATCH((D561),'Pwr Factor'!$A$1:$A$52,0),2)</f>
        <v>#N/A</v>
      </c>
      <c r="S560" s="50">
        <v>1</v>
      </c>
      <c r="T560" s="42"/>
      <c r="U560" s="42"/>
      <c r="V560" s="41"/>
      <c r="W560" s="42"/>
      <c r="X560" s="42"/>
      <c r="Y560" s="42"/>
      <c r="Z560" s="42"/>
      <c r="AA560" s="42"/>
      <c r="AB560" s="19"/>
      <c r="AC560" s="94"/>
    </row>
    <row r="561" spans="1:29" x14ac:dyDescent="0.2">
      <c r="A561" s="1" t="s">
        <v>148</v>
      </c>
      <c r="B561" s="103">
        <f>IF(AND('AES Indiana Bill Calc.'!$D$17="SL",'AES Indiana Bill Calc.'!$D$18="Yes 100%",'AES Indiana Bill Calc.'!$D$20="Yes 2022"),'AES Indiana Bill Calc.'!$D$19,-1)</f>
        <v>-1</v>
      </c>
      <c r="C561" s="103">
        <f>MAX(E561,$C$497)</f>
        <v>50</v>
      </c>
      <c r="D561" s="103" t="b">
        <f>IF(AND('AES Indiana Bill Calc.'!$D$17="SL",'AES Indiana Bill Calc.'!$D$18="Yes 100%",'AES Indiana Bill Calc.'!$D$20="Yes 2022"),'AES Indiana Bill Calc.'!$D$22)</f>
        <v>0</v>
      </c>
      <c r="E561" s="103" t="b">
        <f>IF(AND('AES Indiana Bill Calc.'!$D$17="SL",'AES Indiana Bill Calc.'!$D$18="Yes 100%",'AES Indiana Bill Calc.'!$D$20="Yes 2022"),'AES Indiana Bill Calc.'!$D$21)</f>
        <v>0</v>
      </c>
      <c r="F561" s="36" t="s">
        <v>207</v>
      </c>
      <c r="G561" s="17" t="e">
        <f>SUM(J561:M561,O561:P561,R561:AA561)</f>
        <v>#N/A</v>
      </c>
      <c r="H561" s="19" t="e">
        <f>IF(ISBLANK(B561),0,+#REF!/B561)</f>
        <v>#REF!</v>
      </c>
      <c r="J561" s="82">
        <f>IF(ISBLANK(B561),0,+J$496)</f>
        <v>120</v>
      </c>
      <c r="K561" s="42">
        <f>ROUND($B561*K$496,2)</f>
        <v>-0.04</v>
      </c>
      <c r="N561" s="18">
        <f>K561</f>
        <v>-0.04</v>
      </c>
      <c r="O561" s="17">
        <f>IF($C561&gt;M$497,ROUND(M$497*M$496,2),ROUND($C561*M$496,2))</f>
        <v>1237</v>
      </c>
      <c r="P561" s="17">
        <f>IF($C561&gt;M$497,ROUND(($C561-M$497)*O$496,2),0)</f>
        <v>0</v>
      </c>
      <c r="Q561" s="42">
        <f>SUM(O561:P561)</f>
        <v>1237</v>
      </c>
      <c r="R561" s="16" t="e">
        <f>ROUND(SUM(N561:P561)*(R560-1),2)</f>
        <v>#N/A</v>
      </c>
      <c r="S561" s="42">
        <f>ROUND($B561*S$496*S560,2)</f>
        <v>0</v>
      </c>
      <c r="T561" s="42">
        <f>ROUND($B561*T$496,2)</f>
        <v>0</v>
      </c>
      <c r="U561" s="42">
        <f>ROUND($B561*U$496,2)</f>
        <v>0</v>
      </c>
      <c r="V561" s="41">
        <f>ROUND($B561*$V$492,2)</f>
        <v>0</v>
      </c>
      <c r="W561" s="42">
        <f>ROUND($B561*W$496,2)</f>
        <v>0</v>
      </c>
      <c r="X561" s="42">
        <f>ROUND($B561*X$496,2)</f>
        <v>-0.01</v>
      </c>
      <c r="Y561" s="42">
        <f>ROUND($B561*Y$496,2)</f>
        <v>0</v>
      </c>
      <c r="Z561" s="42">
        <f>ROUND($B561*Z$496,2)</f>
        <v>0</v>
      </c>
      <c r="AA561" s="42">
        <f>ROUND($B561*AA$496,2)</f>
        <v>0</v>
      </c>
      <c r="AB561" s="19" t="e">
        <f>SUM(U$496:AA$496)+(-V$496+#REF!)</f>
        <v>#REF!</v>
      </c>
      <c r="AC561" s="94" t="str">
        <f>+F561</f>
        <v>SL2</v>
      </c>
    </row>
    <row r="562" spans="1:29" x14ac:dyDescent="0.2">
      <c r="A562" s="9"/>
      <c r="B562" s="97">
        <v>-1</v>
      </c>
      <c r="D562" s="41"/>
      <c r="E562" s="80"/>
      <c r="F562" s="36"/>
      <c r="G562" s="98"/>
      <c r="H562" s="19"/>
      <c r="J562" s="82"/>
      <c r="K562" s="42"/>
      <c r="O562" s="42"/>
      <c r="P562" s="42"/>
      <c r="Q562" s="42"/>
      <c r="R562" s="38" t="e">
        <f>INDEX('Pwr Factor'!$A$1:$B$52,MATCH((D563),'Pwr Factor'!$A$1:$A$52,0),2)</f>
        <v>#N/A</v>
      </c>
      <c r="S562" s="50">
        <v>0.5</v>
      </c>
      <c r="T562" s="42"/>
      <c r="U562" s="42"/>
      <c r="V562" s="41"/>
      <c r="W562" s="42"/>
      <c r="X562" s="42"/>
      <c r="Y562" s="42"/>
      <c r="Z562" s="42"/>
      <c r="AA562" s="42"/>
      <c r="AB562" s="19"/>
      <c r="AC562" s="94"/>
    </row>
    <row r="563" spans="1:29" x14ac:dyDescent="0.2">
      <c r="A563" s="1" t="s">
        <v>149</v>
      </c>
      <c r="B563" s="103">
        <f>IF(AND('AES Indiana Bill Calc.'!$D$17="SL",'AES Indiana Bill Calc.'!$D$18="Yes 50%",'AES Indiana Bill Calc.'!$D$20="Yes 2022"),'AES Indiana Bill Calc.'!$D$19,-1)</f>
        <v>-1</v>
      </c>
      <c r="C563" s="103">
        <f>MAX(E563,$C$497)</f>
        <v>50</v>
      </c>
      <c r="D563" s="103" t="b">
        <f>IF(AND('AES Indiana Bill Calc.'!$D$17="SL",'AES Indiana Bill Calc.'!$D$18="Yes 50%",'AES Indiana Bill Calc.'!$D$20="Yes 2022"),'AES Indiana Bill Calc.'!$D$22)</f>
        <v>0</v>
      </c>
      <c r="E563" s="103" t="b">
        <f>IF(AND('AES Indiana Bill Calc.'!$D$17="SL",'AES Indiana Bill Calc.'!$D$18="Yes 50%",'AES Indiana Bill Calc.'!$D$20="Yes 2022"),'AES Indiana Bill Calc.'!$D$21)</f>
        <v>0</v>
      </c>
      <c r="F563" s="36" t="s">
        <v>207</v>
      </c>
      <c r="G563" s="17" t="e">
        <f>SUM(J563:M563,O563:P563,R563:AA563)</f>
        <v>#N/A</v>
      </c>
      <c r="H563" s="19" t="e">
        <f>IF(ISBLANK(B563),0,+#REF!/B563)</f>
        <v>#REF!</v>
      </c>
      <c r="J563" s="82">
        <f>IF(ISBLANK(B563),0,+J$496)</f>
        <v>120</v>
      </c>
      <c r="K563" s="42">
        <f>ROUND($B563*K$496,2)</f>
        <v>-0.04</v>
      </c>
      <c r="N563" s="18">
        <f>K563</f>
        <v>-0.04</v>
      </c>
      <c r="O563" s="17">
        <f>IF($C563&gt;M$497,ROUND(M$497*M$496,2),ROUND($C563*M$496,2))</f>
        <v>1237</v>
      </c>
      <c r="P563" s="17">
        <f>IF($C563&gt;M$497,ROUND(($C563-M$497)*O$496,2),0)</f>
        <v>0</v>
      </c>
      <c r="Q563" s="42">
        <f>SUM(O563:P563)</f>
        <v>1237</v>
      </c>
      <c r="R563" s="16" t="e">
        <f>ROUND(SUM(N563:P563)*(R562-1),2)</f>
        <v>#N/A</v>
      </c>
      <c r="S563" s="42">
        <f>ROUND($B563*S$496*S562,2)</f>
        <v>0</v>
      </c>
      <c r="T563" s="42">
        <f>ROUND($B563*T$496,2)</f>
        <v>0</v>
      </c>
      <c r="U563" s="42">
        <f>ROUND($B563*U$496,2)</f>
        <v>0</v>
      </c>
      <c r="V563" s="41">
        <f>ROUND($B563*$V$492,2)</f>
        <v>0</v>
      </c>
      <c r="W563" s="42">
        <f>ROUND($B563*W$496,2)</f>
        <v>0</v>
      </c>
      <c r="X563" s="42">
        <f>ROUND($B563*X$496,2)</f>
        <v>-0.01</v>
      </c>
      <c r="Y563" s="42">
        <f>ROUND($B563*Y$496,2)</f>
        <v>0</v>
      </c>
      <c r="Z563" s="42">
        <f>ROUND($B563*Z$496,2)</f>
        <v>0</v>
      </c>
      <c r="AA563" s="42">
        <f>ROUND($B563*AA$496,2)</f>
        <v>0</v>
      </c>
      <c r="AB563" s="19" t="e">
        <f>SUM(U$496:AA$496)+(-V$496+#REF!)</f>
        <v>#REF!</v>
      </c>
      <c r="AC563" s="94" t="str">
        <f>+F563</f>
        <v>SL2</v>
      </c>
    </row>
    <row r="564" spans="1:29" x14ac:dyDescent="0.2">
      <c r="A564" s="9"/>
      <c r="B564" s="97">
        <v>-1</v>
      </c>
      <c r="D564" s="41"/>
      <c r="E564" s="80"/>
      <c r="F564" s="36"/>
      <c r="G564" s="98"/>
      <c r="H564" s="19"/>
      <c r="J564" s="82"/>
      <c r="K564" s="42"/>
      <c r="O564" s="42"/>
      <c r="P564" s="42"/>
      <c r="Q564" s="42"/>
      <c r="R564" s="38" t="e">
        <f>INDEX('Pwr Factor'!$A$1:$B$52,MATCH((D565),'Pwr Factor'!$A$1:$A$52,0),2)</f>
        <v>#N/A</v>
      </c>
      <c r="S564" s="50">
        <v>0.25</v>
      </c>
      <c r="T564" s="42"/>
      <c r="U564" s="42"/>
      <c r="V564" s="41"/>
      <c r="W564" s="42"/>
      <c r="X564" s="42"/>
      <c r="Y564" s="42"/>
      <c r="Z564" s="42"/>
      <c r="AA564" s="42"/>
      <c r="AB564" s="19"/>
      <c r="AC564" s="94"/>
    </row>
    <row r="565" spans="1:29" x14ac:dyDescent="0.2">
      <c r="A565" s="1" t="s">
        <v>150</v>
      </c>
      <c r="B565" s="103">
        <f>IF(AND('AES Indiana Bill Calc.'!$D$17="SL",'AES Indiana Bill Calc.'!$D$18="Yes 25%",'AES Indiana Bill Calc.'!$D$20="Yes 2022"),'AES Indiana Bill Calc.'!$D$19,-1)</f>
        <v>-1</v>
      </c>
      <c r="C565" s="103">
        <f>MAX(E565,$C$497)</f>
        <v>50</v>
      </c>
      <c r="D565" s="103" t="b">
        <f>IF(AND('AES Indiana Bill Calc.'!$D$17="SL",'AES Indiana Bill Calc.'!$D$18="Yes 25%",'AES Indiana Bill Calc.'!$D$20="Yes 2022"),'AES Indiana Bill Calc.'!$D$22)</f>
        <v>0</v>
      </c>
      <c r="E565" s="103" t="b">
        <f>IF(AND('AES Indiana Bill Calc.'!$D$17="SL",'AES Indiana Bill Calc.'!$D$18="Yes 25%",'AES Indiana Bill Calc.'!$D$20="Yes 2022"),'AES Indiana Bill Calc.'!$D$21)</f>
        <v>0</v>
      </c>
      <c r="F565" s="36" t="s">
        <v>207</v>
      </c>
      <c r="G565" s="17" t="e">
        <f>SUM(J565:M565,O565:P565,R565:AA565)</f>
        <v>#N/A</v>
      </c>
      <c r="H565" s="19" t="e">
        <f>IF(ISBLANK(B565),0,+#REF!/B565)</f>
        <v>#REF!</v>
      </c>
      <c r="J565" s="82">
        <f>IF(ISBLANK(B565),0,+J$496)</f>
        <v>120</v>
      </c>
      <c r="K565" s="42">
        <f>ROUND($B565*K$496,2)</f>
        <v>-0.04</v>
      </c>
      <c r="N565" s="18">
        <f>K565</f>
        <v>-0.04</v>
      </c>
      <c r="O565" s="17">
        <f>IF($C565&gt;M$497,ROUND(M$497*M$496,2),ROUND($C565*M$496,2))</f>
        <v>1237</v>
      </c>
      <c r="P565" s="17">
        <f>IF($C565&gt;M$497,ROUND(($C565-M$497)*O$496,2),0)</f>
        <v>0</v>
      </c>
      <c r="Q565" s="42">
        <f>SUM(O565:P565)</f>
        <v>1237</v>
      </c>
      <c r="R565" s="16" t="e">
        <f>ROUND(SUM(N565:P565)*(R564-1),2)</f>
        <v>#N/A</v>
      </c>
      <c r="S565" s="42">
        <f>ROUND($B565*S$496*S564,2)</f>
        <v>0</v>
      </c>
      <c r="T565" s="42">
        <f>ROUND($B565*T$496,2)</f>
        <v>0</v>
      </c>
      <c r="U565" s="42">
        <f>ROUND($B565*U$496,2)</f>
        <v>0</v>
      </c>
      <c r="V565" s="41">
        <f>ROUND($B565*$V$492,2)</f>
        <v>0</v>
      </c>
      <c r="W565" s="42">
        <f>ROUND($B565*W$496,2)</f>
        <v>0</v>
      </c>
      <c r="X565" s="42">
        <f>ROUND($B565*X$496,2)</f>
        <v>-0.01</v>
      </c>
      <c r="Y565" s="42">
        <f>ROUND($B565*Y$496,2)</f>
        <v>0</v>
      </c>
      <c r="Z565" s="42">
        <f>ROUND($B565*Z$496,2)</f>
        <v>0</v>
      </c>
      <c r="AA565" s="42">
        <f>ROUND($B565*AA$496,2)</f>
        <v>0</v>
      </c>
      <c r="AB565" s="19" t="e">
        <f>SUM(U$496:AA$496)+(-V$496+#REF!)</f>
        <v>#REF!</v>
      </c>
      <c r="AC565" s="94" t="str">
        <f>+F565</f>
        <v>SL2</v>
      </c>
    </row>
    <row r="566" spans="1:29" x14ac:dyDescent="0.2">
      <c r="A566" s="9"/>
      <c r="B566" s="97">
        <v>-1</v>
      </c>
      <c r="D566" s="41"/>
      <c r="E566" s="80"/>
      <c r="F566" s="36"/>
      <c r="G566" s="98"/>
      <c r="H566" s="19"/>
      <c r="J566" s="82"/>
      <c r="K566" s="42"/>
      <c r="O566" s="42"/>
      <c r="P566" s="42"/>
      <c r="Q566" s="42"/>
      <c r="R566" s="38" t="e">
        <f>INDEX('Pwr Factor'!$A$1:$B$52,MATCH((D567),'Pwr Factor'!$A$1:$A$52,0),2)</f>
        <v>#N/A</v>
      </c>
      <c r="S566" s="50">
        <v>0.1</v>
      </c>
      <c r="T566" s="42"/>
      <c r="U566" s="42"/>
      <c r="V566" s="41"/>
      <c r="W566" s="42"/>
      <c r="X566" s="42"/>
      <c r="Y566" s="42"/>
      <c r="Z566" s="42"/>
      <c r="AA566" s="42"/>
      <c r="AB566" s="19"/>
      <c r="AC566" s="94"/>
    </row>
    <row r="567" spans="1:29" x14ac:dyDescent="0.2">
      <c r="A567" s="1" t="s">
        <v>164</v>
      </c>
      <c r="B567" s="103">
        <f>IF(AND('AES Indiana Bill Calc.'!$D$17="SL",'AES Indiana Bill Calc.'!$D$18="Yes 10%",'AES Indiana Bill Calc.'!$D$20="Yes 2022"),'AES Indiana Bill Calc.'!$D$19,-1)</f>
        <v>-1</v>
      </c>
      <c r="C567" s="103">
        <f>MAX(E567,$C$497)</f>
        <v>50</v>
      </c>
      <c r="D567" s="103" t="b">
        <f>IF(AND('AES Indiana Bill Calc.'!$D$17="SL",'AES Indiana Bill Calc.'!$D$18="Yes 10%",'AES Indiana Bill Calc.'!$D$20="Yes 2022"),'AES Indiana Bill Calc.'!$D$22)</f>
        <v>0</v>
      </c>
      <c r="E567" s="103" t="b">
        <f>IF(AND('AES Indiana Bill Calc.'!$D$17="SL",'AES Indiana Bill Calc.'!$D$18="Yes 10%",'AES Indiana Bill Calc.'!$D$20="Yes 2022"),'AES Indiana Bill Calc.'!$D$21)</f>
        <v>0</v>
      </c>
      <c r="F567" s="36" t="s">
        <v>207</v>
      </c>
      <c r="G567" s="17" t="e">
        <f>SUM(J567:M567,O567:P567,R567:AA567)</f>
        <v>#N/A</v>
      </c>
      <c r="H567" s="19" t="e">
        <f>IF(ISBLANK(B567),0,+#REF!/B567)</f>
        <v>#REF!</v>
      </c>
      <c r="J567" s="82">
        <f>IF(ISBLANK(B567),0,+J$496)</f>
        <v>120</v>
      </c>
      <c r="K567" s="42">
        <f>ROUND($B567*K$496,2)</f>
        <v>-0.04</v>
      </c>
      <c r="N567" s="18">
        <f>K567</f>
        <v>-0.04</v>
      </c>
      <c r="O567" s="17">
        <f>IF($C567&gt;M$497,ROUND(M$497*M$496,2),ROUND($C567*M$496,2))</f>
        <v>1237</v>
      </c>
      <c r="P567" s="17">
        <f>IF($C567&gt;M$497,ROUND(($C567-M$497)*O$496,2),0)</f>
        <v>0</v>
      </c>
      <c r="Q567" s="42">
        <f>SUM(O567:P567)</f>
        <v>1237</v>
      </c>
      <c r="R567" s="16" t="e">
        <f>ROUND(SUM(N567:P567)*(R566-1),2)</f>
        <v>#N/A</v>
      </c>
      <c r="S567" s="42">
        <f>ROUND($B567*S$496*S566,2)</f>
        <v>0</v>
      </c>
      <c r="T567" s="42">
        <f>ROUND($B567*T$496,2)</f>
        <v>0</v>
      </c>
      <c r="U567" s="42">
        <f>ROUND($B567*U$496,2)</f>
        <v>0</v>
      </c>
      <c r="V567" s="41">
        <f>ROUND($B567*$V$492,2)</f>
        <v>0</v>
      </c>
      <c r="W567" s="42">
        <f>ROUND($B567*W$496,2)</f>
        <v>0</v>
      </c>
      <c r="X567" s="42">
        <f>ROUND($B567*X$496,2)</f>
        <v>-0.01</v>
      </c>
      <c r="Y567" s="42">
        <f>ROUND($B567*Y$496,2)</f>
        <v>0</v>
      </c>
      <c r="Z567" s="42">
        <f>ROUND($B567*Z$496,2)</f>
        <v>0</v>
      </c>
      <c r="AA567" s="42">
        <f>ROUND($B567*AA$496,2)</f>
        <v>0</v>
      </c>
      <c r="AB567" s="19" t="e">
        <f>SUM(U$496:AA$496)+(-V$496+#REF!)</f>
        <v>#REF!</v>
      </c>
      <c r="AC567" s="94" t="str">
        <f>+F567</f>
        <v>SL2</v>
      </c>
    </row>
    <row r="568" spans="1:29" x14ac:dyDescent="0.2">
      <c r="A568" s="9"/>
      <c r="B568" s="97">
        <v>-1</v>
      </c>
      <c r="D568" s="41"/>
      <c r="E568" s="80"/>
      <c r="F568" s="36"/>
      <c r="G568" s="98"/>
      <c r="H568" s="19"/>
      <c r="J568" s="82"/>
      <c r="K568" s="42"/>
      <c r="O568" s="42"/>
      <c r="P568" s="42"/>
      <c r="Q568" s="42"/>
      <c r="R568" s="38" t="e">
        <f>INDEX('Pwr Factor'!$A$1:$B$52,MATCH((D569),'Pwr Factor'!$A$1:$A$52,0),2)</f>
        <v>#N/A</v>
      </c>
      <c r="S568" s="50">
        <v>0</v>
      </c>
      <c r="T568" s="42"/>
      <c r="U568" s="42"/>
      <c r="V568" s="41"/>
      <c r="W568" s="42"/>
      <c r="X568" s="42"/>
      <c r="Y568" s="42"/>
      <c r="Z568" s="42"/>
      <c r="AA568" s="42"/>
      <c r="AB568" s="19"/>
      <c r="AC568" s="94"/>
    </row>
    <row r="569" spans="1:29" x14ac:dyDescent="0.2">
      <c r="A569" s="1" t="s">
        <v>147</v>
      </c>
      <c r="B569" s="103">
        <f>IF(AND('AES Indiana Bill Calc.'!$D$17="SL",'AES Indiana Bill Calc.'!$D$18="No",'AES Indiana Bill Calc.'!$D$20="Yes 2022"),'AES Indiana Bill Calc.'!$D$19,-1)</f>
        <v>-1</v>
      </c>
      <c r="C569" s="103">
        <f>MAX(E569,$C$497)</f>
        <v>50</v>
      </c>
      <c r="D569" s="103" t="b">
        <f>IF(AND('AES Indiana Bill Calc.'!$D$17="SL",'AES Indiana Bill Calc.'!$D$18="No",'AES Indiana Bill Calc.'!$D$20="Yes 2022"),'AES Indiana Bill Calc.'!$D$22)</f>
        <v>0</v>
      </c>
      <c r="E569" s="103" t="b">
        <f>IF(AND('AES Indiana Bill Calc.'!$D$17="SL",'AES Indiana Bill Calc.'!$D$18="No",'AES Indiana Bill Calc.'!$D$20="Yes 2022"),'AES Indiana Bill Calc.'!$D$21)</f>
        <v>0</v>
      </c>
      <c r="F569" s="36" t="s">
        <v>207</v>
      </c>
      <c r="G569" s="17" t="e">
        <f>SUM(J569:M569,O569:P569,R569:AA569)</f>
        <v>#N/A</v>
      </c>
      <c r="H569" s="19" t="e">
        <f>IF(ISBLANK(B569),0,+#REF!/B569)</f>
        <v>#REF!</v>
      </c>
      <c r="J569" s="82">
        <f>IF(ISBLANK(B569),0,+J$496)</f>
        <v>120</v>
      </c>
      <c r="K569" s="42">
        <f>ROUND($B569*K$496,2)</f>
        <v>-0.04</v>
      </c>
      <c r="N569" s="18">
        <f>K569</f>
        <v>-0.04</v>
      </c>
      <c r="O569" s="17">
        <f>IF($C569&gt;M$497,ROUND(M$497*M$496,2),ROUND($C569*M$496,2))</f>
        <v>1237</v>
      </c>
      <c r="P569" s="17">
        <f>IF($C569&gt;M$497,ROUND(($C569-M$497)*O$496,2),0)</f>
        <v>0</v>
      </c>
      <c r="Q569" s="42">
        <f>SUM(O569:P569)</f>
        <v>1237</v>
      </c>
      <c r="R569" s="16" t="e">
        <f>ROUND(SUM(N569:P569)*(R568-1),2)</f>
        <v>#N/A</v>
      </c>
      <c r="S569" s="42">
        <f>ROUND($B569*S$496*S568,2)</f>
        <v>0</v>
      </c>
      <c r="T569" s="42">
        <f>ROUND($B569*T$496,2)</f>
        <v>0</v>
      </c>
      <c r="U569" s="42">
        <f>ROUND($B569*U$496,2)</f>
        <v>0</v>
      </c>
      <c r="V569" s="41">
        <f>ROUND($B569*$V$492,2)</f>
        <v>0</v>
      </c>
      <c r="W569" s="42">
        <f>ROUND($B569*W$496,2)</f>
        <v>0</v>
      </c>
      <c r="X569" s="42">
        <f>ROUND($B569*X$496,2)</f>
        <v>-0.01</v>
      </c>
      <c r="Y569" s="42">
        <f>ROUND($B569*Y$496,2)</f>
        <v>0</v>
      </c>
      <c r="Z569" s="42">
        <f>ROUND($B569*Z$496,2)</f>
        <v>0</v>
      </c>
      <c r="AA569" s="42">
        <f>ROUND($B569*AA$496,2)</f>
        <v>0</v>
      </c>
      <c r="AB569" s="19" t="e">
        <f>SUM(U$496:AA$496)+(-V$496+#REF!)</f>
        <v>#REF!</v>
      </c>
      <c r="AC569" s="94" t="str">
        <f>+F569</f>
        <v>SL2</v>
      </c>
    </row>
    <row r="570" spans="1:29" x14ac:dyDescent="0.2">
      <c r="A570" s="1"/>
      <c r="B570" s="103">
        <v>-1</v>
      </c>
      <c r="C570" s="103"/>
      <c r="D570" s="103"/>
      <c r="E570" s="103"/>
      <c r="F570" s="36"/>
      <c r="G570" s="17"/>
      <c r="H570" s="19"/>
      <c r="J570" s="82"/>
      <c r="K570" s="42"/>
      <c r="N570" s="18"/>
      <c r="O570" s="17"/>
      <c r="P570" s="17"/>
      <c r="Q570" s="42"/>
      <c r="R570" s="38" t="e">
        <f>INDEX('Pwr Factor'!$A$1:$B$52,MATCH((D571),'Pwr Factor'!$A$1:$A$52,0),2)</f>
        <v>#N/A</v>
      </c>
      <c r="S570" s="50">
        <v>1</v>
      </c>
      <c r="T570" s="42"/>
      <c r="U570" s="42"/>
      <c r="V570" s="41"/>
      <c r="W570" s="42"/>
      <c r="X570" s="42"/>
      <c r="Y570" s="42"/>
      <c r="Z570" s="42"/>
      <c r="AA570" s="42"/>
      <c r="AB570" s="19"/>
      <c r="AC570" s="94"/>
    </row>
    <row r="571" spans="1:29" x14ac:dyDescent="0.2">
      <c r="A571" s="1" t="s">
        <v>148</v>
      </c>
      <c r="B571" s="103">
        <f>IF(AND('AES Indiana Bill Calc.'!$D$17="SL",'AES Indiana Bill Calc.'!$D$18="Yes 100%",'AES Indiana Bill Calc.'!$D$20="Yes 2023"),'AES Indiana Bill Calc.'!$D$19,-1)</f>
        <v>-1</v>
      </c>
      <c r="C571" s="103">
        <f>MAX(E571,$C$497)</f>
        <v>50</v>
      </c>
      <c r="D571" s="103" t="b">
        <f>IF(AND('AES Indiana Bill Calc.'!$D$17="SL",'AES Indiana Bill Calc.'!$D$18="Yes 100%",'AES Indiana Bill Calc.'!$D$20="Yes 2023"),'AES Indiana Bill Calc.'!$D$22)</f>
        <v>0</v>
      </c>
      <c r="E571" s="103" t="b">
        <f>IF(AND('AES Indiana Bill Calc.'!$D$17="SL",'AES Indiana Bill Calc.'!$D$18="Yes 100%",'AES Indiana Bill Calc.'!$D$20="Yes 2023"),'AES Indiana Bill Calc.'!$D$21)</f>
        <v>0</v>
      </c>
      <c r="F571" s="36" t="s">
        <v>208</v>
      </c>
      <c r="G571" s="17" t="e">
        <f>SUM(J571:M571,O571:P571,R571:AA571)</f>
        <v>#N/A</v>
      </c>
      <c r="H571" s="19" t="e">
        <f>IF(ISBLANK(B571),0,+#REF!/B571)</f>
        <v>#REF!</v>
      </c>
      <c r="J571" s="82">
        <f>IF(ISBLANK(B571),0,+J$496)</f>
        <v>120</v>
      </c>
      <c r="K571" s="42">
        <f>ROUND($B571*K$496,2)</f>
        <v>-0.04</v>
      </c>
      <c r="N571" s="18">
        <f>K571</f>
        <v>-0.04</v>
      </c>
      <c r="O571" s="17">
        <f>IF($C571&gt;M$497,ROUND(M$497*M$496,2),ROUND($C571*M$496,2))</f>
        <v>1237</v>
      </c>
      <c r="P571" s="17">
        <f>IF($C571&gt;M$497,ROUND(($C571-M$497)*O$496,2),0)</f>
        <v>0</v>
      </c>
      <c r="Q571" s="42">
        <f>SUM(O571:P571)</f>
        <v>1237</v>
      </c>
      <c r="R571" s="16" t="e">
        <f>ROUND(SUM(N571:P571)*(R570-1),2)</f>
        <v>#N/A</v>
      </c>
      <c r="S571" s="42">
        <f>ROUND($B571*S$496*S570,2)</f>
        <v>0</v>
      </c>
      <c r="T571" s="42">
        <f>ROUND($B571*T$496,2)</f>
        <v>0</v>
      </c>
      <c r="U571" s="42">
        <f>ROUND($B571*U$496,2)</f>
        <v>0</v>
      </c>
      <c r="V571" s="41">
        <f>ROUND($B571*$V$493,2)</f>
        <v>0</v>
      </c>
      <c r="W571" s="42">
        <f>ROUND($B571*W$496,2)</f>
        <v>0</v>
      </c>
      <c r="X571" s="42">
        <f>ROUND($B571*X$496,2)</f>
        <v>-0.01</v>
      </c>
      <c r="Y571" s="42">
        <f>ROUND($B571*Y$496,2)</f>
        <v>0</v>
      </c>
      <c r="Z571" s="42">
        <f>ROUND($B571*Z$496,2)</f>
        <v>0</v>
      </c>
      <c r="AA571" s="42">
        <f>ROUND($B571*AA$496,2)</f>
        <v>0</v>
      </c>
      <c r="AB571" s="19" t="e">
        <f>SUM(U$496:AA$496)+(-V$496+#REF!)</f>
        <v>#REF!</v>
      </c>
      <c r="AC571" s="94" t="str">
        <f>+F571</f>
        <v>SL3</v>
      </c>
    </row>
    <row r="572" spans="1:29" x14ac:dyDescent="0.2">
      <c r="A572" s="9"/>
      <c r="B572" s="97">
        <v>-1</v>
      </c>
      <c r="D572" s="41"/>
      <c r="E572" s="80"/>
      <c r="F572" s="36"/>
      <c r="G572" s="98"/>
      <c r="H572" s="19"/>
      <c r="J572" s="82"/>
      <c r="K572" s="42"/>
      <c r="O572" s="42"/>
      <c r="P572" s="42"/>
      <c r="Q572" s="42"/>
      <c r="R572" s="38" t="e">
        <f>INDEX('Pwr Factor'!$A$1:$B$52,MATCH((D573),'Pwr Factor'!$A$1:$A$52,0),2)</f>
        <v>#N/A</v>
      </c>
      <c r="S572" s="50">
        <v>0.5</v>
      </c>
      <c r="T572" s="42"/>
      <c r="U572" s="42"/>
      <c r="V572" s="41"/>
      <c r="W572" s="42"/>
      <c r="X572" s="42"/>
      <c r="Y572" s="42"/>
      <c r="Z572" s="42"/>
      <c r="AA572" s="42"/>
      <c r="AB572" s="19"/>
      <c r="AC572" s="94"/>
    </row>
    <row r="573" spans="1:29" x14ac:dyDescent="0.2">
      <c r="A573" s="1" t="s">
        <v>149</v>
      </c>
      <c r="B573" s="103">
        <f>IF(AND('AES Indiana Bill Calc.'!$D$17="SL",'AES Indiana Bill Calc.'!$D$18="Yes 50%",'AES Indiana Bill Calc.'!$D$20="Yes 2023"),'AES Indiana Bill Calc.'!$D$19,-1)</f>
        <v>-1</v>
      </c>
      <c r="C573" s="103">
        <f>MAX(E573,$C$497)</f>
        <v>50</v>
      </c>
      <c r="D573" s="103" t="b">
        <f>IF(AND('AES Indiana Bill Calc.'!$D$17="SL",'AES Indiana Bill Calc.'!$D$18="Yes 50%",'AES Indiana Bill Calc.'!$D$20="Yes 2023"),'AES Indiana Bill Calc.'!$D$22)</f>
        <v>0</v>
      </c>
      <c r="E573" s="103" t="b">
        <f>IF(AND('AES Indiana Bill Calc.'!$D$17="SL",'AES Indiana Bill Calc.'!$D$18="Yes 50%",'AES Indiana Bill Calc.'!$D$20="Yes 2023"),'AES Indiana Bill Calc.'!$D$21)</f>
        <v>0</v>
      </c>
      <c r="F573" s="36" t="s">
        <v>208</v>
      </c>
      <c r="G573" s="17" t="e">
        <f>SUM(J573:M573,O573:P573,R573:AA573)</f>
        <v>#N/A</v>
      </c>
      <c r="H573" s="19" t="e">
        <f>IF(ISBLANK(B573),0,+#REF!/B573)</f>
        <v>#REF!</v>
      </c>
      <c r="J573" s="82">
        <f>IF(ISBLANK(B573),0,+J$496)</f>
        <v>120</v>
      </c>
      <c r="K573" s="42">
        <f>ROUND($B573*K$496,2)</f>
        <v>-0.04</v>
      </c>
      <c r="N573" s="18">
        <f>K573</f>
        <v>-0.04</v>
      </c>
      <c r="O573" s="17">
        <f>IF($C573&gt;M$497,ROUND(M$497*M$496,2),ROUND($C573*M$496,2))</f>
        <v>1237</v>
      </c>
      <c r="P573" s="17">
        <f>IF($C573&gt;M$497,ROUND(($C573-M$497)*O$496,2),0)</f>
        <v>0</v>
      </c>
      <c r="Q573" s="42">
        <f>SUM(O573:P573)</f>
        <v>1237</v>
      </c>
      <c r="R573" s="16" t="e">
        <f>ROUND(SUM(N573:P573)*(R572-1),2)</f>
        <v>#N/A</v>
      </c>
      <c r="S573" s="42">
        <f>ROUND($B573*S$496*S572,2)</f>
        <v>0</v>
      </c>
      <c r="T573" s="42">
        <f>ROUND($B573*T$496,2)</f>
        <v>0</v>
      </c>
      <c r="U573" s="42">
        <f>ROUND($B573*U$496,2)</f>
        <v>0</v>
      </c>
      <c r="V573" s="41">
        <f>ROUND($B573*$V$493,2)</f>
        <v>0</v>
      </c>
      <c r="W573" s="42">
        <f>ROUND($B573*W$496,2)</f>
        <v>0</v>
      </c>
      <c r="X573" s="42">
        <f>ROUND($B573*X$496,2)</f>
        <v>-0.01</v>
      </c>
      <c r="Y573" s="42">
        <f>ROUND($B573*Y$496,2)</f>
        <v>0</v>
      </c>
      <c r="Z573" s="42">
        <f>ROUND($B573*Z$496,2)</f>
        <v>0</v>
      </c>
      <c r="AA573" s="42">
        <f>ROUND($B573*AA$496,2)</f>
        <v>0</v>
      </c>
      <c r="AB573" s="19" t="e">
        <f>SUM(U$496:AA$496)+(-V$496+#REF!)</f>
        <v>#REF!</v>
      </c>
      <c r="AC573" s="94" t="str">
        <f>+F573</f>
        <v>SL3</v>
      </c>
    </row>
    <row r="574" spans="1:29" x14ac:dyDescent="0.2">
      <c r="A574" s="9"/>
      <c r="B574" s="97">
        <v>-1</v>
      </c>
      <c r="D574" s="41"/>
      <c r="E574" s="80"/>
      <c r="F574" s="36"/>
      <c r="G574" s="98"/>
      <c r="H574" s="19"/>
      <c r="J574" s="82"/>
      <c r="K574" s="42"/>
      <c r="O574" s="42"/>
      <c r="P574" s="42"/>
      <c r="Q574" s="42"/>
      <c r="R574" s="38" t="e">
        <f>INDEX('Pwr Factor'!$A$1:$B$52,MATCH((D575),'Pwr Factor'!$A$1:$A$52,0),2)</f>
        <v>#N/A</v>
      </c>
      <c r="S574" s="50">
        <v>0.25</v>
      </c>
      <c r="T574" s="42"/>
      <c r="U574" s="42"/>
      <c r="V574" s="41"/>
      <c r="W574" s="42"/>
      <c r="X574" s="42"/>
      <c r="Y574" s="42"/>
      <c r="Z574" s="42"/>
      <c r="AA574" s="42"/>
      <c r="AB574" s="19"/>
      <c r="AC574" s="94"/>
    </row>
    <row r="575" spans="1:29" x14ac:dyDescent="0.2">
      <c r="A575" s="1" t="s">
        <v>150</v>
      </c>
      <c r="B575" s="103">
        <f>IF(AND('AES Indiana Bill Calc.'!$D$17="SL",'AES Indiana Bill Calc.'!$D$18="Yes 25%",'AES Indiana Bill Calc.'!$D$20="Yes 2023"),'AES Indiana Bill Calc.'!$D$19,-1)</f>
        <v>-1</v>
      </c>
      <c r="C575" s="103">
        <f>MAX(E575,$C$497)</f>
        <v>50</v>
      </c>
      <c r="D575" s="103" t="b">
        <f>IF(AND('AES Indiana Bill Calc.'!$D$17="SL",'AES Indiana Bill Calc.'!$D$18="Yes 25%",'AES Indiana Bill Calc.'!$D$20="Yes 2023"),'AES Indiana Bill Calc.'!$D$22)</f>
        <v>0</v>
      </c>
      <c r="E575" s="103" t="b">
        <f>IF(AND('AES Indiana Bill Calc.'!$D$17="SL",'AES Indiana Bill Calc.'!$D$18="Yes 25%",'AES Indiana Bill Calc.'!$D$20="Yes 2023"),'AES Indiana Bill Calc.'!$D$21)</f>
        <v>0</v>
      </c>
      <c r="F575" s="36" t="s">
        <v>208</v>
      </c>
      <c r="G575" s="17" t="e">
        <f>SUM(J575:M575,O575:P575,R575:AA575)</f>
        <v>#N/A</v>
      </c>
      <c r="H575" s="19" t="e">
        <f>IF(ISBLANK(B575),0,+#REF!/B575)</f>
        <v>#REF!</v>
      </c>
      <c r="J575" s="82">
        <f>IF(ISBLANK(B575),0,+J$496)</f>
        <v>120</v>
      </c>
      <c r="K575" s="42">
        <f>ROUND($B575*K$496,2)</f>
        <v>-0.04</v>
      </c>
      <c r="N575" s="18">
        <f>K575</f>
        <v>-0.04</v>
      </c>
      <c r="O575" s="17">
        <f>IF($C575&gt;M$497,ROUND(M$497*M$496,2),ROUND($C575*M$496,2))</f>
        <v>1237</v>
      </c>
      <c r="P575" s="17">
        <f>IF($C575&gt;M$497,ROUND(($C575-M$497)*O$496,2),0)</f>
        <v>0</v>
      </c>
      <c r="Q575" s="42">
        <f>SUM(O575:P575)</f>
        <v>1237</v>
      </c>
      <c r="R575" s="16" t="e">
        <f>ROUND(SUM(N575:P575)*(R574-1),2)</f>
        <v>#N/A</v>
      </c>
      <c r="S575" s="42">
        <f>ROUND($B575*S$496*S574,2)</f>
        <v>0</v>
      </c>
      <c r="T575" s="42">
        <f>ROUND($B575*T$496,2)</f>
        <v>0</v>
      </c>
      <c r="U575" s="42">
        <f>ROUND($B575*U$496,2)</f>
        <v>0</v>
      </c>
      <c r="V575" s="41">
        <f>ROUND($B575*$V$493,2)</f>
        <v>0</v>
      </c>
      <c r="W575" s="42">
        <f>ROUND($B575*W$496,2)</f>
        <v>0</v>
      </c>
      <c r="X575" s="42">
        <f>ROUND($B575*X$496,2)</f>
        <v>-0.01</v>
      </c>
      <c r="Y575" s="42">
        <f>ROUND($B575*Y$496,2)</f>
        <v>0</v>
      </c>
      <c r="Z575" s="42">
        <f>ROUND($B575*Z$496,2)</f>
        <v>0</v>
      </c>
      <c r="AA575" s="42">
        <f>ROUND($B575*AA$496,2)</f>
        <v>0</v>
      </c>
      <c r="AB575" s="19" t="e">
        <f>SUM(U$496:AA$496)+(-V$496+#REF!)</f>
        <v>#REF!</v>
      </c>
      <c r="AC575" s="94" t="str">
        <f>+F575</f>
        <v>SL3</v>
      </c>
    </row>
    <row r="576" spans="1:29" x14ac:dyDescent="0.2">
      <c r="A576" s="9"/>
      <c r="B576" s="97">
        <v>-1</v>
      </c>
      <c r="D576" s="41"/>
      <c r="E576" s="80"/>
      <c r="F576" s="36"/>
      <c r="G576" s="98"/>
      <c r="H576" s="19"/>
      <c r="J576" s="82"/>
      <c r="K576" s="42"/>
      <c r="O576" s="42"/>
      <c r="P576" s="42"/>
      <c r="Q576" s="42"/>
      <c r="R576" s="38" t="e">
        <f>INDEX('Pwr Factor'!$A$1:$B$52,MATCH((D577),'Pwr Factor'!$A$1:$A$52,0),2)</f>
        <v>#N/A</v>
      </c>
      <c r="S576" s="50">
        <v>0.1</v>
      </c>
      <c r="T576" s="42"/>
      <c r="U576" s="42"/>
      <c r="V576" s="41"/>
      <c r="W576" s="42"/>
      <c r="X576" s="42"/>
      <c r="Y576" s="42"/>
      <c r="Z576" s="42"/>
      <c r="AA576" s="42"/>
      <c r="AB576" s="19"/>
      <c r="AC576" s="94"/>
    </row>
    <row r="577" spans="1:29" x14ac:dyDescent="0.2">
      <c r="A577" s="1" t="s">
        <v>164</v>
      </c>
      <c r="B577" s="103">
        <f>IF(AND('AES Indiana Bill Calc.'!$D$17="SL",'AES Indiana Bill Calc.'!$D$18="Yes 10%",'AES Indiana Bill Calc.'!$D$20="Yes 2023"),'AES Indiana Bill Calc.'!$D$19,-1)</f>
        <v>-1</v>
      </c>
      <c r="C577" s="103">
        <f>MAX(E577,$C$497)</f>
        <v>50</v>
      </c>
      <c r="D577" s="103" t="b">
        <f>IF(AND('AES Indiana Bill Calc.'!$D$17="SL",'AES Indiana Bill Calc.'!$D$18="Yes 10%",'AES Indiana Bill Calc.'!$D$20="Yes 2023"),'AES Indiana Bill Calc.'!$D$22)</f>
        <v>0</v>
      </c>
      <c r="E577" s="103" t="b">
        <f>IF(AND('AES Indiana Bill Calc.'!$D$17="SL",'AES Indiana Bill Calc.'!$D$18="Yes 10%",'AES Indiana Bill Calc.'!$D$20="Yes 2023"),'AES Indiana Bill Calc.'!$D$21)</f>
        <v>0</v>
      </c>
      <c r="F577" s="36" t="s">
        <v>208</v>
      </c>
      <c r="G577" s="17" t="e">
        <f>SUM(J577:M577,O577:P577,R577:AA577)</f>
        <v>#N/A</v>
      </c>
      <c r="H577" s="19" t="e">
        <f>IF(ISBLANK(B577),0,+#REF!/B577)</f>
        <v>#REF!</v>
      </c>
      <c r="J577" s="82">
        <f>IF(ISBLANK(B577),0,+J$496)</f>
        <v>120</v>
      </c>
      <c r="K577" s="42">
        <f>ROUND($B577*K$496,2)</f>
        <v>-0.04</v>
      </c>
      <c r="N577" s="18">
        <f>K577</f>
        <v>-0.04</v>
      </c>
      <c r="O577" s="17">
        <f>IF($C577&gt;M$497,ROUND(M$497*M$496,2),ROUND($C577*M$496,2))</f>
        <v>1237</v>
      </c>
      <c r="P577" s="17">
        <f>IF($C577&gt;M$497,ROUND(($C577-M$497)*O$496,2),0)</f>
        <v>0</v>
      </c>
      <c r="Q577" s="42">
        <f>SUM(O577:P577)</f>
        <v>1237</v>
      </c>
      <c r="R577" s="16" t="e">
        <f>ROUND(SUM(N577:P577)*(R576-1),2)</f>
        <v>#N/A</v>
      </c>
      <c r="S577" s="42">
        <f>ROUND($B577*S$496*S576,2)</f>
        <v>0</v>
      </c>
      <c r="T577" s="42">
        <f>ROUND($B577*T$496,2)</f>
        <v>0</v>
      </c>
      <c r="U577" s="42">
        <f>ROUND($B577*U$496,2)</f>
        <v>0</v>
      </c>
      <c r="V577" s="41">
        <f>ROUND($B577*$V$493,2)</f>
        <v>0</v>
      </c>
      <c r="W577" s="42">
        <f>ROUND($B577*W$496,2)</f>
        <v>0</v>
      </c>
      <c r="X577" s="42">
        <f>ROUND($B577*X$496,2)</f>
        <v>-0.01</v>
      </c>
      <c r="Y577" s="42">
        <f>ROUND($B577*Y$496,2)</f>
        <v>0</v>
      </c>
      <c r="Z577" s="42">
        <f>ROUND($B577*Z$496,2)</f>
        <v>0</v>
      </c>
      <c r="AA577" s="42">
        <f>ROUND($B577*AA$496,2)</f>
        <v>0</v>
      </c>
      <c r="AB577" s="19" t="e">
        <f>SUM(U$496:AA$496)+(-V$496+#REF!)</f>
        <v>#REF!</v>
      </c>
      <c r="AC577" s="94" t="str">
        <f>+F577</f>
        <v>SL3</v>
      </c>
    </row>
    <row r="578" spans="1:29" x14ac:dyDescent="0.2">
      <c r="A578" s="9"/>
      <c r="B578" s="97">
        <v>-1</v>
      </c>
      <c r="D578" s="41"/>
      <c r="E578" s="80"/>
      <c r="F578" s="36"/>
      <c r="G578" s="98"/>
      <c r="H578" s="19"/>
      <c r="J578" s="82"/>
      <c r="K578" s="42"/>
      <c r="O578" s="42"/>
      <c r="P578" s="42"/>
      <c r="Q578" s="42"/>
      <c r="R578" s="38" t="e">
        <f>INDEX('Pwr Factor'!$A$1:$B$52,MATCH((D579),'Pwr Factor'!$A$1:$A$52,0),2)</f>
        <v>#N/A</v>
      </c>
      <c r="S578" s="50">
        <v>0</v>
      </c>
      <c r="T578" s="42"/>
      <c r="U578" s="42"/>
      <c r="V578" s="41"/>
      <c r="W578" s="42"/>
      <c r="X578" s="42"/>
      <c r="Y578" s="42"/>
      <c r="Z578" s="42"/>
      <c r="AA578" s="42"/>
      <c r="AB578" s="19"/>
      <c r="AC578" s="94"/>
    </row>
    <row r="579" spans="1:29" x14ac:dyDescent="0.2">
      <c r="A579" s="1" t="s">
        <v>147</v>
      </c>
      <c r="B579" s="103">
        <f>IF(AND('AES Indiana Bill Calc.'!$D$17="SL",'AES Indiana Bill Calc.'!$D$18="No",'AES Indiana Bill Calc.'!$D$20="Yes 2023"),'AES Indiana Bill Calc.'!$D$19,-1)</f>
        <v>-1</v>
      </c>
      <c r="C579" s="103">
        <f>MAX(E579,$C$497)</f>
        <v>50</v>
      </c>
      <c r="D579" s="103" t="b">
        <f>IF(AND('AES Indiana Bill Calc.'!$D$17="SL",'AES Indiana Bill Calc.'!$D$18="No",'AES Indiana Bill Calc.'!$D$20="Yes 2023"),'AES Indiana Bill Calc.'!$D$22)</f>
        <v>0</v>
      </c>
      <c r="E579" s="103" t="b">
        <f>IF(AND('AES Indiana Bill Calc.'!$D$17="SL",'AES Indiana Bill Calc.'!$D$18="No",'AES Indiana Bill Calc.'!$D$20="Yes 2023"),'AES Indiana Bill Calc.'!$D$21)</f>
        <v>0</v>
      </c>
      <c r="F579" s="36" t="s">
        <v>208</v>
      </c>
      <c r="G579" s="17" t="e">
        <f>SUM(J579:M579,O579:P579,R579:AA579)</f>
        <v>#N/A</v>
      </c>
      <c r="H579" s="19" t="e">
        <f>IF(ISBLANK(B579),0,+#REF!/B579)</f>
        <v>#REF!</v>
      </c>
      <c r="J579" s="82">
        <f>IF(ISBLANK(B579),0,+J$496)</f>
        <v>120</v>
      </c>
      <c r="K579" s="42">
        <f>ROUND($B579*K$496,2)</f>
        <v>-0.04</v>
      </c>
      <c r="N579" s="18">
        <f>K579</f>
        <v>-0.04</v>
      </c>
      <c r="O579" s="17">
        <f>IF($C579&gt;M$497,ROUND(M$497*M$496,2),ROUND($C579*M$496,2))</f>
        <v>1237</v>
      </c>
      <c r="P579" s="17">
        <f>IF($C579&gt;M$497,ROUND(($C579-M$497)*O$496,2),0)</f>
        <v>0</v>
      </c>
      <c r="Q579" s="42">
        <f>SUM(O579:P579)</f>
        <v>1237</v>
      </c>
      <c r="R579" s="16" t="e">
        <f>ROUND(SUM(N579:P579)*(R578-1),2)</f>
        <v>#N/A</v>
      </c>
      <c r="S579" s="42">
        <f>ROUND($B579*S$496*S578,2)</f>
        <v>0</v>
      </c>
      <c r="T579" s="42">
        <f>ROUND($B579*T$496,2)</f>
        <v>0</v>
      </c>
      <c r="U579" s="42">
        <f>ROUND($B579*U$496,2)</f>
        <v>0</v>
      </c>
      <c r="V579" s="41">
        <f>ROUND($B579*$V$493,2)</f>
        <v>0</v>
      </c>
      <c r="W579" s="42">
        <f>ROUND($B579*W$496,2)</f>
        <v>0</v>
      </c>
      <c r="X579" s="42">
        <f>ROUND($B579*X$496,2)</f>
        <v>-0.01</v>
      </c>
      <c r="Y579" s="42">
        <f>ROUND($B579*Y$496,2)</f>
        <v>0</v>
      </c>
      <c r="Z579" s="42">
        <f>ROUND($B579*Z$496,2)</f>
        <v>0</v>
      </c>
      <c r="AA579" s="42">
        <f>ROUND($B579*AA$496,2)</f>
        <v>0</v>
      </c>
      <c r="AB579" s="19" t="e">
        <f>SUM(U$496:AA$496)+(-V$496+#REF!)</f>
        <v>#REF!</v>
      </c>
      <c r="AC579" s="94" t="str">
        <f>+F579</f>
        <v>SL3</v>
      </c>
    </row>
    <row r="580" spans="1:29" x14ac:dyDescent="0.2">
      <c r="A580" s="1"/>
      <c r="B580" s="103">
        <v>-1</v>
      </c>
      <c r="C580" s="103"/>
      <c r="D580" s="103"/>
      <c r="E580" s="103"/>
      <c r="F580" s="36"/>
      <c r="G580" s="17"/>
      <c r="H580" s="19"/>
      <c r="J580" s="82"/>
      <c r="K580" s="42"/>
      <c r="N580" s="18"/>
      <c r="O580" s="17"/>
      <c r="P580" s="17"/>
      <c r="Q580" s="42"/>
      <c r="R580" s="38" t="e">
        <f>INDEX('Pwr Factor'!$A$1:$B$52,MATCH((D581),'Pwr Factor'!$A$1:$A$52,0),2)</f>
        <v>#N/A</v>
      </c>
      <c r="S580" s="50">
        <v>1</v>
      </c>
      <c r="T580" s="42"/>
      <c r="U580" s="42"/>
      <c r="V580" s="41"/>
      <c r="W580" s="42"/>
      <c r="X580" s="42"/>
      <c r="Y580" s="42"/>
      <c r="Z580" s="42"/>
      <c r="AA580" s="42"/>
      <c r="AB580" s="19"/>
      <c r="AC580" s="94"/>
    </row>
    <row r="581" spans="1:29" x14ac:dyDescent="0.2">
      <c r="A581" s="1" t="s">
        <v>148</v>
      </c>
      <c r="B581" s="103">
        <f>IF(AND('AES Indiana Bill Calc.'!$D$17="SL",'AES Indiana Bill Calc.'!$D$18="Yes 100%",'AES Indiana Bill Calc.'!$D$20="Yes 2024"),'AES Indiana Bill Calc.'!$D$19,-1)</f>
        <v>-1</v>
      </c>
      <c r="C581" s="103">
        <f>MAX(E581,$C$497)</f>
        <v>50</v>
      </c>
      <c r="D581" s="103" t="b">
        <f>IF(AND('AES Indiana Bill Calc.'!$D$17="SL",'AES Indiana Bill Calc.'!$D$18="Yes 100%",'AES Indiana Bill Calc.'!$D$20="Yes 2024"),'AES Indiana Bill Calc.'!$D$22)</f>
        <v>0</v>
      </c>
      <c r="E581" s="103" t="b">
        <f>IF(AND('AES Indiana Bill Calc.'!$D$17="SL",'AES Indiana Bill Calc.'!$D$18="Yes 100%",'AES Indiana Bill Calc.'!$D$20="Yes 2024"),'AES Indiana Bill Calc.'!$D$21)</f>
        <v>0</v>
      </c>
      <c r="F581" s="36" t="s">
        <v>301</v>
      </c>
      <c r="G581" s="17" t="e">
        <f>SUM(J581:M581,O581:P581,R581:AA581)</f>
        <v>#N/A</v>
      </c>
      <c r="H581" s="19" t="e">
        <f>IF(ISBLANK(B581),0,+#REF!/B581)</f>
        <v>#REF!</v>
      </c>
      <c r="J581" s="82">
        <f>IF(ISBLANK(B581),0,+J$496)</f>
        <v>120</v>
      </c>
      <c r="K581" s="42">
        <f>ROUND($B581*K$496,2)</f>
        <v>-0.04</v>
      </c>
      <c r="N581" s="18">
        <f>K581</f>
        <v>-0.04</v>
      </c>
      <c r="O581" s="17">
        <f>IF($C581&gt;M$497,ROUND(M$497*M$496,2),ROUND($C581*M$496,2))</f>
        <v>1237</v>
      </c>
      <c r="P581" s="17">
        <f>IF($C581&gt;M$497,ROUND(($C581-M$497)*O$496,2),0)</f>
        <v>0</v>
      </c>
      <c r="Q581" s="42">
        <f>SUM(O581:P581)</f>
        <v>1237</v>
      </c>
      <c r="R581" s="16" t="e">
        <f>ROUND(SUM(N581:P581)*(R580-1),2)</f>
        <v>#N/A</v>
      </c>
      <c r="S581" s="42">
        <f>ROUND($B581*S$496*S580,2)</f>
        <v>0</v>
      </c>
      <c r="T581" s="42">
        <f>ROUND($B581*T$496,2)</f>
        <v>0</v>
      </c>
      <c r="U581" s="42">
        <f>ROUND($B581*U$496,2)</f>
        <v>0</v>
      </c>
      <c r="V581" s="41">
        <f>ROUND($B581*$V$494,2)</f>
        <v>-0.01</v>
      </c>
      <c r="W581" s="42">
        <f>ROUND($B581*W$496,2)</f>
        <v>0</v>
      </c>
      <c r="X581" s="42">
        <f>ROUND($B581*X$496,2)</f>
        <v>-0.01</v>
      </c>
      <c r="Y581" s="42">
        <f>ROUND($B581*Y$496,2)</f>
        <v>0</v>
      </c>
      <c r="Z581" s="42">
        <f>ROUND($B581*Z$496,2)</f>
        <v>0</v>
      </c>
      <c r="AA581" s="42">
        <f>ROUND($B581*AA$496,2)</f>
        <v>0</v>
      </c>
      <c r="AB581" s="19" t="e">
        <f>SUM(U$496:AA$496)+(-V$496+#REF!)</f>
        <v>#REF!</v>
      </c>
      <c r="AC581" s="94" t="str">
        <f>+F581</f>
        <v>SL4</v>
      </c>
    </row>
    <row r="582" spans="1:29" x14ac:dyDescent="0.2">
      <c r="A582" s="9"/>
      <c r="B582" s="97">
        <v>-1</v>
      </c>
      <c r="D582" s="41"/>
      <c r="E582" s="80"/>
      <c r="F582" s="36"/>
      <c r="G582" s="98"/>
      <c r="H582" s="19"/>
      <c r="J582" s="82"/>
      <c r="K582" s="42"/>
      <c r="O582" s="42"/>
      <c r="P582" s="42"/>
      <c r="Q582" s="42"/>
      <c r="R582" s="38" t="e">
        <f>INDEX('Pwr Factor'!$A$1:$B$52,MATCH((D583),'Pwr Factor'!$A$1:$A$52,0),2)</f>
        <v>#N/A</v>
      </c>
      <c r="S582" s="50">
        <v>0.5</v>
      </c>
      <c r="T582" s="42"/>
      <c r="U582" s="42"/>
      <c r="V582" s="41"/>
      <c r="W582" s="42"/>
      <c r="X582" s="42"/>
      <c r="Y582" s="42"/>
      <c r="Z582" s="42"/>
      <c r="AA582" s="42"/>
      <c r="AB582" s="19"/>
      <c r="AC582" s="94"/>
    </row>
    <row r="583" spans="1:29" x14ac:dyDescent="0.2">
      <c r="A583" s="1" t="s">
        <v>149</v>
      </c>
      <c r="B583" s="103">
        <f>IF(AND('AES Indiana Bill Calc.'!$D$17="SL",'AES Indiana Bill Calc.'!$D$18="Yes 50%",'AES Indiana Bill Calc.'!$D$20="Yes 2024"),'AES Indiana Bill Calc.'!$D$19,-1)</f>
        <v>-1</v>
      </c>
      <c r="C583" s="103">
        <f>MAX(E583,$C$497)</f>
        <v>50</v>
      </c>
      <c r="D583" s="103" t="b">
        <f>IF(AND('AES Indiana Bill Calc.'!$D$17="SL",'AES Indiana Bill Calc.'!$D$18="Yes 50%",'AES Indiana Bill Calc.'!$D$20="Yes 2024"),'AES Indiana Bill Calc.'!$D$22)</f>
        <v>0</v>
      </c>
      <c r="E583" s="103" t="b">
        <f>IF(AND('AES Indiana Bill Calc.'!$D$17="SL",'AES Indiana Bill Calc.'!$D$18="Yes 50%",'AES Indiana Bill Calc.'!$D$20="Yes 2024"),'AES Indiana Bill Calc.'!$D$21)</f>
        <v>0</v>
      </c>
      <c r="F583" s="36" t="s">
        <v>301</v>
      </c>
      <c r="G583" s="17" t="e">
        <f>SUM(J583:M583,O583:P583,R583:AA583)</f>
        <v>#N/A</v>
      </c>
      <c r="H583" s="19" t="e">
        <f>IF(ISBLANK(B583),0,+#REF!/B583)</f>
        <v>#REF!</v>
      </c>
      <c r="J583" s="82">
        <f>IF(ISBLANK(B583),0,+J$496)</f>
        <v>120</v>
      </c>
      <c r="K583" s="42">
        <f>ROUND($B583*K$496,2)</f>
        <v>-0.04</v>
      </c>
      <c r="N583" s="18">
        <f>K583</f>
        <v>-0.04</v>
      </c>
      <c r="O583" s="17">
        <f>IF($C583&gt;M$497,ROUND(M$497*M$496,2),ROUND($C583*M$496,2))</f>
        <v>1237</v>
      </c>
      <c r="P583" s="17">
        <f>IF($C583&gt;M$497,ROUND(($C583-M$497)*O$496,2),0)</f>
        <v>0</v>
      </c>
      <c r="Q583" s="42">
        <f>SUM(O583:P583)</f>
        <v>1237</v>
      </c>
      <c r="R583" s="16" t="e">
        <f>ROUND(SUM(N583:P583)*(R582-1),2)</f>
        <v>#N/A</v>
      </c>
      <c r="S583" s="42">
        <f>ROUND($B583*S$496*S582,2)</f>
        <v>0</v>
      </c>
      <c r="T583" s="42">
        <f>ROUND($B583*T$496,2)</f>
        <v>0</v>
      </c>
      <c r="U583" s="42">
        <f>ROUND($B583*U$496,2)</f>
        <v>0</v>
      </c>
      <c r="V583" s="41">
        <f>ROUND($B583*$V$494,2)</f>
        <v>-0.01</v>
      </c>
      <c r="W583" s="42">
        <f>ROUND($B583*W$496,2)</f>
        <v>0</v>
      </c>
      <c r="X583" s="42">
        <f>ROUND($B583*X$496,2)</f>
        <v>-0.01</v>
      </c>
      <c r="Y583" s="42">
        <f>ROUND($B583*Y$496,2)</f>
        <v>0</v>
      </c>
      <c r="Z583" s="42">
        <f>ROUND($B583*Z$496,2)</f>
        <v>0</v>
      </c>
      <c r="AA583" s="42">
        <f>ROUND($B583*AA$496,2)</f>
        <v>0</v>
      </c>
      <c r="AB583" s="19" t="e">
        <f>SUM(U$496:AA$496)+(-V$496+#REF!)</f>
        <v>#REF!</v>
      </c>
      <c r="AC583" s="94" t="str">
        <f>+F583</f>
        <v>SL4</v>
      </c>
    </row>
    <row r="584" spans="1:29" x14ac:dyDescent="0.2">
      <c r="A584" s="9"/>
      <c r="B584" s="97">
        <v>-1</v>
      </c>
      <c r="D584" s="41"/>
      <c r="E584" s="80"/>
      <c r="F584" s="36"/>
      <c r="G584" s="98"/>
      <c r="H584" s="19"/>
      <c r="J584" s="82"/>
      <c r="K584" s="42"/>
      <c r="O584" s="42"/>
      <c r="P584" s="42"/>
      <c r="Q584" s="42"/>
      <c r="R584" s="38" t="e">
        <f>INDEX('Pwr Factor'!$A$1:$B$52,MATCH((D585),'Pwr Factor'!$A$1:$A$52,0),2)</f>
        <v>#N/A</v>
      </c>
      <c r="S584" s="50">
        <v>0.25</v>
      </c>
      <c r="T584" s="42"/>
      <c r="U584" s="42"/>
      <c r="V584" s="41"/>
      <c r="W584" s="42"/>
      <c r="X584" s="42"/>
      <c r="Y584" s="42"/>
      <c r="Z584" s="42"/>
      <c r="AA584" s="42"/>
      <c r="AB584" s="19"/>
      <c r="AC584" s="94"/>
    </row>
    <row r="585" spans="1:29" x14ac:dyDescent="0.2">
      <c r="A585" s="1" t="s">
        <v>150</v>
      </c>
      <c r="B585" s="103">
        <f>IF(AND('AES Indiana Bill Calc.'!$D$17="SL",'AES Indiana Bill Calc.'!$D$18="Yes 25%",'AES Indiana Bill Calc.'!$D$20="Yes 2024"),'AES Indiana Bill Calc.'!$D$19,-1)</f>
        <v>-1</v>
      </c>
      <c r="C585" s="103">
        <f>MAX(E585,$C$497)</f>
        <v>50</v>
      </c>
      <c r="D585" s="103" t="b">
        <f>IF(AND('AES Indiana Bill Calc.'!$D$17="SL",'AES Indiana Bill Calc.'!$D$18="Yes 25%",'AES Indiana Bill Calc.'!$D$20="Yes 2024"),'AES Indiana Bill Calc.'!$D$22)</f>
        <v>0</v>
      </c>
      <c r="E585" s="103" t="b">
        <f>IF(AND('AES Indiana Bill Calc.'!$D$17="SL",'AES Indiana Bill Calc.'!$D$18="Yes 25%",'AES Indiana Bill Calc.'!$D$20="Yes 2024"),'AES Indiana Bill Calc.'!$D$21)</f>
        <v>0</v>
      </c>
      <c r="F585" s="36" t="s">
        <v>301</v>
      </c>
      <c r="G585" s="17" t="e">
        <f>SUM(J585:M585,O585:P585,R585:AA585)</f>
        <v>#N/A</v>
      </c>
      <c r="H585" s="19" t="e">
        <f>IF(ISBLANK(B585),0,+#REF!/B585)</f>
        <v>#REF!</v>
      </c>
      <c r="J585" s="82">
        <f>IF(ISBLANK(B585),0,+J$496)</f>
        <v>120</v>
      </c>
      <c r="K585" s="42">
        <f>ROUND($B585*K$496,2)</f>
        <v>-0.04</v>
      </c>
      <c r="N585" s="18">
        <f>K585</f>
        <v>-0.04</v>
      </c>
      <c r="O585" s="17">
        <f>IF($C585&gt;M$497,ROUND(M$497*M$496,2),ROUND($C585*M$496,2))</f>
        <v>1237</v>
      </c>
      <c r="P585" s="17">
        <f>IF($C585&gt;M$497,ROUND(($C585-M$497)*O$496,2),0)</f>
        <v>0</v>
      </c>
      <c r="Q585" s="42">
        <f>SUM(O585:P585)</f>
        <v>1237</v>
      </c>
      <c r="R585" s="16" t="e">
        <f>ROUND(SUM(N585:P585)*(R584-1),2)</f>
        <v>#N/A</v>
      </c>
      <c r="S585" s="42">
        <f>ROUND($B585*S$496*S584,2)</f>
        <v>0</v>
      </c>
      <c r="T585" s="42">
        <f>ROUND($B585*T$496,2)</f>
        <v>0</v>
      </c>
      <c r="U585" s="42">
        <f>ROUND($B585*U$496,2)</f>
        <v>0</v>
      </c>
      <c r="V585" s="41">
        <f>ROUND($B585*$V$494,2)</f>
        <v>-0.01</v>
      </c>
      <c r="W585" s="42">
        <f>ROUND($B585*W$496,2)</f>
        <v>0</v>
      </c>
      <c r="X585" s="42">
        <f>ROUND($B585*X$496,2)</f>
        <v>-0.01</v>
      </c>
      <c r="Y585" s="42">
        <f>ROUND($B585*Y$496,2)</f>
        <v>0</v>
      </c>
      <c r="Z585" s="42">
        <f>ROUND($B585*Z$496,2)</f>
        <v>0</v>
      </c>
      <c r="AA585" s="42">
        <f>ROUND($B585*AA$496,2)</f>
        <v>0</v>
      </c>
      <c r="AB585" s="19" t="e">
        <f>SUM(U$496:AA$496)+(-V$496+#REF!)</f>
        <v>#REF!</v>
      </c>
      <c r="AC585" s="94" t="str">
        <f>+F585</f>
        <v>SL4</v>
      </c>
    </row>
    <row r="586" spans="1:29" x14ac:dyDescent="0.2">
      <c r="A586" s="9"/>
      <c r="B586" s="97">
        <v>-1</v>
      </c>
      <c r="D586" s="41"/>
      <c r="E586" s="80"/>
      <c r="F586" s="36"/>
      <c r="G586" s="98"/>
      <c r="H586" s="19"/>
      <c r="J586" s="82"/>
      <c r="K586" s="42"/>
      <c r="O586" s="42"/>
      <c r="P586" s="42"/>
      <c r="Q586" s="42"/>
      <c r="R586" s="38" t="e">
        <f>INDEX('Pwr Factor'!$A$1:$B$52,MATCH((D587),'Pwr Factor'!$A$1:$A$52,0),2)</f>
        <v>#N/A</v>
      </c>
      <c r="S586" s="50">
        <v>0.1</v>
      </c>
      <c r="T586" s="42"/>
      <c r="U586" s="42"/>
      <c r="V586" s="41"/>
      <c r="W586" s="42"/>
      <c r="X586" s="42"/>
      <c r="Y586" s="42"/>
      <c r="Z586" s="42"/>
      <c r="AA586" s="42"/>
      <c r="AB586" s="19"/>
      <c r="AC586" s="94"/>
    </row>
    <row r="587" spans="1:29" x14ac:dyDescent="0.2">
      <c r="A587" s="1" t="s">
        <v>164</v>
      </c>
      <c r="B587" s="103">
        <f>IF(AND('AES Indiana Bill Calc.'!$D$17="SL",'AES Indiana Bill Calc.'!$D$18="Yes 10%",'AES Indiana Bill Calc.'!$D$20="Yes 2024"),'AES Indiana Bill Calc.'!$D$19,-1)</f>
        <v>-1</v>
      </c>
      <c r="C587" s="103">
        <f>MAX(E587,$C$497)</f>
        <v>50</v>
      </c>
      <c r="D587" s="103" t="b">
        <f>IF(AND('AES Indiana Bill Calc.'!$D$17="SL",'AES Indiana Bill Calc.'!$D$18="Yes 10%",'AES Indiana Bill Calc.'!$D$20="Yes 2024"),'AES Indiana Bill Calc.'!$D$22)</f>
        <v>0</v>
      </c>
      <c r="E587" s="103" t="b">
        <f>IF(AND('AES Indiana Bill Calc.'!$D$17="SL",'AES Indiana Bill Calc.'!$D$18="Yes 10%",'AES Indiana Bill Calc.'!$D$20="Yes 2024"),'AES Indiana Bill Calc.'!$D$21)</f>
        <v>0</v>
      </c>
      <c r="F587" s="36" t="s">
        <v>301</v>
      </c>
      <c r="G587" s="17" t="e">
        <f>SUM(J587:M587,O587:P587,R587:AA587)</f>
        <v>#N/A</v>
      </c>
      <c r="H587" s="19" t="e">
        <f>IF(ISBLANK(B587),0,+#REF!/B587)</f>
        <v>#REF!</v>
      </c>
      <c r="J587" s="82">
        <f>IF(ISBLANK(B587),0,+J$496)</f>
        <v>120</v>
      </c>
      <c r="K587" s="42">
        <f>ROUND($B587*K$496,2)</f>
        <v>-0.04</v>
      </c>
      <c r="N587" s="18">
        <f>K587</f>
        <v>-0.04</v>
      </c>
      <c r="O587" s="17">
        <f>IF($C587&gt;M$497,ROUND(M$497*M$496,2),ROUND($C587*M$496,2))</f>
        <v>1237</v>
      </c>
      <c r="P587" s="17">
        <f>IF($C587&gt;M$497,ROUND(($C587-M$497)*O$496,2),0)</f>
        <v>0</v>
      </c>
      <c r="Q587" s="42">
        <f>SUM(O587:P587)</f>
        <v>1237</v>
      </c>
      <c r="R587" s="16" t="e">
        <f>ROUND(SUM(N587:P587)*(R586-1),2)</f>
        <v>#N/A</v>
      </c>
      <c r="S587" s="42">
        <f>ROUND($B587*S$496*S586,2)</f>
        <v>0</v>
      </c>
      <c r="T587" s="42">
        <f>ROUND($B587*T$496,2)</f>
        <v>0</v>
      </c>
      <c r="U587" s="42">
        <f>ROUND($B587*U$496,2)</f>
        <v>0</v>
      </c>
      <c r="V587" s="41">
        <f>ROUND($B587*$V$494,2)</f>
        <v>-0.01</v>
      </c>
      <c r="W587" s="42">
        <f>ROUND($B587*W$496,2)</f>
        <v>0</v>
      </c>
      <c r="X587" s="42">
        <f>ROUND($B587*X$496,2)</f>
        <v>-0.01</v>
      </c>
      <c r="Y587" s="42">
        <f>ROUND($B587*Y$496,2)</f>
        <v>0</v>
      </c>
      <c r="Z587" s="42">
        <f>ROUND($B587*Z$496,2)</f>
        <v>0</v>
      </c>
      <c r="AA587" s="42">
        <f>ROUND($B587*AA$496,2)</f>
        <v>0</v>
      </c>
      <c r="AB587" s="19" t="e">
        <f>SUM(U$496:AA$496)+(-V$496+#REF!)</f>
        <v>#REF!</v>
      </c>
      <c r="AC587" s="94" t="str">
        <f>+F587</f>
        <v>SL4</v>
      </c>
    </row>
    <row r="588" spans="1:29" x14ac:dyDescent="0.2">
      <c r="A588" s="9"/>
      <c r="B588" s="97">
        <v>-1</v>
      </c>
      <c r="D588" s="41"/>
      <c r="E588" s="80"/>
      <c r="F588" s="36"/>
      <c r="G588" s="98"/>
      <c r="H588" s="19"/>
      <c r="J588" s="82"/>
      <c r="K588" s="42"/>
      <c r="O588" s="42"/>
      <c r="P588" s="42"/>
      <c r="Q588" s="42"/>
      <c r="R588" s="38" t="e">
        <f>INDEX('Pwr Factor'!$A$1:$B$52,MATCH((D589),'Pwr Factor'!$A$1:$A$52,0),2)</f>
        <v>#N/A</v>
      </c>
      <c r="S588" s="50">
        <v>0</v>
      </c>
      <c r="T588" s="42"/>
      <c r="U588" s="42"/>
      <c r="V588" s="41"/>
      <c r="W588" s="42"/>
      <c r="X588" s="42"/>
      <c r="Y588" s="42"/>
      <c r="Z588" s="42"/>
      <c r="AA588" s="42"/>
      <c r="AB588" s="19"/>
      <c r="AC588" s="94"/>
    </row>
    <row r="589" spans="1:29" x14ac:dyDescent="0.2">
      <c r="A589" s="1" t="s">
        <v>147</v>
      </c>
      <c r="B589" s="103">
        <f>IF(AND('AES Indiana Bill Calc.'!$D$17="SL",'AES Indiana Bill Calc.'!$D$18="No",'AES Indiana Bill Calc.'!$D$20="Yes 2024"),'AES Indiana Bill Calc.'!$D$19,-1)</f>
        <v>-1</v>
      </c>
      <c r="C589" s="103">
        <f>MAX(E589,$C$497)</f>
        <v>50</v>
      </c>
      <c r="D589" s="103" t="b">
        <f>IF(AND('AES Indiana Bill Calc.'!$D$17="SL",'AES Indiana Bill Calc.'!$D$18="No",'AES Indiana Bill Calc.'!$D$20="Yes 2024"),'AES Indiana Bill Calc.'!$D$22)</f>
        <v>0</v>
      </c>
      <c r="E589" s="103" t="b">
        <f>IF(AND('AES Indiana Bill Calc.'!$D$17="SL",'AES Indiana Bill Calc.'!$D$18="No",'AES Indiana Bill Calc.'!$D$20="Yes 2024"),'AES Indiana Bill Calc.'!$D$21)</f>
        <v>0</v>
      </c>
      <c r="F589" s="36" t="s">
        <v>301</v>
      </c>
      <c r="G589" s="17" t="e">
        <f>SUM(J589:M589,O589:P589,R589:AA589)</f>
        <v>#N/A</v>
      </c>
      <c r="H589" s="19" t="e">
        <f>IF(ISBLANK(B589),0,+#REF!/B589)</f>
        <v>#REF!</v>
      </c>
      <c r="J589" s="82">
        <f>IF(ISBLANK(B589),0,+J$496)</f>
        <v>120</v>
      </c>
      <c r="K589" s="42">
        <f>ROUND($B589*K$496,2)</f>
        <v>-0.04</v>
      </c>
      <c r="N589" s="18">
        <f>K589</f>
        <v>-0.04</v>
      </c>
      <c r="O589" s="17">
        <f>IF($C589&gt;M$497,ROUND(M$497*M$496,2),ROUND($C589*M$496,2))</f>
        <v>1237</v>
      </c>
      <c r="P589" s="17">
        <f>IF($C589&gt;M$497,ROUND(($C589-M$497)*O$496,2),0)</f>
        <v>0</v>
      </c>
      <c r="Q589" s="42">
        <f>SUM(O589:P589)</f>
        <v>1237</v>
      </c>
      <c r="R589" s="16" t="e">
        <f>ROUND(SUM(N589:P589)*(R588-1),2)</f>
        <v>#N/A</v>
      </c>
      <c r="S589" s="42">
        <f>ROUND($B589*S$496*S588,2)</f>
        <v>0</v>
      </c>
      <c r="T589" s="42">
        <f>ROUND($B589*T$496,2)</f>
        <v>0</v>
      </c>
      <c r="U589" s="42">
        <f>ROUND($B589*U$496,2)</f>
        <v>0</v>
      </c>
      <c r="V589" s="41">
        <f>ROUND($B589*$V$494,2)</f>
        <v>-0.01</v>
      </c>
      <c r="W589" s="42">
        <f>ROUND($B589*W$496,2)</f>
        <v>0</v>
      </c>
      <c r="X589" s="42">
        <f>ROUND($B589*X$496,2)</f>
        <v>-0.01</v>
      </c>
      <c r="Y589" s="42">
        <f>ROUND($B589*Y$496,2)</f>
        <v>0</v>
      </c>
      <c r="Z589" s="42">
        <f>ROUND($B589*Z$496,2)</f>
        <v>0</v>
      </c>
      <c r="AA589" s="42">
        <f>ROUND($B589*AA$496,2)</f>
        <v>0</v>
      </c>
      <c r="AB589" s="19" t="e">
        <f>SUM(U$496:AA$496)+(-V$496+#REF!)</f>
        <v>#REF!</v>
      </c>
      <c r="AC589" s="94" t="str">
        <f>+F589</f>
        <v>SL4</v>
      </c>
    </row>
    <row r="590" spans="1:29" x14ac:dyDescent="0.2">
      <c r="A590" s="1"/>
      <c r="B590" s="103">
        <v>-1</v>
      </c>
      <c r="C590" s="103"/>
      <c r="D590" s="103"/>
      <c r="E590" s="103"/>
      <c r="F590" s="36"/>
      <c r="G590" s="17"/>
      <c r="H590" s="19"/>
      <c r="J590" s="82"/>
      <c r="K590" s="42"/>
      <c r="N590" s="18"/>
      <c r="O590" s="17"/>
      <c r="P590" s="17"/>
      <c r="Q590" s="42"/>
      <c r="R590" s="38" t="e">
        <f>INDEX('Pwr Factor'!$A$1:$B$52,MATCH((D591),'Pwr Factor'!$A$1:$A$52,0),2)</f>
        <v>#N/A</v>
      </c>
      <c r="S590" s="50">
        <v>1</v>
      </c>
      <c r="T590" s="42"/>
      <c r="U590" s="42"/>
      <c r="V590" s="41"/>
      <c r="W590" s="42"/>
      <c r="X590" s="42"/>
      <c r="Y590" s="42"/>
      <c r="Z590" s="42"/>
      <c r="AA590" s="42"/>
      <c r="AB590" s="19"/>
      <c r="AC590" s="94"/>
    </row>
    <row r="591" spans="1:29" x14ac:dyDescent="0.2">
      <c r="A591" s="1" t="s">
        <v>148</v>
      </c>
      <c r="B591" s="103">
        <f>IF(AND('AES Indiana Bill Calc.'!$D$17="SL",'AES Indiana Bill Calc.'!$D$18="Yes 100%",'AES Indiana Bill Calc.'!$D$20="Yes 2025"),'AES Indiana Bill Calc.'!$D$19,-1)</f>
        <v>-1</v>
      </c>
      <c r="C591" s="103">
        <f>MAX(E591,$C$497)</f>
        <v>50</v>
      </c>
      <c r="D591" s="103" t="b">
        <f>IF(AND('AES Indiana Bill Calc.'!$D$17="SL",'AES Indiana Bill Calc.'!$D$18="Yes 100%",'AES Indiana Bill Calc.'!$D$20="Yes 2025"),'AES Indiana Bill Calc.'!$D$22)</f>
        <v>0</v>
      </c>
      <c r="E591" s="103" t="b">
        <f>IF(AND('AES Indiana Bill Calc.'!$D$17="SL",'AES Indiana Bill Calc.'!$D$18="Yes 100%",'AES Indiana Bill Calc.'!$D$20="Yes 2025"),'AES Indiana Bill Calc.'!$D$21)</f>
        <v>0</v>
      </c>
      <c r="F591" s="36" t="s">
        <v>329</v>
      </c>
      <c r="G591" s="17" t="e">
        <f>SUM(J591:M591,O591:P591,R591:AA591)</f>
        <v>#N/A</v>
      </c>
      <c r="H591" s="19" t="e">
        <f>IF(ISBLANK(B591),0,+#REF!/B591)</f>
        <v>#REF!</v>
      </c>
      <c r="J591" s="82">
        <f>IF(ISBLANK(B591),0,+J$496)</f>
        <v>120</v>
      </c>
      <c r="K591" s="42">
        <f>ROUND($B591*K$496,2)</f>
        <v>-0.04</v>
      </c>
      <c r="N591" s="18">
        <f>K591</f>
        <v>-0.04</v>
      </c>
      <c r="O591" s="17">
        <f>IF($C591&gt;M$497,ROUND(M$497*M$496,2),ROUND($C591*M$496,2))</f>
        <v>1237</v>
      </c>
      <c r="P591" s="17">
        <f>IF($C591&gt;M$497,ROUND(($C591-M$497)*O$496,2),0)</f>
        <v>0</v>
      </c>
      <c r="Q591" s="42">
        <f>SUM(O591:P591)</f>
        <v>1237</v>
      </c>
      <c r="R591" s="16" t="e">
        <f>ROUND(SUM(N591:P591)*(R590-1),2)</f>
        <v>#N/A</v>
      </c>
      <c r="S591" s="42">
        <f>ROUND($B591*S$496*S590,2)</f>
        <v>0</v>
      </c>
      <c r="T591" s="42">
        <f>ROUND($B591*T$496,2)</f>
        <v>0</v>
      </c>
      <c r="U591" s="42">
        <f>ROUND($B591*U$496,2)</f>
        <v>0</v>
      </c>
      <c r="V591" s="41">
        <f>ROUND($B591*$V$495,2)</f>
        <v>-0.01</v>
      </c>
      <c r="W591" s="42">
        <f>ROUND($B591*W$496,2)</f>
        <v>0</v>
      </c>
      <c r="X591" s="42">
        <f>ROUND($B591*X$496,2)</f>
        <v>-0.01</v>
      </c>
      <c r="Y591" s="42">
        <f>ROUND($B591*Y$496,2)</f>
        <v>0</v>
      </c>
      <c r="Z591" s="42">
        <f>ROUND($B591*Z$496,2)</f>
        <v>0</v>
      </c>
      <c r="AA591" s="42">
        <f>ROUND($B591*AA$496,2)</f>
        <v>0</v>
      </c>
      <c r="AB591" s="19" t="e">
        <f>SUM(U$496:AA$496)+(-V$496+#REF!)</f>
        <v>#REF!</v>
      </c>
      <c r="AC591" s="94" t="str">
        <f>+F591</f>
        <v>SL5</v>
      </c>
    </row>
    <row r="592" spans="1:29" x14ac:dyDescent="0.2">
      <c r="A592" s="9"/>
      <c r="B592" s="97">
        <v>-1</v>
      </c>
      <c r="D592" s="41"/>
      <c r="E592" s="80"/>
      <c r="F592" s="36"/>
      <c r="G592" s="98"/>
      <c r="H592" s="19"/>
      <c r="J592" s="82"/>
      <c r="K592" s="42"/>
      <c r="O592" s="42"/>
      <c r="P592" s="42"/>
      <c r="Q592" s="42"/>
      <c r="R592" s="38" t="e">
        <f>INDEX('Pwr Factor'!$A$1:$B$52,MATCH((D593),'Pwr Factor'!$A$1:$A$52,0),2)</f>
        <v>#N/A</v>
      </c>
      <c r="S592" s="50">
        <v>0.5</v>
      </c>
      <c r="T592" s="42"/>
      <c r="U592" s="42"/>
      <c r="V592" s="41"/>
      <c r="W592" s="42"/>
      <c r="X592" s="42"/>
      <c r="Y592" s="42"/>
      <c r="Z592" s="42"/>
      <c r="AA592" s="42"/>
      <c r="AB592" s="19"/>
      <c r="AC592" s="94"/>
    </row>
    <row r="593" spans="1:29" x14ac:dyDescent="0.2">
      <c r="A593" s="1" t="s">
        <v>149</v>
      </c>
      <c r="B593" s="103">
        <f>IF(AND('AES Indiana Bill Calc.'!$D$17="SL",'AES Indiana Bill Calc.'!$D$18="Yes 50%",'AES Indiana Bill Calc.'!$D$20="Yes 2025"),'AES Indiana Bill Calc.'!$D$19,-1)</f>
        <v>-1</v>
      </c>
      <c r="C593" s="103">
        <f>MAX(E593,$C$497)</f>
        <v>50</v>
      </c>
      <c r="D593" s="103" t="b">
        <f>IF(AND('AES Indiana Bill Calc.'!$D$17="SL",'AES Indiana Bill Calc.'!$D$18="Yes 50%",'AES Indiana Bill Calc.'!$D$20="Yes 2025"),'AES Indiana Bill Calc.'!$D$22)</f>
        <v>0</v>
      </c>
      <c r="E593" s="103" t="b">
        <f>IF(AND('AES Indiana Bill Calc.'!$D$17="SL",'AES Indiana Bill Calc.'!$D$18="Yes 50%",'AES Indiana Bill Calc.'!$D$20="Yes 2025"),'AES Indiana Bill Calc.'!$D$21)</f>
        <v>0</v>
      </c>
      <c r="F593" s="36" t="s">
        <v>329</v>
      </c>
      <c r="G593" s="17" t="e">
        <f>SUM(J593:M593,O593:P593,R593:AA593)</f>
        <v>#N/A</v>
      </c>
      <c r="H593" s="19" t="e">
        <f>IF(ISBLANK(B593),0,+#REF!/B593)</f>
        <v>#REF!</v>
      </c>
      <c r="J593" s="82">
        <f>IF(ISBLANK(B593),0,+J$496)</f>
        <v>120</v>
      </c>
      <c r="K593" s="42">
        <f>ROUND($B593*K$496,2)</f>
        <v>-0.04</v>
      </c>
      <c r="N593" s="18">
        <f>K593</f>
        <v>-0.04</v>
      </c>
      <c r="O593" s="17">
        <f>IF($C593&gt;M$497,ROUND(M$497*M$496,2),ROUND($C593*M$496,2))</f>
        <v>1237</v>
      </c>
      <c r="P593" s="17">
        <f>IF($C593&gt;M$497,ROUND(($C593-M$497)*O$496,2),0)</f>
        <v>0</v>
      </c>
      <c r="Q593" s="42">
        <f>SUM(O593:P593)</f>
        <v>1237</v>
      </c>
      <c r="R593" s="16" t="e">
        <f>ROUND(SUM(N593:P593)*(R592-1),2)</f>
        <v>#N/A</v>
      </c>
      <c r="S593" s="42">
        <f>ROUND($B593*S$496*S592,2)</f>
        <v>0</v>
      </c>
      <c r="T593" s="42">
        <f>ROUND($B593*T$496,2)</f>
        <v>0</v>
      </c>
      <c r="U593" s="42">
        <f>ROUND($B593*U$496,2)</f>
        <v>0</v>
      </c>
      <c r="V593" s="41">
        <f>ROUND($B593*$V$495,2)</f>
        <v>-0.01</v>
      </c>
      <c r="W593" s="42">
        <f>ROUND($B593*W$496,2)</f>
        <v>0</v>
      </c>
      <c r="X593" s="42">
        <f>ROUND($B593*X$496,2)</f>
        <v>-0.01</v>
      </c>
      <c r="Y593" s="42">
        <f>ROUND($B593*Y$496,2)</f>
        <v>0</v>
      </c>
      <c r="Z593" s="42">
        <f>ROUND($B593*Z$496,2)</f>
        <v>0</v>
      </c>
      <c r="AA593" s="42">
        <f>ROUND($B593*AA$496,2)</f>
        <v>0</v>
      </c>
      <c r="AB593" s="19" t="e">
        <f>SUM(U$496:AA$496)+(-V$496+#REF!)</f>
        <v>#REF!</v>
      </c>
      <c r="AC593" s="94" t="str">
        <f>+F593</f>
        <v>SL5</v>
      </c>
    </row>
    <row r="594" spans="1:29" x14ac:dyDescent="0.2">
      <c r="A594" s="9"/>
      <c r="B594" s="97">
        <v>-1</v>
      </c>
      <c r="D594" s="41"/>
      <c r="E594" s="80"/>
      <c r="F594" s="36"/>
      <c r="G594" s="98"/>
      <c r="H594" s="19"/>
      <c r="J594" s="82"/>
      <c r="K594" s="42"/>
      <c r="O594" s="42"/>
      <c r="P594" s="42"/>
      <c r="Q594" s="42"/>
      <c r="R594" s="38" t="e">
        <f>INDEX('Pwr Factor'!$A$1:$B$52,MATCH((D595),'Pwr Factor'!$A$1:$A$52,0),2)</f>
        <v>#N/A</v>
      </c>
      <c r="S594" s="50">
        <v>0.25</v>
      </c>
      <c r="T594" s="42"/>
      <c r="U594" s="42"/>
      <c r="V594" s="41"/>
      <c r="W594" s="42"/>
      <c r="X594" s="42"/>
      <c r="Y594" s="42"/>
      <c r="Z594" s="42"/>
      <c r="AA594" s="42"/>
      <c r="AB594" s="19"/>
      <c r="AC594" s="94"/>
    </row>
    <row r="595" spans="1:29" x14ac:dyDescent="0.2">
      <c r="A595" s="1" t="s">
        <v>150</v>
      </c>
      <c r="B595" s="103">
        <f>IF(AND('AES Indiana Bill Calc.'!$D$17="SL",'AES Indiana Bill Calc.'!$D$18="Yes 25%",'AES Indiana Bill Calc.'!$D$20="Yes 2025"),'AES Indiana Bill Calc.'!$D$19,-1)</f>
        <v>-1</v>
      </c>
      <c r="C595" s="103">
        <f>MAX(E595,$C$497)</f>
        <v>50</v>
      </c>
      <c r="D595" s="103" t="b">
        <f>IF(AND('AES Indiana Bill Calc.'!$D$17="SL",'AES Indiana Bill Calc.'!$D$18="Yes 25%",'AES Indiana Bill Calc.'!$D$20="Yes 2025"),'AES Indiana Bill Calc.'!$D$22)</f>
        <v>0</v>
      </c>
      <c r="E595" s="103" t="b">
        <f>IF(AND('AES Indiana Bill Calc.'!$D$17="SL",'AES Indiana Bill Calc.'!$D$18="Yes 25%",'AES Indiana Bill Calc.'!$D$20="Yes 2025"),'AES Indiana Bill Calc.'!$D$21)</f>
        <v>0</v>
      </c>
      <c r="F595" s="36" t="s">
        <v>329</v>
      </c>
      <c r="G595" s="17" t="e">
        <f>SUM(J595:M595,O595:P595,R595:AA595)</f>
        <v>#N/A</v>
      </c>
      <c r="H595" s="19" t="e">
        <f>IF(ISBLANK(B595),0,+#REF!/B595)</f>
        <v>#REF!</v>
      </c>
      <c r="J595" s="82">
        <f>IF(ISBLANK(B595),0,+J$496)</f>
        <v>120</v>
      </c>
      <c r="K595" s="42">
        <f>ROUND($B595*K$496,2)</f>
        <v>-0.04</v>
      </c>
      <c r="N595" s="18">
        <f>K595</f>
        <v>-0.04</v>
      </c>
      <c r="O595" s="17">
        <f>IF($C595&gt;M$497,ROUND(M$497*M$496,2),ROUND($C595*M$496,2))</f>
        <v>1237</v>
      </c>
      <c r="P595" s="17">
        <f>IF($C595&gt;M$497,ROUND(($C595-M$497)*O$496,2),0)</f>
        <v>0</v>
      </c>
      <c r="Q595" s="42">
        <f>SUM(O595:P595)</f>
        <v>1237</v>
      </c>
      <c r="R595" s="16" t="e">
        <f>ROUND(SUM(N595:P595)*(R594-1),2)</f>
        <v>#N/A</v>
      </c>
      <c r="S595" s="42">
        <f>ROUND($B595*S$496*S594,2)</f>
        <v>0</v>
      </c>
      <c r="T595" s="42">
        <f>ROUND($B595*T$496,2)</f>
        <v>0</v>
      </c>
      <c r="U595" s="42">
        <f>ROUND($B595*U$496,2)</f>
        <v>0</v>
      </c>
      <c r="V595" s="41">
        <f>ROUND($B595*$V$495,2)</f>
        <v>-0.01</v>
      </c>
      <c r="W595" s="42">
        <f>ROUND($B595*W$496,2)</f>
        <v>0</v>
      </c>
      <c r="X595" s="42">
        <f>ROUND($B595*X$496,2)</f>
        <v>-0.01</v>
      </c>
      <c r="Y595" s="42">
        <f>ROUND($B595*Y$496,2)</f>
        <v>0</v>
      </c>
      <c r="Z595" s="42">
        <f>ROUND($B595*Z$496,2)</f>
        <v>0</v>
      </c>
      <c r="AA595" s="42">
        <f>ROUND($B595*AA$496,2)</f>
        <v>0</v>
      </c>
      <c r="AB595" s="19" t="e">
        <f>SUM(U$496:AA$496)+(-V$496+#REF!)</f>
        <v>#REF!</v>
      </c>
      <c r="AC595" s="94" t="str">
        <f>+F595</f>
        <v>SL5</v>
      </c>
    </row>
    <row r="596" spans="1:29" x14ac:dyDescent="0.2">
      <c r="A596" s="9"/>
      <c r="B596" s="97">
        <v>-1</v>
      </c>
      <c r="D596" s="41"/>
      <c r="E596" s="80"/>
      <c r="F596" s="36"/>
      <c r="G596" s="98"/>
      <c r="H596" s="19"/>
      <c r="J596" s="82"/>
      <c r="K596" s="42"/>
      <c r="O596" s="42"/>
      <c r="P596" s="42"/>
      <c r="Q596" s="42"/>
      <c r="R596" s="38" t="e">
        <f>INDEX('Pwr Factor'!$A$1:$B$52,MATCH((D597),'Pwr Factor'!$A$1:$A$52,0),2)</f>
        <v>#N/A</v>
      </c>
      <c r="S596" s="50">
        <v>0.1</v>
      </c>
      <c r="T596" s="42"/>
      <c r="U596" s="42"/>
      <c r="V596" s="41"/>
      <c r="W596" s="42"/>
      <c r="X596" s="42"/>
      <c r="Y596" s="42"/>
      <c r="Z596" s="42"/>
      <c r="AA596" s="42"/>
      <c r="AB596" s="19"/>
      <c r="AC596" s="94"/>
    </row>
    <row r="597" spans="1:29" x14ac:dyDescent="0.2">
      <c r="A597" s="1" t="s">
        <v>164</v>
      </c>
      <c r="B597" s="103">
        <f>IF(AND('AES Indiana Bill Calc.'!$D$17="SL",'AES Indiana Bill Calc.'!$D$18="Yes 10%",'AES Indiana Bill Calc.'!$D$20="Yes 2025"),'AES Indiana Bill Calc.'!$D$19,-1)</f>
        <v>-1</v>
      </c>
      <c r="C597" s="103">
        <f>MAX(E597,$C$497)</f>
        <v>50</v>
      </c>
      <c r="D597" s="103" t="b">
        <f>IF(AND('AES Indiana Bill Calc.'!$D$17="SL",'AES Indiana Bill Calc.'!$D$18="Yes 10%",'AES Indiana Bill Calc.'!$D$20="Yes 2025"),'AES Indiana Bill Calc.'!$D$22)</f>
        <v>0</v>
      </c>
      <c r="E597" s="103" t="b">
        <f>IF(AND('AES Indiana Bill Calc.'!$D$17="SL",'AES Indiana Bill Calc.'!$D$18="Yes 10%",'AES Indiana Bill Calc.'!$D$20="Yes 2025"),'AES Indiana Bill Calc.'!$D$21)</f>
        <v>0</v>
      </c>
      <c r="F597" s="36" t="s">
        <v>329</v>
      </c>
      <c r="G597" s="17" t="e">
        <f>SUM(J597:M597,O597:P597,R597:AA597)</f>
        <v>#N/A</v>
      </c>
      <c r="H597" s="19" t="e">
        <f>IF(ISBLANK(B597),0,+#REF!/B597)</f>
        <v>#REF!</v>
      </c>
      <c r="J597" s="82">
        <f>IF(ISBLANK(B597),0,+J$496)</f>
        <v>120</v>
      </c>
      <c r="K597" s="42">
        <f>ROUND($B597*K$496,2)</f>
        <v>-0.04</v>
      </c>
      <c r="N597" s="18">
        <f>K597</f>
        <v>-0.04</v>
      </c>
      <c r="O597" s="17">
        <f>IF($C597&gt;M$497,ROUND(M$497*M$496,2),ROUND($C597*M$496,2))</f>
        <v>1237</v>
      </c>
      <c r="P597" s="17">
        <f>IF($C597&gt;M$497,ROUND(($C597-M$497)*O$496,2),0)</f>
        <v>0</v>
      </c>
      <c r="Q597" s="42">
        <f>SUM(O597:P597)</f>
        <v>1237</v>
      </c>
      <c r="R597" s="16" t="e">
        <f>ROUND(SUM(N597:P597)*(R596-1),2)</f>
        <v>#N/A</v>
      </c>
      <c r="S597" s="42">
        <f>ROUND($B597*S$496*S596,2)</f>
        <v>0</v>
      </c>
      <c r="T597" s="42">
        <f>ROUND($B597*T$496,2)</f>
        <v>0</v>
      </c>
      <c r="U597" s="42">
        <f>ROUND($B597*U$496,2)</f>
        <v>0</v>
      </c>
      <c r="V597" s="41">
        <f>ROUND($B597*$V$495,2)</f>
        <v>-0.01</v>
      </c>
      <c r="W597" s="42">
        <f>ROUND($B597*W$496,2)</f>
        <v>0</v>
      </c>
      <c r="X597" s="42">
        <f>ROUND($B597*X$496,2)</f>
        <v>-0.01</v>
      </c>
      <c r="Y597" s="42">
        <f>ROUND($B597*Y$496,2)</f>
        <v>0</v>
      </c>
      <c r="Z597" s="42">
        <f>ROUND($B597*Z$496,2)</f>
        <v>0</v>
      </c>
      <c r="AA597" s="42">
        <f>ROUND($B597*AA$496,2)</f>
        <v>0</v>
      </c>
      <c r="AB597" s="19" t="e">
        <f>SUM(U$496:AA$496)+(-V$496+#REF!)</f>
        <v>#REF!</v>
      </c>
      <c r="AC597" s="94" t="str">
        <f>+F597</f>
        <v>SL5</v>
      </c>
    </row>
    <row r="598" spans="1:29" x14ac:dyDescent="0.2">
      <c r="A598" s="9"/>
      <c r="B598" s="97">
        <v>-1</v>
      </c>
      <c r="D598" s="41"/>
      <c r="E598" s="80"/>
      <c r="F598" s="36"/>
      <c r="G598" s="98"/>
      <c r="H598" s="19"/>
      <c r="J598" s="82"/>
      <c r="K598" s="42"/>
      <c r="O598" s="42"/>
      <c r="P598" s="42"/>
      <c r="Q598" s="42"/>
      <c r="R598" s="38" t="e">
        <f>INDEX('Pwr Factor'!$A$1:$B$52,MATCH((D599),'Pwr Factor'!$A$1:$A$52,0),2)</f>
        <v>#N/A</v>
      </c>
      <c r="S598" s="50">
        <v>0</v>
      </c>
      <c r="T598" s="42"/>
      <c r="U598" s="42"/>
      <c r="V598" s="41"/>
      <c r="W598" s="42"/>
      <c r="X598" s="42"/>
      <c r="Y598" s="42"/>
      <c r="Z598" s="42"/>
      <c r="AA598" s="42"/>
      <c r="AB598" s="19"/>
      <c r="AC598" s="94"/>
    </row>
    <row r="599" spans="1:29" x14ac:dyDescent="0.2">
      <c r="A599" s="1" t="s">
        <v>147</v>
      </c>
      <c r="B599" s="103">
        <f>IF(AND('AES Indiana Bill Calc.'!$D$17="SL",'AES Indiana Bill Calc.'!$D$18="No",'AES Indiana Bill Calc.'!$D$20="Yes 2025"),'AES Indiana Bill Calc.'!$D$19,-1)</f>
        <v>-1</v>
      </c>
      <c r="C599" s="103">
        <f>MAX(E599,$C$497)</f>
        <v>50</v>
      </c>
      <c r="D599" s="103" t="b">
        <f>IF(AND('AES Indiana Bill Calc.'!$D$17="SL",'AES Indiana Bill Calc.'!$D$18="No",'AES Indiana Bill Calc.'!$D$20="Yes 2025"),'AES Indiana Bill Calc.'!$D$22)</f>
        <v>0</v>
      </c>
      <c r="E599" s="103" t="b">
        <f>IF(AND('AES Indiana Bill Calc.'!$D$17="SL",'AES Indiana Bill Calc.'!$D$18="No",'AES Indiana Bill Calc.'!$D$20="Yes 2025"),'AES Indiana Bill Calc.'!$D$21)</f>
        <v>0</v>
      </c>
      <c r="F599" s="36" t="s">
        <v>329</v>
      </c>
      <c r="G599" s="17" t="e">
        <f>SUM(J599:M599,O599:P599,R599:AA599)</f>
        <v>#N/A</v>
      </c>
      <c r="H599" s="19" t="e">
        <f>IF(ISBLANK(B599),0,+#REF!/B599)</f>
        <v>#REF!</v>
      </c>
      <c r="J599" s="82">
        <f>IF(ISBLANK(B599),0,+J$496)</f>
        <v>120</v>
      </c>
      <c r="K599" s="42">
        <f>ROUND($B599*K$496,2)</f>
        <v>-0.04</v>
      </c>
      <c r="N599" s="18">
        <f>K599</f>
        <v>-0.04</v>
      </c>
      <c r="O599" s="17">
        <f>IF($C599&gt;M$497,ROUND(M$497*M$496,2),ROUND($C599*M$496,2))</f>
        <v>1237</v>
      </c>
      <c r="P599" s="17">
        <f>IF($C599&gt;M$497,ROUND(($C599-M$497)*O$496,2),0)</f>
        <v>0</v>
      </c>
      <c r="Q599" s="42">
        <f>SUM(O599:P599)</f>
        <v>1237</v>
      </c>
      <c r="R599" s="16" t="e">
        <f>ROUND(SUM(N599:P599)*(R598-1),2)</f>
        <v>#N/A</v>
      </c>
      <c r="S599" s="42">
        <f>ROUND($B599*S$496*S598,2)</f>
        <v>0</v>
      </c>
      <c r="T599" s="42">
        <f>ROUND($B599*T$496,2)</f>
        <v>0</v>
      </c>
      <c r="U599" s="42">
        <f>ROUND($B599*U$496,2)</f>
        <v>0</v>
      </c>
      <c r="V599" s="41">
        <f>ROUND($B599*$V$495,2)</f>
        <v>-0.01</v>
      </c>
      <c r="W599" s="42">
        <f>ROUND($B599*W$496,2)</f>
        <v>0</v>
      </c>
      <c r="X599" s="42">
        <f>ROUND($B599*X$496,2)</f>
        <v>-0.01</v>
      </c>
      <c r="Y599" s="42">
        <f>ROUND($B599*Y$496,2)</f>
        <v>0</v>
      </c>
      <c r="Z599" s="42">
        <f>ROUND($B599*Z$496,2)</f>
        <v>0</v>
      </c>
      <c r="AA599" s="42">
        <f>ROUND($B599*AA$496,2)</f>
        <v>0</v>
      </c>
      <c r="AB599" s="19" t="e">
        <f>SUM(U$496:AA$496)+(-V$496+#REF!)</f>
        <v>#REF!</v>
      </c>
      <c r="AC599" s="94" t="str">
        <f>+F599</f>
        <v>SL5</v>
      </c>
    </row>
    <row r="600" spans="1:29" x14ac:dyDescent="0.2">
      <c r="A600" s="1"/>
      <c r="B600" s="103">
        <v>-1</v>
      </c>
      <c r="C600" s="103"/>
      <c r="D600" s="103"/>
      <c r="E600" s="103"/>
      <c r="F600" s="36"/>
      <c r="G600" s="17"/>
      <c r="H600" s="19"/>
      <c r="J600" s="82"/>
      <c r="K600" s="42"/>
      <c r="N600" s="18"/>
      <c r="O600" s="17"/>
      <c r="P600" s="17"/>
      <c r="Q600" s="42"/>
      <c r="R600" s="16"/>
      <c r="S600" s="42"/>
      <c r="T600" s="42"/>
      <c r="U600" s="42"/>
      <c r="V600" s="41"/>
      <c r="W600" s="42"/>
      <c r="X600" s="42"/>
      <c r="Y600" s="42"/>
      <c r="Z600" s="42"/>
      <c r="AA600" s="42"/>
      <c r="AB600" s="19"/>
      <c r="AC600" s="94"/>
    </row>
    <row r="601" spans="1:29" x14ac:dyDescent="0.2">
      <c r="B601" s="103">
        <v>-1</v>
      </c>
      <c r="C601" s="9"/>
      <c r="D601" s="8"/>
      <c r="S601" s="6"/>
      <c r="T601" s="6"/>
      <c r="U601" s="6"/>
      <c r="V601" s="27">
        <f>+T14</f>
        <v>0</v>
      </c>
      <c r="W601" s="6" t="s">
        <v>155</v>
      </c>
      <c r="X601" s="6"/>
      <c r="Y601" s="6"/>
      <c r="Z601" s="6"/>
      <c r="AA601" s="6"/>
      <c r="AB601" s="19" t="e">
        <f>+AB$610-V$610+#REF!</f>
        <v>#REF!</v>
      </c>
    </row>
    <row r="602" spans="1:29" x14ac:dyDescent="0.2">
      <c r="B602" s="103">
        <v>-1</v>
      </c>
      <c r="C602" s="9"/>
      <c r="D602" s="8"/>
      <c r="S602" s="6"/>
      <c r="T602" s="6"/>
      <c r="U602" s="6"/>
      <c r="V602" s="27">
        <f>T16</f>
        <v>1.18E-4</v>
      </c>
      <c r="W602" s="6" t="s">
        <v>156</v>
      </c>
      <c r="X602" s="6"/>
      <c r="Y602" s="6"/>
      <c r="Z602" s="6"/>
      <c r="AA602" s="6"/>
      <c r="AB602" s="19"/>
    </row>
    <row r="603" spans="1:29" x14ac:dyDescent="0.2">
      <c r="B603" s="103">
        <v>-1</v>
      </c>
      <c r="C603" s="9"/>
      <c r="D603" s="8"/>
      <c r="S603" s="6"/>
      <c r="T603" s="6"/>
      <c r="U603" s="6"/>
      <c r="V603" s="27">
        <f>$T$19</f>
        <v>4.55E-4</v>
      </c>
      <c r="W603" s="6" t="s">
        <v>157</v>
      </c>
      <c r="X603" s="6"/>
      <c r="Y603" s="6"/>
      <c r="Z603" s="6"/>
      <c r="AA603" s="6"/>
      <c r="AB603" s="19"/>
    </row>
    <row r="604" spans="1:29" x14ac:dyDescent="0.2">
      <c r="B604" s="103">
        <v>-1</v>
      </c>
      <c r="C604" s="9"/>
      <c r="D604" s="8"/>
      <c r="S604" s="6"/>
      <c r="T604" s="6"/>
      <c r="U604" s="6"/>
      <c r="V604" s="27">
        <f>$T$21</f>
        <v>9.41E-4</v>
      </c>
      <c r="W604" s="6" t="s">
        <v>158</v>
      </c>
      <c r="X604" s="6"/>
      <c r="Y604" s="6"/>
      <c r="Z604" s="6"/>
      <c r="AA604" s="6"/>
      <c r="AB604" s="19"/>
    </row>
    <row r="605" spans="1:29" x14ac:dyDescent="0.2">
      <c r="B605" s="103">
        <v>-1</v>
      </c>
      <c r="C605" s="9"/>
      <c r="D605" s="8"/>
      <c r="S605" s="6"/>
      <c r="T605" s="6"/>
      <c r="U605" s="6"/>
      <c r="V605" s="27">
        <f>$T$23</f>
        <v>-1.0000000000000001E-5</v>
      </c>
      <c r="W605" s="6" t="s">
        <v>159</v>
      </c>
      <c r="X605" s="6"/>
      <c r="Y605" s="6"/>
      <c r="Z605" s="6"/>
      <c r="AA605" s="6"/>
      <c r="AB605" s="19"/>
    </row>
    <row r="606" spans="1:29" x14ac:dyDescent="0.2">
      <c r="B606" s="103">
        <v>-1</v>
      </c>
      <c r="C606" s="33" t="s">
        <v>194</v>
      </c>
      <c r="D606" s="8"/>
      <c r="S606" s="6"/>
      <c r="T606" s="6"/>
      <c r="U606" s="6"/>
      <c r="V606" s="27">
        <f>$T$25</f>
        <v>0</v>
      </c>
      <c r="W606" s="6" t="s">
        <v>160</v>
      </c>
      <c r="X606" s="6"/>
      <c r="Y606" s="6"/>
      <c r="Z606" s="6"/>
      <c r="AA606" s="6"/>
      <c r="AB606" s="19"/>
    </row>
    <row r="607" spans="1:29" x14ac:dyDescent="0.2">
      <c r="B607" s="103">
        <v>-1</v>
      </c>
      <c r="C607" s="73">
        <v>500</v>
      </c>
      <c r="D607" s="8"/>
      <c r="S607" s="6"/>
      <c r="T607" s="6"/>
      <c r="U607" s="6"/>
      <c r="V607" s="19">
        <f>T27</f>
        <v>0</v>
      </c>
      <c r="W607" s="6" t="s">
        <v>161</v>
      </c>
      <c r="X607" s="6"/>
      <c r="Y607" s="6"/>
      <c r="Z607" s="6"/>
      <c r="AA607" s="6"/>
      <c r="AB607" s="19"/>
    </row>
    <row r="608" spans="1:29" x14ac:dyDescent="0.2">
      <c r="B608" s="103">
        <v>-1</v>
      </c>
      <c r="C608" s="73"/>
      <c r="D608" s="8"/>
      <c r="S608" s="6"/>
      <c r="T608" s="6"/>
      <c r="U608" s="6"/>
      <c r="V608" s="19">
        <f>T29</f>
        <v>7.4390000000000003E-3</v>
      </c>
      <c r="W608" s="6" t="s">
        <v>296</v>
      </c>
      <c r="X608" s="6"/>
      <c r="Y608" s="6"/>
      <c r="Z608" s="6"/>
      <c r="AA608" s="6"/>
      <c r="AB608" s="19"/>
    </row>
    <row r="609" spans="1:29" x14ac:dyDescent="0.2">
      <c r="B609" s="103">
        <v>-1</v>
      </c>
      <c r="C609" s="73"/>
      <c r="D609" s="8"/>
      <c r="S609" s="6"/>
      <c r="T609" s="6"/>
      <c r="U609" s="6"/>
      <c r="V609" s="19">
        <f>T31</f>
        <v>8.4290000000000007E-3</v>
      </c>
      <c r="W609" s="6" t="s">
        <v>172</v>
      </c>
      <c r="X609" s="6"/>
      <c r="Y609" s="6"/>
      <c r="Z609" s="6"/>
      <c r="AA609" s="6"/>
      <c r="AB609" s="19"/>
    </row>
    <row r="610" spans="1:29" x14ac:dyDescent="0.2">
      <c r="A610" s="1"/>
      <c r="B610" s="103">
        <v>-1</v>
      </c>
      <c r="C610" s="9"/>
      <c r="D610" s="8"/>
      <c r="F610" s="70"/>
      <c r="G610" s="70"/>
      <c r="H610" s="70"/>
      <c r="J610" s="159">
        <v>130</v>
      </c>
      <c r="K610" s="160">
        <v>4.0835999999999997E-2</v>
      </c>
      <c r="L610" s="159">
        <v>28.3</v>
      </c>
      <c r="M610" s="159">
        <v>28.3</v>
      </c>
      <c r="N610" s="72"/>
      <c r="O610" s="72"/>
      <c r="P610" s="72"/>
      <c r="Q610" s="72"/>
      <c r="R610" s="5"/>
      <c r="S610" s="27">
        <f>+M$5</f>
        <v>1.8E-3</v>
      </c>
      <c r="T610" s="27">
        <f>+R$5</f>
        <v>3.9020000000000001E-3</v>
      </c>
      <c r="U610" s="27">
        <f>+S$33</f>
        <v>1.305E-3</v>
      </c>
      <c r="V610" s="27">
        <f>+T$5</f>
        <v>1.3795999999999999E-2</v>
      </c>
      <c r="W610" s="27">
        <f>+U$5</f>
        <v>0</v>
      </c>
      <c r="X610" s="27">
        <f>+V$33</f>
        <v>7.084E-3</v>
      </c>
      <c r="Y610" s="27">
        <f>W33</f>
        <v>-2.5599999999999999E-4</v>
      </c>
      <c r="Z610" s="27">
        <f>X33</f>
        <v>3.1589999999999999E-3</v>
      </c>
      <c r="AA610" s="27">
        <f>Y33</f>
        <v>5.6300000000000002E-4</v>
      </c>
      <c r="AB610" s="19">
        <f>SUM(U610:Z610)</f>
        <v>2.5087999999999999E-2</v>
      </c>
    </row>
    <row r="611" spans="1:29" x14ac:dyDescent="0.2">
      <c r="B611" s="103">
        <v>-1</v>
      </c>
      <c r="C611" s="9"/>
      <c r="D611" s="8"/>
      <c r="F611" s="70"/>
      <c r="G611" s="70"/>
      <c r="H611" s="70"/>
      <c r="I611" s="70"/>
      <c r="J611" s="70"/>
      <c r="K611" s="70"/>
      <c r="L611" s="73">
        <v>2000</v>
      </c>
      <c r="M611" s="70"/>
      <c r="N611" s="70"/>
      <c r="O611" s="70"/>
      <c r="P611" s="70"/>
      <c r="Q611" s="70"/>
    </row>
    <row r="612" spans="1:29" x14ac:dyDescent="0.2">
      <c r="B612" s="103">
        <v>-1</v>
      </c>
      <c r="C612" s="9"/>
      <c r="D612" s="8"/>
      <c r="F612" s="12"/>
      <c r="J612" s="12" t="s">
        <v>137</v>
      </c>
      <c r="K612" s="12" t="s">
        <v>197</v>
      </c>
      <c r="L612" s="258" t="s">
        <v>30</v>
      </c>
      <c r="M612" s="258"/>
      <c r="N612" s="12"/>
      <c r="O612" s="12"/>
      <c r="P612" s="12"/>
      <c r="Q612" s="12"/>
      <c r="R612" s="12" t="s">
        <v>196</v>
      </c>
      <c r="S612" s="12">
        <v>21</v>
      </c>
      <c r="T612" s="12">
        <v>6</v>
      </c>
      <c r="U612" s="12">
        <v>3</v>
      </c>
      <c r="V612" s="12">
        <v>22</v>
      </c>
      <c r="W612" s="12">
        <v>13</v>
      </c>
      <c r="X612" s="12">
        <v>20</v>
      </c>
      <c r="Y612" s="12">
        <v>24</v>
      </c>
      <c r="Z612" s="12">
        <v>25</v>
      </c>
      <c r="AA612" s="12">
        <v>26</v>
      </c>
    </row>
    <row r="613" spans="1:29" x14ac:dyDescent="0.2">
      <c r="A613" s="13"/>
      <c r="B613" s="103">
        <v>-1</v>
      </c>
      <c r="C613" s="99" t="s">
        <v>209</v>
      </c>
      <c r="D613" s="100" t="s">
        <v>210</v>
      </c>
      <c r="E613" s="130" t="s">
        <v>199</v>
      </c>
      <c r="F613" s="13" t="s">
        <v>141</v>
      </c>
      <c r="G613" s="13" t="s">
        <v>142</v>
      </c>
      <c r="H613" s="13" t="s">
        <v>143</v>
      </c>
      <c r="I613" s="12"/>
      <c r="J613" s="13" t="s">
        <v>144</v>
      </c>
      <c r="K613" s="13" t="s">
        <v>144</v>
      </c>
      <c r="L613" s="13" t="s">
        <v>211</v>
      </c>
      <c r="M613" s="13" t="s">
        <v>212</v>
      </c>
      <c r="N613" s="142" t="s">
        <v>138</v>
      </c>
      <c r="O613" s="13"/>
      <c r="P613" s="13"/>
      <c r="Q613" s="142" t="s">
        <v>173</v>
      </c>
      <c r="R613" s="13" t="s">
        <v>201</v>
      </c>
      <c r="S613" s="13" t="s">
        <v>106</v>
      </c>
      <c r="T613" s="13" t="s">
        <v>36</v>
      </c>
      <c r="U613" s="138" t="s">
        <v>38</v>
      </c>
      <c r="V613" s="13" t="s">
        <v>107</v>
      </c>
      <c r="W613" s="13" t="s">
        <v>108</v>
      </c>
      <c r="X613" s="13" t="s">
        <v>109</v>
      </c>
      <c r="Y613" s="138" t="s">
        <v>44</v>
      </c>
      <c r="Z613" s="138" t="s">
        <v>46</v>
      </c>
      <c r="AA613" s="138" t="s">
        <v>48</v>
      </c>
      <c r="AB613" s="66" t="s">
        <v>110</v>
      </c>
    </row>
    <row r="614" spans="1:29" x14ac:dyDescent="0.2">
      <c r="B614" s="103">
        <v>-1</v>
      </c>
      <c r="C614" s="9"/>
      <c r="D614" s="8"/>
      <c r="F614" s="36"/>
      <c r="G614" s="17"/>
      <c r="H614" s="19"/>
      <c r="I614" s="19"/>
      <c r="J614" s="8"/>
      <c r="K614" s="17"/>
      <c r="L614" s="17"/>
      <c r="M614" s="17"/>
      <c r="N614" s="17"/>
      <c r="O614" s="17"/>
      <c r="P614" s="17"/>
      <c r="Q614" s="17"/>
      <c r="R614" s="38" t="e">
        <f>VLOOKUP((D615),'Pwr Factor'!$A$1:$B$52,2)</f>
        <v>#N/A</v>
      </c>
      <c r="S614" s="50">
        <v>1</v>
      </c>
      <c r="T614" s="17"/>
      <c r="U614" s="17"/>
      <c r="V614" s="17"/>
      <c r="W614" s="17"/>
      <c r="X614" s="17"/>
      <c r="Y614" s="17"/>
      <c r="Z614" s="17"/>
      <c r="AA614" s="17"/>
    </row>
    <row r="615" spans="1:29" x14ac:dyDescent="0.2">
      <c r="A615" s="1" t="s">
        <v>148</v>
      </c>
      <c r="B615" s="103">
        <f>IF(AND('AES Indiana Bill Calc.'!$D$17="PL",'AES Indiana Bill Calc.'!$D$18="Yes 100%",'AES Indiana Bill Calc.'!$D$20="No"),'AES Indiana Bill Calc.'!$D$19,-1)</f>
        <v>-1</v>
      </c>
      <c r="C615" s="103">
        <f>MAX(E615,$C$607)</f>
        <v>500</v>
      </c>
      <c r="D615" s="103" t="b">
        <f>IF(AND('AES Indiana Bill Calc.'!$D$17="PL",'AES Indiana Bill Calc.'!$D$18="Yes 100%",'AES Indiana Bill Calc.'!$D$20="No"),'AES Indiana Bill Calc.'!$D$22)</f>
        <v>0</v>
      </c>
      <c r="E615" s="103" t="b">
        <f>IF(AND('AES Indiana Bill Calc.'!$D$17="PL",'AES Indiana Bill Calc.'!$D$18="Yes 100%",'AES Indiana Bill Calc.'!$D$20="No"),'AES Indiana Bill Calc.'!$D$21)</f>
        <v>0</v>
      </c>
      <c r="F615" s="36" t="s">
        <v>62</v>
      </c>
      <c r="G615" s="42" t="e">
        <f>SUM(J615:M615,R615:AA615)</f>
        <v>#N/A</v>
      </c>
      <c r="H615" s="19" t="e">
        <f>IF(ISBLANK(B615),0,+#REF!/B615)</f>
        <v>#REF!</v>
      </c>
      <c r="I615" s="19"/>
      <c r="J615" s="109">
        <f>IF(ISBLANK(B615),0,+J$610)</f>
        <v>130</v>
      </c>
      <c r="K615" s="92">
        <f>ROUND($B615*K$610,2)</f>
        <v>-0.04</v>
      </c>
      <c r="L615" s="92">
        <f>IF($C615&gt;L$611,ROUND(L$611*L$610,2),ROUND($C615*L$610,2))</f>
        <v>14150</v>
      </c>
      <c r="M615" s="92">
        <f>IF($C615&gt;L$611,ROUND(($C615-L$611)*M$610,2),0)</f>
        <v>0</v>
      </c>
      <c r="N615" s="92">
        <f>K615</f>
        <v>-0.04</v>
      </c>
      <c r="O615" s="92"/>
      <c r="P615" s="92"/>
      <c r="Q615" s="92">
        <f>SUM(L615:M615)</f>
        <v>14150</v>
      </c>
      <c r="R615" s="110" t="e">
        <f>ROUND(SUM(K615:M615)*(R614-1),2)</f>
        <v>#N/A</v>
      </c>
      <c r="S615" s="92">
        <f>ROUND($B615*S$610*S614,2)</f>
        <v>0</v>
      </c>
      <c r="T615" s="92">
        <f t="shared" ref="T615:AA615" si="36">ROUND($B615*T$610,2)</f>
        <v>0</v>
      </c>
      <c r="U615" s="92">
        <f t="shared" si="36"/>
        <v>0</v>
      </c>
      <c r="V615" s="92">
        <f t="shared" si="36"/>
        <v>-0.01</v>
      </c>
      <c r="W615" s="92">
        <f t="shared" si="36"/>
        <v>0</v>
      </c>
      <c r="X615" s="92">
        <f t="shared" si="36"/>
        <v>-0.01</v>
      </c>
      <c r="Y615" s="92">
        <f t="shared" si="36"/>
        <v>0</v>
      </c>
      <c r="Z615" s="92">
        <f t="shared" si="36"/>
        <v>0</v>
      </c>
      <c r="AA615" s="92">
        <f t="shared" si="36"/>
        <v>0</v>
      </c>
      <c r="AB615" s="19">
        <f>SUM(U610:AA610)</f>
        <v>2.5651E-2</v>
      </c>
      <c r="AC615" s="105" t="str">
        <f>+F615</f>
        <v>PL</v>
      </c>
    </row>
    <row r="616" spans="1:29" x14ac:dyDescent="0.2">
      <c r="A616" s="9"/>
      <c r="B616" s="103">
        <v>-1</v>
      </c>
      <c r="C616" s="9"/>
      <c r="D616" s="8"/>
      <c r="F616" s="36"/>
      <c r="G616" s="17"/>
      <c r="H616" s="19"/>
      <c r="I616" s="19"/>
      <c r="J616" s="8"/>
      <c r="K616" s="17"/>
      <c r="L616" s="17"/>
      <c r="M616" s="17"/>
      <c r="N616" s="17"/>
      <c r="O616" s="17"/>
      <c r="P616" s="17"/>
      <c r="Q616" s="17"/>
      <c r="R616" s="38" t="e">
        <f>VLOOKUP((D617),'Pwr Factor'!$A$1:$B$52,2)</f>
        <v>#N/A</v>
      </c>
      <c r="S616" s="50">
        <v>0.5</v>
      </c>
      <c r="T616" s="17"/>
      <c r="U616" s="17"/>
      <c r="V616" s="17"/>
      <c r="W616" s="17"/>
      <c r="X616" s="17"/>
      <c r="Y616" s="17"/>
      <c r="Z616" s="17"/>
      <c r="AA616" s="17"/>
    </row>
    <row r="617" spans="1:29" ht="9.9499999999999993" customHeight="1" x14ac:dyDescent="0.2">
      <c r="A617" s="1" t="s">
        <v>149</v>
      </c>
      <c r="B617" s="103">
        <f>IF(AND('AES Indiana Bill Calc.'!$D$17="PL",'AES Indiana Bill Calc.'!$D$18="Yes 50%",'AES Indiana Bill Calc.'!$D$20="No"),'AES Indiana Bill Calc.'!$D$19,-1)</f>
        <v>-1</v>
      </c>
      <c r="C617" s="103">
        <f>MAX(E617,$C$607)</f>
        <v>500</v>
      </c>
      <c r="D617" s="103" t="b">
        <f>IF(AND('AES Indiana Bill Calc.'!$D$17="PL",'AES Indiana Bill Calc.'!$D$18="Yes 50%",'AES Indiana Bill Calc.'!$D$20="No"),'AES Indiana Bill Calc.'!$D$22)</f>
        <v>0</v>
      </c>
      <c r="E617" s="103" t="b">
        <f>IF(AND('AES Indiana Bill Calc.'!$D$17="PL",'AES Indiana Bill Calc.'!$D$18="Yes 50%",'AES Indiana Bill Calc.'!$D$20="No"),'AES Indiana Bill Calc.'!$D$21)</f>
        <v>0</v>
      </c>
      <c r="F617" s="36" t="s">
        <v>62</v>
      </c>
      <c r="G617" s="42" t="e">
        <f>SUM(J617:M617,R617:AA617)</f>
        <v>#N/A</v>
      </c>
      <c r="H617" s="19" t="e">
        <f>IF(ISBLANK(B617),0,+#REF!/B617)</f>
        <v>#REF!</v>
      </c>
      <c r="I617" s="19"/>
      <c r="J617" s="109">
        <f>IF(ISBLANK(B617),0,+J$610)</f>
        <v>130</v>
      </c>
      <c r="K617" s="92">
        <f>ROUND($B617*K$610,2)</f>
        <v>-0.04</v>
      </c>
      <c r="L617" s="92">
        <f>IF($C617&gt;L$611,ROUND(L$611*L$610,2),ROUND($C617*L$610,2))</f>
        <v>14150</v>
      </c>
      <c r="M617" s="92">
        <f>IF($C617&gt;L$611,ROUND(($C617-L$611)*M$610,2),0)</f>
        <v>0</v>
      </c>
      <c r="N617" s="92">
        <f>K617</f>
        <v>-0.04</v>
      </c>
      <c r="O617" s="92"/>
      <c r="P617" s="92"/>
      <c r="Q617" s="92">
        <f>SUM(L617:M617)</f>
        <v>14150</v>
      </c>
      <c r="R617" s="110" t="e">
        <f>ROUND(SUM(K617:M617)*(R616-1),2)</f>
        <v>#N/A</v>
      </c>
      <c r="S617" s="92">
        <f>ROUND($B617*S$610*S616,2)</f>
        <v>0</v>
      </c>
      <c r="T617" s="92">
        <f t="shared" ref="T617:AA617" si="37">ROUND($B617*T$610,2)</f>
        <v>0</v>
      </c>
      <c r="U617" s="92">
        <f t="shared" si="37"/>
        <v>0</v>
      </c>
      <c r="V617" s="92">
        <f t="shared" si="37"/>
        <v>-0.01</v>
      </c>
      <c r="W617" s="92">
        <f t="shared" si="37"/>
        <v>0</v>
      </c>
      <c r="X617" s="92">
        <f t="shared" si="37"/>
        <v>-0.01</v>
      </c>
      <c r="Y617" s="92">
        <f t="shared" si="37"/>
        <v>0</v>
      </c>
      <c r="Z617" s="92">
        <f t="shared" si="37"/>
        <v>0</v>
      </c>
      <c r="AA617" s="92">
        <f t="shared" si="37"/>
        <v>0</v>
      </c>
      <c r="AB617" s="19">
        <f>SUM(U612:AA612)</f>
        <v>133</v>
      </c>
      <c r="AC617" s="105" t="str">
        <f>+F617</f>
        <v>PL</v>
      </c>
    </row>
    <row r="618" spans="1:29" x14ac:dyDescent="0.2">
      <c r="A618" s="9"/>
      <c r="B618" s="103">
        <v>-1</v>
      </c>
      <c r="C618" s="9"/>
      <c r="D618" s="8"/>
      <c r="F618" s="36"/>
      <c r="G618" s="17"/>
      <c r="H618" s="19"/>
      <c r="I618" s="19"/>
      <c r="J618" s="8"/>
      <c r="K618" s="17"/>
      <c r="L618" s="17"/>
      <c r="M618" s="17"/>
      <c r="N618" s="17"/>
      <c r="O618" s="17"/>
      <c r="P618" s="17"/>
      <c r="Q618" s="17"/>
      <c r="R618" s="38" t="e">
        <f>VLOOKUP((D619),'Pwr Factor'!$A$1:$B$52,2)</f>
        <v>#N/A</v>
      </c>
      <c r="S618" s="50">
        <v>0.25</v>
      </c>
      <c r="T618" s="17"/>
      <c r="U618" s="17"/>
      <c r="V618" s="17"/>
      <c r="W618" s="17"/>
      <c r="X618" s="17"/>
      <c r="Y618" s="17"/>
      <c r="Z618" s="17"/>
      <c r="AA618" s="17"/>
    </row>
    <row r="619" spans="1:29" x14ac:dyDescent="0.2">
      <c r="A619" s="1" t="s">
        <v>150</v>
      </c>
      <c r="B619" s="103">
        <f>IF(AND('AES Indiana Bill Calc.'!$D$17="PL",'AES Indiana Bill Calc.'!$D$18="Yes 25%",'AES Indiana Bill Calc.'!$D$20="No"),'AES Indiana Bill Calc.'!$D$19,-1)</f>
        <v>-1</v>
      </c>
      <c r="C619" s="103">
        <f>MAX(E619,$C$607)</f>
        <v>500</v>
      </c>
      <c r="D619" s="103" t="b">
        <f>IF(AND('AES Indiana Bill Calc.'!$D$17="PL",'AES Indiana Bill Calc.'!$D$18="Yes 25%",'AES Indiana Bill Calc.'!$D$20="No"),'AES Indiana Bill Calc.'!$D$22)</f>
        <v>0</v>
      </c>
      <c r="E619" s="103" t="b">
        <f>IF(AND('AES Indiana Bill Calc.'!$D$17="PL",'AES Indiana Bill Calc.'!$D$18="Yes 25%",'AES Indiana Bill Calc.'!$D$20="No"),'AES Indiana Bill Calc.'!$D$21)</f>
        <v>0</v>
      </c>
      <c r="F619" s="36" t="s">
        <v>62</v>
      </c>
      <c r="G619" s="42" t="e">
        <f>SUM(J619:M619,R619:AA619)</f>
        <v>#N/A</v>
      </c>
      <c r="H619" s="19" t="e">
        <f>IF(ISBLANK(B619),0,+#REF!/B619)</f>
        <v>#REF!</v>
      </c>
      <c r="I619" s="19"/>
      <c r="J619" s="109">
        <f>IF(ISBLANK(B619),0,+J$610)</f>
        <v>130</v>
      </c>
      <c r="K619" s="92">
        <f>ROUND($B619*K$610,2)</f>
        <v>-0.04</v>
      </c>
      <c r="L619" s="92">
        <f>IF($C619&gt;L$611,ROUND(L$611*L$610,2),ROUND($C619*L$610,2))</f>
        <v>14150</v>
      </c>
      <c r="M619" s="92">
        <f>IF($C619&gt;L$611,ROUND(($C619-L$611)*M$610,2),0)</f>
        <v>0</v>
      </c>
      <c r="N619" s="92">
        <f>K619</f>
        <v>-0.04</v>
      </c>
      <c r="O619" s="92"/>
      <c r="P619" s="92"/>
      <c r="Q619" s="92">
        <f>SUM(L619:M619)</f>
        <v>14150</v>
      </c>
      <c r="R619" s="110" t="e">
        <f>ROUND(SUM(K619:M619)*(R618-1),2)</f>
        <v>#N/A</v>
      </c>
      <c r="S619" s="92">
        <f>ROUND($B619*S$610*S618,2)</f>
        <v>0</v>
      </c>
      <c r="T619" s="92">
        <f t="shared" ref="T619:AA619" si="38">ROUND($B619*T$610,2)</f>
        <v>0</v>
      </c>
      <c r="U619" s="92">
        <f t="shared" si="38"/>
        <v>0</v>
      </c>
      <c r="V619" s="92">
        <f t="shared" si="38"/>
        <v>-0.01</v>
      </c>
      <c r="W619" s="92">
        <f t="shared" si="38"/>
        <v>0</v>
      </c>
      <c r="X619" s="92">
        <f t="shared" si="38"/>
        <v>-0.01</v>
      </c>
      <c r="Y619" s="92">
        <f t="shared" si="38"/>
        <v>0</v>
      </c>
      <c r="Z619" s="92">
        <f t="shared" si="38"/>
        <v>0</v>
      </c>
      <c r="AA619" s="92">
        <f t="shared" si="38"/>
        <v>0</v>
      </c>
      <c r="AB619" s="19">
        <f>SUM(U614:AA614)</f>
        <v>0</v>
      </c>
      <c r="AC619" s="105" t="str">
        <f>+F619</f>
        <v>PL</v>
      </c>
    </row>
    <row r="620" spans="1:29" x14ac:dyDescent="0.2">
      <c r="A620" s="9"/>
      <c r="B620" s="103">
        <v>-1</v>
      </c>
      <c r="C620" s="9"/>
      <c r="D620" s="8"/>
      <c r="F620" s="36"/>
      <c r="G620" s="17"/>
      <c r="H620" s="19"/>
      <c r="I620" s="19"/>
      <c r="J620" s="8"/>
      <c r="K620" s="17"/>
      <c r="L620" s="17"/>
      <c r="M620" s="17"/>
      <c r="N620" s="17"/>
      <c r="O620" s="17"/>
      <c r="P620" s="17"/>
      <c r="Q620" s="17"/>
      <c r="R620" s="38" t="e">
        <f>VLOOKUP((D621),'Pwr Factor'!$A$1:$B$52,2)</f>
        <v>#N/A</v>
      </c>
      <c r="S620" s="50">
        <v>0.1</v>
      </c>
      <c r="T620" s="17"/>
      <c r="U620" s="17"/>
      <c r="V620" s="17"/>
      <c r="W620" s="17"/>
      <c r="X620" s="17"/>
      <c r="Y620" s="17"/>
      <c r="Z620" s="17"/>
      <c r="AA620" s="17"/>
    </row>
    <row r="621" spans="1:29" x14ac:dyDescent="0.2">
      <c r="A621" s="1" t="s">
        <v>164</v>
      </c>
      <c r="B621" s="103">
        <f>IF(AND('AES Indiana Bill Calc.'!$D$17="PL",'AES Indiana Bill Calc.'!$D$18="Yes 10%",'AES Indiana Bill Calc.'!$D$20="No"),'AES Indiana Bill Calc.'!$D$19,-1)</f>
        <v>-1</v>
      </c>
      <c r="C621" s="103">
        <f>MAX(E621,$C$607)</f>
        <v>500</v>
      </c>
      <c r="D621" s="103" t="b">
        <f>IF(AND('AES Indiana Bill Calc.'!$D$17="PL",'AES Indiana Bill Calc.'!$D$18="Yes 10%",'AES Indiana Bill Calc.'!$D$20="No"),'AES Indiana Bill Calc.'!$D$22)</f>
        <v>0</v>
      </c>
      <c r="E621" s="103" t="b">
        <f>IF(AND('AES Indiana Bill Calc.'!$D$17="PL",'AES Indiana Bill Calc.'!$D$18="Yes 10%",'AES Indiana Bill Calc.'!$D$20="No"),'AES Indiana Bill Calc.'!$D$21)</f>
        <v>0</v>
      </c>
      <c r="F621" s="36" t="s">
        <v>62</v>
      </c>
      <c r="G621" s="42" t="e">
        <f>SUM(J621:M621,R621:AA621)</f>
        <v>#N/A</v>
      </c>
      <c r="H621" s="19" t="e">
        <f>IF(ISBLANK(B621),0,+#REF!/B621)</f>
        <v>#REF!</v>
      </c>
      <c r="I621" s="19"/>
      <c r="J621" s="109">
        <f>IF(ISBLANK(B621),0,+J$610)</f>
        <v>130</v>
      </c>
      <c r="K621" s="92">
        <f>ROUND($B621*K$610,2)</f>
        <v>-0.04</v>
      </c>
      <c r="L621" s="92">
        <f>IF($C621&gt;L$611,ROUND(L$611*L$610,2),ROUND($C621*L$610,2))</f>
        <v>14150</v>
      </c>
      <c r="M621" s="92">
        <f>IF($C621&gt;L$611,ROUND(($C621-L$611)*M$610,2),0)</f>
        <v>0</v>
      </c>
      <c r="N621" s="92">
        <f>K621</f>
        <v>-0.04</v>
      </c>
      <c r="O621" s="92"/>
      <c r="P621" s="92"/>
      <c r="Q621" s="92">
        <f>SUM(L621:M621)</f>
        <v>14150</v>
      </c>
      <c r="R621" s="110" t="e">
        <f>ROUND(SUM(K621:M621)*(R620-1),2)</f>
        <v>#N/A</v>
      </c>
      <c r="S621" s="92">
        <f>ROUND($B621*S$610*S620,2)</f>
        <v>0</v>
      </c>
      <c r="T621" s="92">
        <f t="shared" ref="T621:AA621" si="39">ROUND($B621*T$610,2)</f>
        <v>0</v>
      </c>
      <c r="U621" s="92">
        <f t="shared" si="39"/>
        <v>0</v>
      </c>
      <c r="V621" s="92">
        <f t="shared" si="39"/>
        <v>-0.01</v>
      </c>
      <c r="W621" s="92">
        <f t="shared" si="39"/>
        <v>0</v>
      </c>
      <c r="X621" s="92">
        <f t="shared" si="39"/>
        <v>-0.01</v>
      </c>
      <c r="Y621" s="92">
        <f t="shared" si="39"/>
        <v>0</v>
      </c>
      <c r="Z621" s="92">
        <f t="shared" si="39"/>
        <v>0</v>
      </c>
      <c r="AA621" s="92">
        <f t="shared" si="39"/>
        <v>0</v>
      </c>
      <c r="AB621" s="19">
        <f>SUM(U616:AA616)</f>
        <v>0</v>
      </c>
      <c r="AC621" s="105" t="str">
        <f>+F621</f>
        <v>PL</v>
      </c>
    </row>
    <row r="622" spans="1:29" x14ac:dyDescent="0.2">
      <c r="A622" s="9"/>
      <c r="B622" s="103">
        <v>-1</v>
      </c>
      <c r="C622" s="9"/>
      <c r="D622" s="8"/>
      <c r="F622" s="36"/>
      <c r="G622" s="17"/>
      <c r="H622" s="19"/>
      <c r="I622" s="19"/>
      <c r="J622" s="8"/>
      <c r="K622" s="17"/>
      <c r="L622" s="17"/>
      <c r="M622" s="17"/>
      <c r="N622" s="17"/>
      <c r="O622" s="17"/>
      <c r="P622" s="17"/>
      <c r="Q622" s="17"/>
      <c r="R622" s="38" t="e">
        <f>VLOOKUP((D623),'Pwr Factor'!$A$1:$B$52,2)</f>
        <v>#N/A</v>
      </c>
      <c r="S622" s="50">
        <v>0</v>
      </c>
      <c r="T622" s="17"/>
      <c r="U622" s="17"/>
      <c r="V622" s="17"/>
      <c r="W622" s="17"/>
      <c r="X622" s="17"/>
      <c r="Y622" s="17"/>
      <c r="Z622" s="17"/>
      <c r="AA622" s="17"/>
    </row>
    <row r="623" spans="1:29" x14ac:dyDescent="0.2">
      <c r="A623" s="1" t="s">
        <v>147</v>
      </c>
      <c r="B623" s="103">
        <f>IF(AND('AES Indiana Bill Calc.'!$D$17="PL",'AES Indiana Bill Calc.'!$D$18="No",'AES Indiana Bill Calc.'!$D$20="No"),'AES Indiana Bill Calc.'!$D$19,-1)</f>
        <v>-1</v>
      </c>
      <c r="C623" s="103">
        <f>MAX(E623,$C$607)</f>
        <v>500</v>
      </c>
      <c r="D623" s="103" t="b">
        <f>IF(AND('AES Indiana Bill Calc.'!$D$17="PL",'AES Indiana Bill Calc.'!$D$18="No",'AES Indiana Bill Calc.'!$D$20="No"),'AES Indiana Bill Calc.'!$D$22)</f>
        <v>0</v>
      </c>
      <c r="E623" s="103" t="b">
        <f>IF(AND('AES Indiana Bill Calc.'!$D$17="PL",'AES Indiana Bill Calc.'!$D$18="No",'AES Indiana Bill Calc.'!$D$20="No"),'AES Indiana Bill Calc.'!$D$21)</f>
        <v>0</v>
      </c>
      <c r="F623" s="36" t="s">
        <v>62</v>
      </c>
      <c r="G623" s="42" t="e">
        <f>SUM(J623:M623,R623:AA623)</f>
        <v>#N/A</v>
      </c>
      <c r="H623" s="19" t="e">
        <f>IF(ISBLANK(B623),0,+#REF!/B623)</f>
        <v>#REF!</v>
      </c>
      <c r="I623" s="19"/>
      <c r="J623" s="109">
        <f>IF(ISBLANK(B623),0,+J$610)</f>
        <v>130</v>
      </c>
      <c r="K623" s="92">
        <f>ROUND($B623*K$610,2)</f>
        <v>-0.04</v>
      </c>
      <c r="L623" s="92">
        <f>IF($C623&gt;L$611,ROUND(L$611*L$610,2),ROUND($C623*L$610,2))</f>
        <v>14150</v>
      </c>
      <c r="M623" s="92">
        <f>IF($C623&gt;L$611,ROUND(($C623-L$611)*M$610,2),0)</f>
        <v>0</v>
      </c>
      <c r="N623" s="92">
        <f>K623</f>
        <v>-0.04</v>
      </c>
      <c r="O623" s="92"/>
      <c r="P623" s="92"/>
      <c r="Q623" s="92">
        <f>SUM(L623:M623)</f>
        <v>14150</v>
      </c>
      <c r="R623" s="110" t="e">
        <f>ROUND(SUM(K623:M623)*(R622-1),2)</f>
        <v>#N/A</v>
      </c>
      <c r="S623" s="92">
        <f>ROUND($B623*S$610*S622,2)</f>
        <v>0</v>
      </c>
      <c r="T623" s="92">
        <f t="shared" ref="T623:AA623" si="40">ROUND($B623*T$610,2)</f>
        <v>0</v>
      </c>
      <c r="U623" s="92">
        <f t="shared" si="40"/>
        <v>0</v>
      </c>
      <c r="V623" s="92">
        <f t="shared" si="40"/>
        <v>-0.01</v>
      </c>
      <c r="W623" s="92">
        <f t="shared" si="40"/>
        <v>0</v>
      </c>
      <c r="X623" s="92">
        <f t="shared" si="40"/>
        <v>-0.01</v>
      </c>
      <c r="Y623" s="92">
        <f t="shared" si="40"/>
        <v>0</v>
      </c>
      <c r="Z623" s="92">
        <f t="shared" si="40"/>
        <v>0</v>
      </c>
      <c r="AA623" s="92">
        <f t="shared" si="40"/>
        <v>0</v>
      </c>
      <c r="AB623" s="19">
        <f>SUM(U618:AA618)</f>
        <v>0</v>
      </c>
      <c r="AC623" s="105" t="str">
        <f>+F623</f>
        <v>PL</v>
      </c>
    </row>
    <row r="624" spans="1:29" x14ac:dyDescent="0.2">
      <c r="A624" s="9"/>
      <c r="B624" s="103">
        <v>-1</v>
      </c>
      <c r="C624" s="9"/>
      <c r="D624" s="8"/>
      <c r="F624" s="36"/>
      <c r="G624" s="17"/>
      <c r="H624" s="19"/>
      <c r="I624" s="19"/>
      <c r="J624" s="8"/>
      <c r="K624" s="17"/>
      <c r="L624" s="17"/>
      <c r="M624" s="17"/>
      <c r="N624" s="17"/>
      <c r="O624" s="17"/>
      <c r="P624" s="17"/>
      <c r="Q624" s="17"/>
      <c r="R624" s="38" t="e">
        <f>VLOOKUP((D625),'Pwr Factor'!$A$1:$B$52,2)</f>
        <v>#N/A</v>
      </c>
      <c r="S624" s="50">
        <v>1</v>
      </c>
      <c r="T624" s="17"/>
      <c r="U624" s="17"/>
      <c r="V624" s="17"/>
      <c r="W624" s="17"/>
      <c r="X624" s="17"/>
      <c r="Y624" s="17"/>
      <c r="Z624" s="17"/>
      <c r="AA624" s="17"/>
    </row>
    <row r="625" spans="1:29" x14ac:dyDescent="0.2">
      <c r="A625" s="1" t="s">
        <v>148</v>
      </c>
      <c r="B625" s="103">
        <f>IF(AND('AES Indiana Bill Calc.'!$D$17="PL",'AES Indiana Bill Calc.'!$D$18="Yes 100%",'AES Indiana Bill Calc.'!$D$20="Yes Before 2018"),'AES Indiana Bill Calc.'!$D$19,-1)</f>
        <v>-1</v>
      </c>
      <c r="C625" s="103">
        <f>MAX(E625,$C$607)</f>
        <v>500</v>
      </c>
      <c r="D625" s="103" t="b">
        <f>IF(AND('AES Indiana Bill Calc.'!$D$17="PL",'AES Indiana Bill Calc.'!$D$18="Yes 100%",'AES Indiana Bill Calc.'!$D$20="Yes Before 2018"),'AES Indiana Bill Calc.'!$D$22)</f>
        <v>0</v>
      </c>
      <c r="E625" s="103" t="b">
        <f>IF(AND('AES Indiana Bill Calc.'!$D$17="PL",'AES Indiana Bill Calc.'!$D$18="Yes 100%",'AES Indiana Bill Calc.'!$D$20="Yes Before 2018"),'AES Indiana Bill Calc.'!$D$21)</f>
        <v>0</v>
      </c>
      <c r="F625" s="36" t="s">
        <v>213</v>
      </c>
      <c r="G625" s="42" t="e">
        <f>SUM(J625:M625,R625:AA625)</f>
        <v>#N/A</v>
      </c>
      <c r="H625" s="19" t="e">
        <f>IF(ISBLANK(B625),0,+#REF!/B625)</f>
        <v>#REF!</v>
      </c>
      <c r="I625" s="19"/>
      <c r="J625" s="109">
        <f>IF(ISBLANK(B625),0,+J$610)</f>
        <v>130</v>
      </c>
      <c r="K625" s="92">
        <f>ROUND($B625*K$610,2)</f>
        <v>-0.04</v>
      </c>
      <c r="L625" s="92">
        <f>IF($C625&gt;L$611,ROUND(L$611*L$610,2),ROUND($C625*L$610,2))</f>
        <v>14150</v>
      </c>
      <c r="M625" s="92">
        <f>IF($C625&gt;L$611,ROUND(($C625-L$611)*M$610,2),0)</f>
        <v>0</v>
      </c>
      <c r="N625" s="92">
        <f>K625</f>
        <v>-0.04</v>
      </c>
      <c r="O625" s="92"/>
      <c r="P625" s="92"/>
      <c r="Q625" s="92">
        <f>SUM(L625:M625)</f>
        <v>14150</v>
      </c>
      <c r="R625" s="110" t="e">
        <f>ROUND(SUM(K625:M625)*(R624-1),2)</f>
        <v>#N/A</v>
      </c>
      <c r="S625" s="92">
        <f>ROUND($B625*S$610*S624,2)</f>
        <v>0</v>
      </c>
      <c r="T625" s="92">
        <f>ROUND($B625*T$610,2)</f>
        <v>0</v>
      </c>
      <c r="U625" s="92">
        <f>ROUND($B625*U$610,2)</f>
        <v>0</v>
      </c>
      <c r="V625" s="92">
        <f>ROUND($B625*V$601,2)</f>
        <v>0</v>
      </c>
      <c r="W625" s="92">
        <f>ROUND($B625*W$610,2)</f>
        <v>0</v>
      </c>
      <c r="X625" s="92">
        <f>ROUND($B625*X$610,2)</f>
        <v>-0.01</v>
      </c>
      <c r="Y625" s="92">
        <f>ROUND($B625*Y$610,2)</f>
        <v>0</v>
      </c>
      <c r="Z625" s="92">
        <f>ROUND($B625*Z$610,2)</f>
        <v>0</v>
      </c>
      <c r="AA625" s="92">
        <f>ROUND($B625*AA$610,2)</f>
        <v>0</v>
      </c>
      <c r="AB625" s="19">
        <f>SUM(U620:AA620)</f>
        <v>0</v>
      </c>
      <c r="AC625" s="105" t="str">
        <f>+F625</f>
        <v>PL7</v>
      </c>
    </row>
    <row r="626" spans="1:29" x14ac:dyDescent="0.2">
      <c r="A626" s="9"/>
      <c r="B626" s="103">
        <v>-1</v>
      </c>
      <c r="C626" s="9"/>
      <c r="D626" s="8"/>
      <c r="F626" s="36"/>
      <c r="G626" s="17"/>
      <c r="H626" s="19"/>
      <c r="I626" s="19"/>
      <c r="J626" s="8"/>
      <c r="K626" s="17"/>
      <c r="L626" s="17"/>
      <c r="M626" s="17"/>
      <c r="N626" s="17"/>
      <c r="O626" s="17"/>
      <c r="P626" s="17"/>
      <c r="Q626" s="17"/>
      <c r="R626" s="38" t="e">
        <f>VLOOKUP((D627),'Pwr Factor'!$A$1:$B$52,2)</f>
        <v>#N/A</v>
      </c>
      <c r="S626" s="50">
        <v>0.5</v>
      </c>
      <c r="T626" s="17"/>
      <c r="U626" s="17"/>
      <c r="V626" s="17"/>
      <c r="W626" s="17"/>
      <c r="X626" s="17"/>
      <c r="Y626" s="17"/>
      <c r="Z626" s="17"/>
      <c r="AA626" s="17"/>
    </row>
    <row r="627" spans="1:29" x14ac:dyDescent="0.2">
      <c r="A627" s="1" t="s">
        <v>149</v>
      </c>
      <c r="B627" s="103">
        <f>IF(AND('AES Indiana Bill Calc.'!$D$17="PL",'AES Indiana Bill Calc.'!$D$18="Yes 50%",'AES Indiana Bill Calc.'!$D$20="Yes Before 2018"),'AES Indiana Bill Calc.'!$D$19,-1)</f>
        <v>-1</v>
      </c>
      <c r="C627" s="103">
        <f>MAX(E627,$C$607)</f>
        <v>500</v>
      </c>
      <c r="D627" s="103" t="b">
        <f>IF(AND('AES Indiana Bill Calc.'!$D$17="PL",'AES Indiana Bill Calc.'!$D$18="Yes 50%",'AES Indiana Bill Calc.'!$D$20="Yes Before 2018"),'AES Indiana Bill Calc.'!$D$22)</f>
        <v>0</v>
      </c>
      <c r="E627" s="103" t="b">
        <f>IF(AND('AES Indiana Bill Calc.'!$D$17="PL",'AES Indiana Bill Calc.'!$D$18="Yes 50%",'AES Indiana Bill Calc.'!$D$20="Yes Before 2018"),'AES Indiana Bill Calc.'!$D$21)</f>
        <v>0</v>
      </c>
      <c r="F627" s="36" t="s">
        <v>213</v>
      </c>
      <c r="G627" s="42" t="e">
        <f>SUM(J627:M627,R627:AA627)</f>
        <v>#N/A</v>
      </c>
      <c r="H627" s="19" t="e">
        <f>IF(ISBLANK(B627),0,+#REF!/B627)</f>
        <v>#REF!</v>
      </c>
      <c r="I627" s="19"/>
      <c r="J627" s="109">
        <f>IF(ISBLANK(B627),0,+J$610)</f>
        <v>130</v>
      </c>
      <c r="K627" s="92">
        <f>ROUND($B627*K$610,2)</f>
        <v>-0.04</v>
      </c>
      <c r="L627" s="92">
        <f>IF($C627&gt;L$611,ROUND(L$611*L$610,2),ROUND($C627*L$610,2))</f>
        <v>14150</v>
      </c>
      <c r="M627" s="92">
        <f>IF($C627&gt;L$611,ROUND(($C627-L$611)*M$610,2),0)</f>
        <v>0</v>
      </c>
      <c r="N627" s="92">
        <f>K627</f>
        <v>-0.04</v>
      </c>
      <c r="O627" s="92"/>
      <c r="P627" s="92"/>
      <c r="Q627" s="92">
        <f>SUM(L627:M627)</f>
        <v>14150</v>
      </c>
      <c r="R627" s="110" t="e">
        <f>ROUND(SUM(K627:M627)*(R626-1),2)</f>
        <v>#N/A</v>
      </c>
      <c r="S627" s="92">
        <f>ROUND($B627*S$610*S626,2)</f>
        <v>0</v>
      </c>
      <c r="T627" s="92">
        <f>ROUND($B627*T$610,2)</f>
        <v>0</v>
      </c>
      <c r="U627" s="92">
        <f>ROUND($B627*U$610,2)</f>
        <v>0</v>
      </c>
      <c r="V627" s="92">
        <f>ROUND($B627*V$601,2)</f>
        <v>0</v>
      </c>
      <c r="W627" s="92">
        <f>ROUND($B627*W$610,2)</f>
        <v>0</v>
      </c>
      <c r="X627" s="92">
        <f>ROUND($B627*X$610,2)</f>
        <v>-0.01</v>
      </c>
      <c r="Y627" s="92">
        <f>ROUND($B627*Y$610,2)</f>
        <v>0</v>
      </c>
      <c r="Z627" s="92">
        <f>ROUND($B627*Z$610,2)</f>
        <v>0</v>
      </c>
      <c r="AA627" s="92">
        <f>ROUND($B627*AA$610,2)</f>
        <v>0</v>
      </c>
      <c r="AB627" s="19">
        <f>SUM(U622:AA622)</f>
        <v>0</v>
      </c>
      <c r="AC627" s="105" t="str">
        <f>+F627</f>
        <v>PL7</v>
      </c>
    </row>
    <row r="628" spans="1:29" x14ac:dyDescent="0.2">
      <c r="A628" s="9"/>
      <c r="B628" s="103">
        <v>-1</v>
      </c>
      <c r="C628" s="9"/>
      <c r="D628" s="8"/>
      <c r="F628" s="36"/>
      <c r="G628" s="17"/>
      <c r="H628" s="19"/>
      <c r="I628" s="19"/>
      <c r="J628" s="8"/>
      <c r="K628" s="17"/>
      <c r="L628" s="17"/>
      <c r="M628" s="17"/>
      <c r="N628" s="17"/>
      <c r="O628" s="17"/>
      <c r="P628" s="17"/>
      <c r="Q628" s="17"/>
      <c r="R628" s="38" t="e">
        <f>VLOOKUP((D629),'Pwr Factor'!$A$1:$B$52,2)</f>
        <v>#N/A</v>
      </c>
      <c r="S628" s="50">
        <v>0.25</v>
      </c>
      <c r="T628" s="17"/>
      <c r="U628" s="17"/>
      <c r="V628" s="17"/>
      <c r="W628" s="17"/>
      <c r="X628" s="17"/>
      <c r="Y628" s="17"/>
      <c r="Z628" s="17"/>
      <c r="AA628" s="17"/>
    </row>
    <row r="629" spans="1:29" x14ac:dyDescent="0.2">
      <c r="A629" s="1" t="s">
        <v>150</v>
      </c>
      <c r="B629" s="103">
        <f>IF(AND('AES Indiana Bill Calc.'!$D$17="PL",'AES Indiana Bill Calc.'!$D$18="Yes 25%",'AES Indiana Bill Calc.'!$D$20="Yes Before 2018"),'AES Indiana Bill Calc.'!$D$19,-1)</f>
        <v>-1</v>
      </c>
      <c r="C629" s="103">
        <f>MAX(E629,$C$607)</f>
        <v>500</v>
      </c>
      <c r="D629" s="103" t="b">
        <f>IF(AND('AES Indiana Bill Calc.'!$D$17="PL",'AES Indiana Bill Calc.'!$D$18="Yes 25%",'AES Indiana Bill Calc.'!$D$20="Yes Before 2018"),'AES Indiana Bill Calc.'!$D$22)</f>
        <v>0</v>
      </c>
      <c r="E629" s="103" t="b">
        <f>IF(AND('AES Indiana Bill Calc.'!$D$17="PL",'AES Indiana Bill Calc.'!$D$18="Yes 25%",'AES Indiana Bill Calc.'!$D$20="Yes Before 2018"),'AES Indiana Bill Calc.'!$D$21)</f>
        <v>0</v>
      </c>
      <c r="F629" s="36" t="s">
        <v>213</v>
      </c>
      <c r="G629" s="42" t="e">
        <f>SUM(J629:M629,R629:AA629)</f>
        <v>#N/A</v>
      </c>
      <c r="H629" s="19" t="e">
        <f>IF(ISBLANK(B629),0,+#REF!/B629)</f>
        <v>#REF!</v>
      </c>
      <c r="I629" s="19"/>
      <c r="J629" s="109">
        <f>IF(ISBLANK(B629),0,+J$610)</f>
        <v>130</v>
      </c>
      <c r="K629" s="92">
        <f>ROUND($B629*K$610,2)</f>
        <v>-0.04</v>
      </c>
      <c r="L629" s="92">
        <f>IF($C629&gt;L$611,ROUND(L$611*L$610,2),ROUND($C629*L$610,2))</f>
        <v>14150</v>
      </c>
      <c r="M629" s="92">
        <f>IF($C629&gt;L$611,ROUND(($C629-L$611)*M$610,2),0)</f>
        <v>0</v>
      </c>
      <c r="N629" s="92">
        <f>K629</f>
        <v>-0.04</v>
      </c>
      <c r="O629" s="92"/>
      <c r="P629" s="92"/>
      <c r="Q629" s="92">
        <f>SUM(L629:M629)</f>
        <v>14150</v>
      </c>
      <c r="R629" s="110" t="e">
        <f>ROUND(SUM(K629:M629)*(R628-1),2)</f>
        <v>#N/A</v>
      </c>
      <c r="S629" s="92">
        <f>ROUND($B629*S$610*S628,2)</f>
        <v>0</v>
      </c>
      <c r="T629" s="92">
        <f>ROUND($B629*T$610,2)</f>
        <v>0</v>
      </c>
      <c r="U629" s="92">
        <f>ROUND($B629*U$610,2)</f>
        <v>0</v>
      </c>
      <c r="V629" s="92">
        <f>ROUND($B629*V$601,2)</f>
        <v>0</v>
      </c>
      <c r="W629" s="92">
        <f>ROUND($B629*W$610,2)</f>
        <v>0</v>
      </c>
      <c r="X629" s="92">
        <f>ROUND($B629*X$610,2)</f>
        <v>-0.01</v>
      </c>
      <c r="Y629" s="92">
        <f>ROUND($B629*Y$610,2)</f>
        <v>0</v>
      </c>
      <c r="Z629" s="92">
        <f>ROUND($B629*Z$610,2)</f>
        <v>0</v>
      </c>
      <c r="AA629" s="92">
        <f>ROUND($B629*AA$610,2)</f>
        <v>0</v>
      </c>
      <c r="AB629" s="19">
        <f>SUM(U624:AA624)</f>
        <v>0</v>
      </c>
      <c r="AC629" s="105" t="str">
        <f>+F629</f>
        <v>PL7</v>
      </c>
    </row>
    <row r="630" spans="1:29" x14ac:dyDescent="0.2">
      <c r="A630" s="9"/>
      <c r="B630" s="103">
        <v>-1</v>
      </c>
      <c r="D630" s="8"/>
      <c r="E630" s="9"/>
      <c r="F630" s="36"/>
      <c r="G630" s="17"/>
      <c r="H630" s="19"/>
      <c r="I630" s="19"/>
      <c r="J630" s="8"/>
      <c r="K630" s="17"/>
      <c r="L630" s="17"/>
      <c r="M630" s="17"/>
      <c r="N630" s="17"/>
      <c r="O630" s="17"/>
      <c r="P630" s="17"/>
      <c r="Q630" s="17"/>
      <c r="R630" s="38" t="e">
        <f>VLOOKUP((D631),'Pwr Factor'!$A$1:$B$52,2)</f>
        <v>#N/A</v>
      </c>
      <c r="S630" s="50">
        <v>0.1</v>
      </c>
      <c r="T630" s="17"/>
      <c r="U630" s="17"/>
      <c r="V630" s="17"/>
      <c r="W630" s="17"/>
      <c r="X630" s="17"/>
      <c r="Y630" s="17"/>
      <c r="Z630" s="17"/>
      <c r="AA630" s="17"/>
    </row>
    <row r="631" spans="1:29" x14ac:dyDescent="0.2">
      <c r="A631" s="1" t="s">
        <v>164</v>
      </c>
      <c r="B631" s="103">
        <f>IF(AND('AES Indiana Bill Calc.'!$D$17="PL",'AES Indiana Bill Calc.'!$D$18="Yes 10%",'AES Indiana Bill Calc.'!$D$20="Yes Before 2018"),'AES Indiana Bill Calc.'!$D$19,-1)</f>
        <v>-1</v>
      </c>
      <c r="C631" s="103">
        <f>MAX(E631,$C$607)</f>
        <v>500</v>
      </c>
      <c r="D631" s="103" t="b">
        <f>IF(AND('AES Indiana Bill Calc.'!$D$17="PL",'AES Indiana Bill Calc.'!$D$18="Yes 10%",'AES Indiana Bill Calc.'!$D$20="Yes Before 2018"),'AES Indiana Bill Calc.'!$D$22)</f>
        <v>0</v>
      </c>
      <c r="E631" s="103" t="b">
        <f>IF(AND('AES Indiana Bill Calc.'!$D$17="PL",'AES Indiana Bill Calc.'!$D$18="Yes 10%",'AES Indiana Bill Calc.'!$D$20="Yes Before 2018"),'AES Indiana Bill Calc.'!$D$21)</f>
        <v>0</v>
      </c>
      <c r="F631" s="36" t="s">
        <v>213</v>
      </c>
      <c r="G631" s="42" t="e">
        <f>SUM(J631:M631,R631:AA631)</f>
        <v>#N/A</v>
      </c>
      <c r="H631" s="19" t="e">
        <f>IF(ISBLANK(B631),0,+#REF!/B631)</f>
        <v>#REF!</v>
      </c>
      <c r="I631" s="19"/>
      <c r="J631" s="109">
        <f>IF(ISBLANK(B631),0,+J$610)</f>
        <v>130</v>
      </c>
      <c r="K631" s="92">
        <f>ROUND($B631*K$610,2)</f>
        <v>-0.04</v>
      </c>
      <c r="L631" s="92">
        <f>IF($C631&gt;L$611,ROUND(L$611*L$610,2),ROUND($C631*L$610,2))</f>
        <v>14150</v>
      </c>
      <c r="M631" s="92">
        <f>IF($C631&gt;L$611,ROUND(($C631-L$611)*M$610,2),0)</f>
        <v>0</v>
      </c>
      <c r="N631" s="92">
        <f>K631</f>
        <v>-0.04</v>
      </c>
      <c r="O631" s="92"/>
      <c r="P631" s="92"/>
      <c r="Q631" s="92">
        <f>SUM(L631:M631)</f>
        <v>14150</v>
      </c>
      <c r="R631" s="110" t="e">
        <f>ROUND(SUM(K631:M631)*(R630-1),2)</f>
        <v>#N/A</v>
      </c>
      <c r="S631" s="92">
        <f>ROUND($B631*S$610*S630,2)</f>
        <v>0</v>
      </c>
      <c r="T631" s="92">
        <f>ROUND($B631*T$610,2)</f>
        <v>0</v>
      </c>
      <c r="U631" s="92">
        <f>ROUND($B631*U$610,2)</f>
        <v>0</v>
      </c>
      <c r="V631" s="92">
        <f>ROUND($B631*V$601,2)</f>
        <v>0</v>
      </c>
      <c r="W631" s="92">
        <f>ROUND($B631*W$610,2)</f>
        <v>0</v>
      </c>
      <c r="X631" s="92">
        <f>ROUND($B631*X$610,2)</f>
        <v>-0.01</v>
      </c>
      <c r="Y631" s="92">
        <f>ROUND($B631*Y$610,2)</f>
        <v>0</v>
      </c>
      <c r="Z631" s="92">
        <f>ROUND($B631*Z$610,2)</f>
        <v>0</v>
      </c>
      <c r="AA631" s="92">
        <f>ROUND($B631*AA$610,2)</f>
        <v>0</v>
      </c>
      <c r="AB631" s="19">
        <f>SUM(U626:AA626)</f>
        <v>0</v>
      </c>
      <c r="AC631" s="105" t="str">
        <f>+F631</f>
        <v>PL7</v>
      </c>
    </row>
    <row r="632" spans="1:29" x14ac:dyDescent="0.2">
      <c r="A632" s="9"/>
      <c r="B632" s="103">
        <v>-1</v>
      </c>
      <c r="D632" s="8"/>
      <c r="E632" s="9"/>
      <c r="F632" s="36"/>
      <c r="G632" s="17"/>
      <c r="H632" s="19"/>
      <c r="I632" s="19"/>
      <c r="J632" s="8"/>
      <c r="K632" s="17"/>
      <c r="L632" s="17"/>
      <c r="M632" s="17"/>
      <c r="N632" s="17"/>
      <c r="O632" s="17"/>
      <c r="P632" s="17"/>
      <c r="Q632" s="17"/>
      <c r="R632" s="38" t="e">
        <f>VLOOKUP((D633),'Pwr Factor'!$A$1:$B$52,2)</f>
        <v>#N/A</v>
      </c>
      <c r="S632" s="50">
        <v>0</v>
      </c>
      <c r="T632" s="17"/>
      <c r="U632" s="17"/>
      <c r="V632" s="17"/>
      <c r="W632" s="17"/>
      <c r="X632" s="17"/>
      <c r="Y632" s="17"/>
      <c r="Z632" s="17"/>
      <c r="AA632" s="17"/>
    </row>
    <row r="633" spans="1:29" x14ac:dyDescent="0.2">
      <c r="A633" s="1" t="s">
        <v>147</v>
      </c>
      <c r="B633" s="103">
        <f>IF(AND('AES Indiana Bill Calc.'!$D$17="PL",'AES Indiana Bill Calc.'!$D$18="No",'AES Indiana Bill Calc.'!$D$20="Yes Before 2018"),'AES Indiana Bill Calc.'!$D$19,-1)</f>
        <v>-1</v>
      </c>
      <c r="C633" s="103">
        <f>MAX(E633,$C$607)</f>
        <v>500</v>
      </c>
      <c r="D633" s="103" t="b">
        <f>IF(AND('AES Indiana Bill Calc.'!$D$17="PL",'AES Indiana Bill Calc.'!$D$18="No",'AES Indiana Bill Calc.'!$D$20="Yes Before 2018"),'AES Indiana Bill Calc.'!$D$22)</f>
        <v>0</v>
      </c>
      <c r="E633" s="103" t="b">
        <f>IF(AND('AES Indiana Bill Calc.'!$D$17="PL",'AES Indiana Bill Calc.'!$D$18="No",'AES Indiana Bill Calc.'!$D$20="Yes Before 2018"),'AES Indiana Bill Calc.'!$D$21)</f>
        <v>0</v>
      </c>
      <c r="F633" s="36" t="s">
        <v>213</v>
      </c>
      <c r="G633" s="42" t="e">
        <f>SUM(J633:M633,R633:AA633)</f>
        <v>#N/A</v>
      </c>
      <c r="H633" s="19" t="e">
        <f>IF(ISBLANK(B633),0,+#REF!/B633)</f>
        <v>#REF!</v>
      </c>
      <c r="I633" s="19"/>
      <c r="J633" s="109">
        <f>IF(ISBLANK(B633),0,+J$610)</f>
        <v>130</v>
      </c>
      <c r="K633" s="92">
        <f>ROUND($B633*K$610,2)</f>
        <v>-0.04</v>
      </c>
      <c r="L633" s="92">
        <f>IF($C633&gt;L$611,ROUND(L$611*L$610,2),ROUND($C633*L$610,2))</f>
        <v>14150</v>
      </c>
      <c r="M633" s="92">
        <f>IF($C633&gt;L$611,ROUND(($C633-L$611)*M$610,2),0)</f>
        <v>0</v>
      </c>
      <c r="N633" s="92">
        <f>K633</f>
        <v>-0.04</v>
      </c>
      <c r="O633" s="92"/>
      <c r="P633" s="92"/>
      <c r="Q633" s="92">
        <f>SUM(L633:M633)</f>
        <v>14150</v>
      </c>
      <c r="R633" s="110" t="e">
        <f>ROUND(SUM(K633:M633)*(R632-1),2)</f>
        <v>#N/A</v>
      </c>
      <c r="S633" s="92">
        <f>ROUND($B633*S$610*S632,2)</f>
        <v>0</v>
      </c>
      <c r="T633" s="92">
        <f>ROUND($B633*T$610,2)</f>
        <v>0</v>
      </c>
      <c r="U633" s="92">
        <f>ROUND($B633*U$610,2)</f>
        <v>0</v>
      </c>
      <c r="V633" s="92">
        <f>ROUND($B633*V$601,2)</f>
        <v>0</v>
      </c>
      <c r="W633" s="92">
        <f>ROUND($B633*W$610,2)</f>
        <v>0</v>
      </c>
      <c r="X633" s="92">
        <f>ROUND($B633*X$610,2)</f>
        <v>-0.01</v>
      </c>
      <c r="Y633" s="92">
        <f>ROUND($B633*Y$610,2)</f>
        <v>0</v>
      </c>
      <c r="Z633" s="92">
        <f>ROUND($B633*Z$610,2)</f>
        <v>0</v>
      </c>
      <c r="AA633" s="92">
        <f>ROUND($B633*AA$610,2)</f>
        <v>0</v>
      </c>
      <c r="AB633" s="19">
        <f>SUM(U628:AA628)</f>
        <v>0</v>
      </c>
      <c r="AC633" s="105" t="str">
        <f>+F633</f>
        <v>PL7</v>
      </c>
    </row>
    <row r="634" spans="1:29" ht="13.5" customHeight="1" x14ac:dyDescent="0.2">
      <c r="B634" s="103">
        <v>-1</v>
      </c>
      <c r="D634" s="8"/>
      <c r="E634" s="9"/>
      <c r="F634" s="36"/>
      <c r="G634" s="17"/>
      <c r="H634" s="19"/>
      <c r="I634" s="19"/>
      <c r="J634" s="51"/>
      <c r="K634" s="17"/>
      <c r="L634" s="17"/>
      <c r="M634" s="17"/>
      <c r="N634" s="17"/>
      <c r="O634" s="17"/>
      <c r="P634" s="17"/>
      <c r="Q634" s="17"/>
      <c r="R634" s="38" t="e">
        <f>VLOOKUP((D635),'Pwr Factor'!$A$1:$B$52,2)</f>
        <v>#N/A</v>
      </c>
      <c r="S634" s="50">
        <v>1</v>
      </c>
      <c r="T634" s="17"/>
      <c r="U634" s="17"/>
      <c r="V634" s="8"/>
      <c r="W634" s="17"/>
      <c r="X634" s="17"/>
      <c r="Y634" s="17"/>
      <c r="Z634" s="17"/>
      <c r="AA634" s="17"/>
      <c r="AB634" s="19"/>
      <c r="AC634" s="67"/>
    </row>
    <row r="635" spans="1:29" x14ac:dyDescent="0.2">
      <c r="A635" s="1" t="s">
        <v>148</v>
      </c>
      <c r="B635" s="103">
        <f>IF(AND('AES Indiana Bill Calc.'!$D$17="PL",'AES Indiana Bill Calc.'!$D$18="Yes 100%",'AES Indiana Bill Calc.'!$D$20="Yes 2018"),'AES Indiana Bill Calc.'!$D$19,-1)</f>
        <v>-1</v>
      </c>
      <c r="C635" s="103">
        <f>MAX(E635,$C$607)</f>
        <v>500</v>
      </c>
      <c r="D635" s="103" t="b">
        <f>IF(AND('AES Indiana Bill Calc.'!$D$17="PL",'AES Indiana Bill Calc.'!$D$18="Yes 100%",'AES Indiana Bill Calc.'!$D$20="Yes 2018"),'AES Indiana Bill Calc.'!$D$22)</f>
        <v>0</v>
      </c>
      <c r="E635" s="103" t="b">
        <f>IF(AND('AES Indiana Bill Calc.'!$D$17="PL",'AES Indiana Bill Calc.'!$D$18="Yes 100%",'AES Indiana Bill Calc.'!$D$20="Yes 2018"),'AES Indiana Bill Calc.'!$D$21)</f>
        <v>0</v>
      </c>
      <c r="F635" s="36" t="s">
        <v>214</v>
      </c>
      <c r="G635" s="42" t="e">
        <f>SUM(J635:M635,R635:AA635)</f>
        <v>#N/A</v>
      </c>
      <c r="H635" s="19" t="e">
        <f>IF(ISBLANK(B635),0,+#REF!/B635)</f>
        <v>#REF!</v>
      </c>
      <c r="I635" s="19"/>
      <c r="J635" s="88">
        <f>IF(ISBLANK(B635),0,+J$610)</f>
        <v>130</v>
      </c>
      <c r="K635" s="42">
        <f>ROUND($B635*K$610,2)</f>
        <v>-0.04</v>
      </c>
      <c r="L635" s="92">
        <f>IF($C635&gt;L$611,ROUND(L$611*L$610,2),ROUND($C635*L$610,2))</f>
        <v>14150</v>
      </c>
      <c r="M635" s="92">
        <f>IF($C635&gt;L$611,ROUND(($C635-L$611)*M$610,2),0)</f>
        <v>0</v>
      </c>
      <c r="N635" s="92">
        <f>K635</f>
        <v>-0.04</v>
      </c>
      <c r="O635" s="42"/>
      <c r="P635" s="42"/>
      <c r="Q635" s="92">
        <f>SUM(L635:M635)</f>
        <v>14150</v>
      </c>
      <c r="R635" s="82" t="e">
        <f>ROUND(SUM(K635:M635)*(R634-1),2)</f>
        <v>#N/A</v>
      </c>
      <c r="S635" s="42">
        <f>ROUND($B635*S$610*S634,2)</f>
        <v>0</v>
      </c>
      <c r="T635" s="42">
        <f>ROUND($B635*T$610,2)</f>
        <v>0</v>
      </c>
      <c r="U635" s="42">
        <f>ROUND($B635*U$610,2)</f>
        <v>0</v>
      </c>
      <c r="V635" s="41">
        <f>ROUND($B635*V$602,2)</f>
        <v>0</v>
      </c>
      <c r="W635" s="42">
        <f>ROUND($B635*W$610,2)</f>
        <v>0</v>
      </c>
      <c r="X635" s="42">
        <f>ROUND($B635*X$610,2)</f>
        <v>-0.01</v>
      </c>
      <c r="Y635" s="42">
        <f>ROUND($B635*Y$610,2)</f>
        <v>0</v>
      </c>
      <c r="Z635" s="42">
        <f>ROUND($B635*Z$610,2)</f>
        <v>0</v>
      </c>
      <c r="AA635" s="42">
        <f>ROUND($B635*AA$610,2)</f>
        <v>0</v>
      </c>
      <c r="AB635" s="19">
        <f>SUM(U$610:AA$610)+(-V$610+V602)</f>
        <v>1.1973000000000001E-2</v>
      </c>
      <c r="AC635" s="94" t="str">
        <f>+F635</f>
        <v>PL8</v>
      </c>
    </row>
    <row r="636" spans="1:29" x14ac:dyDescent="0.2">
      <c r="A636" s="9"/>
      <c r="B636" s="103">
        <v>-1</v>
      </c>
      <c r="D636" s="8"/>
      <c r="E636" s="9"/>
      <c r="F636" s="36"/>
      <c r="G636" s="17"/>
      <c r="H636" s="19"/>
      <c r="I636" s="19"/>
      <c r="J636" s="51"/>
      <c r="K636" s="17"/>
      <c r="L636" s="17"/>
      <c r="M636" s="17"/>
      <c r="N636" s="17"/>
      <c r="O636" s="17"/>
      <c r="P636" s="17"/>
      <c r="Q636" s="17"/>
      <c r="R636" s="38" t="e">
        <f>VLOOKUP((D637),'Pwr Factor'!$A$1:$B$52,2)</f>
        <v>#N/A</v>
      </c>
      <c r="S636" s="50">
        <v>0.5</v>
      </c>
      <c r="T636" s="17"/>
      <c r="U636" s="17"/>
      <c r="V636" s="8"/>
      <c r="W636" s="17"/>
      <c r="X636" s="17"/>
      <c r="Y636" s="17"/>
      <c r="Z636" s="17"/>
      <c r="AA636" s="17"/>
      <c r="AB636" s="19"/>
      <c r="AC636" s="67"/>
    </row>
    <row r="637" spans="1:29" x14ac:dyDescent="0.2">
      <c r="A637" s="1" t="s">
        <v>149</v>
      </c>
      <c r="B637" s="103">
        <f>IF(AND('AES Indiana Bill Calc.'!$D$17="PL",'AES Indiana Bill Calc.'!$D$18="Yes 50%",'AES Indiana Bill Calc.'!$D$20="Yes 2018"),'AES Indiana Bill Calc.'!$D$19,-1)</f>
        <v>-1</v>
      </c>
      <c r="C637" s="103">
        <f>MAX(E637,$C$607)</f>
        <v>500</v>
      </c>
      <c r="D637" s="103" t="b">
        <f>IF(AND('AES Indiana Bill Calc.'!$D$17="PL",'AES Indiana Bill Calc.'!$D$18="Yes 50%",'AES Indiana Bill Calc.'!$D$20="Yes 2018"),'AES Indiana Bill Calc.'!$D$22)</f>
        <v>0</v>
      </c>
      <c r="E637" s="103" t="b">
        <f>IF(AND('AES Indiana Bill Calc.'!$D$17="PL",'AES Indiana Bill Calc.'!$D$18="Yes 50%",'AES Indiana Bill Calc.'!$D$20="Yes 2018"),'AES Indiana Bill Calc.'!$D$21)</f>
        <v>0</v>
      </c>
      <c r="F637" s="36" t="s">
        <v>214</v>
      </c>
      <c r="G637" s="42" t="e">
        <f>SUM(J637:M637,R637:AA637)</f>
        <v>#N/A</v>
      </c>
      <c r="H637" s="19" t="e">
        <f>IF(ISBLANK(B637),0,+#REF!/B637)</f>
        <v>#REF!</v>
      </c>
      <c r="I637" s="19"/>
      <c r="J637" s="88">
        <f>IF(ISBLANK(B637),0,+J$610)</f>
        <v>130</v>
      </c>
      <c r="K637" s="42">
        <f>ROUND($B637*K$610,2)</f>
        <v>-0.04</v>
      </c>
      <c r="L637" s="92">
        <f>IF($C637&gt;L$611,ROUND(L$611*L$610,2),ROUND($C637*L$610,2))</f>
        <v>14150</v>
      </c>
      <c r="M637" s="92">
        <f>IF($C637&gt;L$611,ROUND(($C637-L$611)*M$610,2),0)</f>
        <v>0</v>
      </c>
      <c r="N637" s="92">
        <f>K637</f>
        <v>-0.04</v>
      </c>
      <c r="O637" s="42"/>
      <c r="P637" s="42"/>
      <c r="Q637" s="92">
        <f>SUM(L637:M637)</f>
        <v>14150</v>
      </c>
      <c r="R637" s="82" t="e">
        <f>ROUND(SUM(K637:M637)*(R636-1),2)</f>
        <v>#N/A</v>
      </c>
      <c r="S637" s="42">
        <f>ROUND($B637*S$610*S636,2)</f>
        <v>0</v>
      </c>
      <c r="T637" s="42">
        <f>ROUND($B637*T$610,2)</f>
        <v>0</v>
      </c>
      <c r="U637" s="42">
        <f>ROUND($B637*U$610,2)</f>
        <v>0</v>
      </c>
      <c r="V637" s="41">
        <f>ROUND($B637*V$602,2)</f>
        <v>0</v>
      </c>
      <c r="W637" s="42">
        <f>ROUND($B637*W$610,2)</f>
        <v>0</v>
      </c>
      <c r="X637" s="42">
        <f>ROUND($B637*X$610,2)</f>
        <v>-0.01</v>
      </c>
      <c r="Y637" s="42">
        <f>ROUND($B637*Y$610,2)</f>
        <v>0</v>
      </c>
      <c r="Z637" s="42">
        <f>ROUND($B637*Z$610,2)</f>
        <v>0</v>
      </c>
      <c r="AA637" s="42">
        <f>ROUND($B637*AA$610,2)</f>
        <v>0</v>
      </c>
      <c r="AB637" s="19">
        <f>SUM(U$610:AA$610)+(-V$610+V604)</f>
        <v>1.2796000000000002E-2</v>
      </c>
      <c r="AC637" s="94" t="str">
        <f>+F637</f>
        <v>PL8</v>
      </c>
    </row>
    <row r="638" spans="1:29" x14ac:dyDescent="0.2">
      <c r="A638" s="9"/>
      <c r="B638" s="103">
        <v>-1</v>
      </c>
      <c r="D638" s="8"/>
      <c r="E638" s="9"/>
      <c r="F638" s="36"/>
      <c r="G638" s="17"/>
      <c r="H638" s="19"/>
      <c r="I638" s="19"/>
      <c r="J638" s="51"/>
      <c r="K638" s="17"/>
      <c r="L638" s="17"/>
      <c r="M638" s="17"/>
      <c r="N638" s="17"/>
      <c r="O638" s="17"/>
      <c r="P638" s="17"/>
      <c r="Q638" s="17"/>
      <c r="R638" s="38" t="e">
        <f>VLOOKUP((D639),'Pwr Factor'!$A$1:$B$52,2)</f>
        <v>#N/A</v>
      </c>
      <c r="S638" s="50">
        <v>0.25</v>
      </c>
      <c r="T638" s="17"/>
      <c r="U638" s="17"/>
      <c r="V638" s="8"/>
      <c r="W638" s="17"/>
      <c r="X638" s="17"/>
      <c r="Y638" s="17"/>
      <c r="Z638" s="17"/>
      <c r="AA638" s="17"/>
      <c r="AB638" s="19"/>
      <c r="AC638" s="67"/>
    </row>
    <row r="639" spans="1:29" x14ac:dyDescent="0.2">
      <c r="A639" s="1" t="s">
        <v>150</v>
      </c>
      <c r="B639" s="103">
        <f>IF(AND('AES Indiana Bill Calc.'!$D$17="PL",'AES Indiana Bill Calc.'!$D$18="Yes 25%",'AES Indiana Bill Calc.'!$D$20="Yes 2018"),'AES Indiana Bill Calc.'!$D$19,-1)</f>
        <v>-1</v>
      </c>
      <c r="C639" s="103">
        <f>MAX(E639,$C$607)</f>
        <v>500</v>
      </c>
      <c r="D639" s="103" t="b">
        <f>IF(AND('AES Indiana Bill Calc.'!$D$17="PL",'AES Indiana Bill Calc.'!$D$18="Yes 25%",'AES Indiana Bill Calc.'!$D$20="Yes 2018"),'AES Indiana Bill Calc.'!$D$22)</f>
        <v>0</v>
      </c>
      <c r="E639" s="103" t="b">
        <f>IF(AND('AES Indiana Bill Calc.'!$D$17="PL",'AES Indiana Bill Calc.'!$D$18="Yes 25%",'AES Indiana Bill Calc.'!$D$20="Yes 2018"),'AES Indiana Bill Calc.'!$D$21)</f>
        <v>0</v>
      </c>
      <c r="F639" s="36" t="s">
        <v>214</v>
      </c>
      <c r="G639" s="42" t="e">
        <f>SUM(J639:M639,R639:AA639)</f>
        <v>#N/A</v>
      </c>
      <c r="H639" s="19" t="e">
        <f>IF(ISBLANK(B639),0,+#REF!/B639)</f>
        <v>#REF!</v>
      </c>
      <c r="I639" s="19"/>
      <c r="J639" s="88">
        <f>IF(ISBLANK(B639),0,+J$610)</f>
        <v>130</v>
      </c>
      <c r="K639" s="42">
        <f>ROUND($B639*K$610,2)</f>
        <v>-0.04</v>
      </c>
      <c r="L639" s="92">
        <f>IF($C639&gt;L$611,ROUND(L$611*L$610,2),ROUND($C639*L$610,2))</f>
        <v>14150</v>
      </c>
      <c r="M639" s="92">
        <f>IF($C639&gt;L$611,ROUND(($C639-L$611)*M$610,2),0)</f>
        <v>0</v>
      </c>
      <c r="N639" s="92">
        <f>K639</f>
        <v>-0.04</v>
      </c>
      <c r="O639" s="42"/>
      <c r="P639" s="42"/>
      <c r="Q639" s="92">
        <f>SUM(L639:M639)</f>
        <v>14150</v>
      </c>
      <c r="R639" s="82" t="e">
        <f>ROUND(SUM(K639:M639)*(R638-1),2)</f>
        <v>#N/A</v>
      </c>
      <c r="S639" s="42">
        <f>ROUND($B639*S$610*S638,2)</f>
        <v>0</v>
      </c>
      <c r="T639" s="42">
        <f>ROUND($B639*T$610,2)</f>
        <v>0</v>
      </c>
      <c r="U639" s="42">
        <f>ROUND($B639*U$610,2)</f>
        <v>0</v>
      </c>
      <c r="V639" s="41">
        <f>ROUND($B639*V$602,2)</f>
        <v>0</v>
      </c>
      <c r="W639" s="42">
        <f>ROUND($B639*W$610,2)</f>
        <v>0</v>
      </c>
      <c r="X639" s="42">
        <f>ROUND($B639*X$610,2)</f>
        <v>-0.01</v>
      </c>
      <c r="Y639" s="42">
        <f>ROUND($B639*Y$610,2)</f>
        <v>0</v>
      </c>
      <c r="Z639" s="42">
        <f>ROUND($B639*Z$610,2)</f>
        <v>0</v>
      </c>
      <c r="AA639" s="42">
        <f>ROUND($B639*AA$610,2)</f>
        <v>0</v>
      </c>
      <c r="AB639" s="19">
        <f>SUM(U$610:AA$610)+(-V$610+V606)</f>
        <v>1.1855000000000001E-2</v>
      </c>
      <c r="AC639" s="94" t="str">
        <f>+F639</f>
        <v>PL8</v>
      </c>
    </row>
    <row r="640" spans="1:29" x14ac:dyDescent="0.2">
      <c r="A640" s="9"/>
      <c r="B640" s="103">
        <v>-1</v>
      </c>
      <c r="D640" s="8"/>
      <c r="E640" s="9"/>
      <c r="F640" s="36"/>
      <c r="G640" s="17"/>
      <c r="H640" s="19"/>
      <c r="I640" s="19"/>
      <c r="J640" s="51"/>
      <c r="K640" s="17"/>
      <c r="L640" s="17"/>
      <c r="M640" s="17"/>
      <c r="N640" s="17"/>
      <c r="O640" s="17"/>
      <c r="P640" s="17"/>
      <c r="Q640" s="17"/>
      <c r="R640" s="38" t="e">
        <f>VLOOKUP((D641),'Pwr Factor'!$A$1:$B$52,2)</f>
        <v>#N/A</v>
      </c>
      <c r="S640" s="50">
        <v>0.1</v>
      </c>
      <c r="T640" s="17"/>
      <c r="U640" s="17"/>
      <c r="V640" s="8"/>
      <c r="W640" s="17"/>
      <c r="X640" s="17"/>
      <c r="Y640" s="17"/>
      <c r="Z640" s="17"/>
      <c r="AA640" s="17"/>
      <c r="AB640" s="19"/>
      <c r="AC640" s="67"/>
    </row>
    <row r="641" spans="1:44" x14ac:dyDescent="0.2">
      <c r="A641" s="1" t="s">
        <v>164</v>
      </c>
      <c r="B641" s="103">
        <f>IF(AND('AES Indiana Bill Calc.'!$D$17="PL",'AES Indiana Bill Calc.'!$D$18="Yes 10%",'AES Indiana Bill Calc.'!$D$20="Yes 2018"),'AES Indiana Bill Calc.'!$D$19,-1)</f>
        <v>-1</v>
      </c>
      <c r="C641" s="103">
        <f>MAX(E641,$C$607)</f>
        <v>500</v>
      </c>
      <c r="D641" s="103" t="b">
        <f>IF(AND('AES Indiana Bill Calc.'!$D$17="PL",'AES Indiana Bill Calc.'!$D$18="Yes 10%",'AES Indiana Bill Calc.'!$D$20="Yes 2018"),'AES Indiana Bill Calc.'!$D$22)</f>
        <v>0</v>
      </c>
      <c r="E641" s="103" t="b">
        <f>IF(AND('AES Indiana Bill Calc.'!$D$17="PL",'AES Indiana Bill Calc.'!$D$18="Yes 10%",'AES Indiana Bill Calc.'!$D$20="Yes 2018"),'AES Indiana Bill Calc.'!$D$21)</f>
        <v>0</v>
      </c>
      <c r="F641" s="36" t="s">
        <v>214</v>
      </c>
      <c r="G641" s="42" t="e">
        <f>SUM(J641:M641,R641:AA641)</f>
        <v>#N/A</v>
      </c>
      <c r="H641" s="19" t="e">
        <f>IF(ISBLANK(B641),0,+#REF!/B641)</f>
        <v>#REF!</v>
      </c>
      <c r="I641" s="19"/>
      <c r="J641" s="88">
        <f>IF(ISBLANK(B641),0,+J$610)</f>
        <v>130</v>
      </c>
      <c r="K641" s="42">
        <f>ROUND($B641*K$610,2)</f>
        <v>-0.04</v>
      </c>
      <c r="L641" s="92">
        <f>IF($C641&gt;L$611,ROUND(L$611*L$610,2),ROUND($C641*L$610,2))</f>
        <v>14150</v>
      </c>
      <c r="M641" s="92">
        <f>IF($C641&gt;L$611,ROUND(($C641-L$611)*M$610,2),0)</f>
        <v>0</v>
      </c>
      <c r="N641" s="92">
        <f>K641</f>
        <v>-0.04</v>
      </c>
      <c r="O641" s="42"/>
      <c r="P641" s="42"/>
      <c r="Q641" s="92">
        <f>SUM(L641:M641)</f>
        <v>14150</v>
      </c>
      <c r="R641" s="82" t="e">
        <f>ROUND(SUM(K641:M641)*(R640-1),2)</f>
        <v>#N/A</v>
      </c>
      <c r="S641" s="42">
        <f>ROUND($B641*S$610*S640,2)</f>
        <v>0</v>
      </c>
      <c r="T641" s="42">
        <f>ROUND($B641*T$610,2)</f>
        <v>0</v>
      </c>
      <c r="U641" s="42">
        <f>ROUND($B641*U$610,2)</f>
        <v>0</v>
      </c>
      <c r="V641" s="41">
        <f>ROUND($B641*V$602,2)</f>
        <v>0</v>
      </c>
      <c r="W641" s="42">
        <f>ROUND($B641*W$610,2)</f>
        <v>0</v>
      </c>
      <c r="X641" s="42">
        <f>ROUND($B641*X$610,2)</f>
        <v>-0.01</v>
      </c>
      <c r="Y641" s="42">
        <f>ROUND($B641*Y$610,2)</f>
        <v>0</v>
      </c>
      <c r="Z641" s="42">
        <f>ROUND($B641*Z$610,2)</f>
        <v>0</v>
      </c>
      <c r="AA641" s="42">
        <f>ROUND($B641*AA$610,2)</f>
        <v>0</v>
      </c>
      <c r="AB641" s="19">
        <f>SUM(U$610:AA$610)+(-V$610+V611)</f>
        <v>1.1855000000000001E-2</v>
      </c>
      <c r="AC641" s="94" t="str">
        <f>+F641</f>
        <v>PL8</v>
      </c>
    </row>
    <row r="642" spans="1:44" x14ac:dyDescent="0.2">
      <c r="A642" s="9"/>
      <c r="B642" s="103">
        <v>-1</v>
      </c>
      <c r="D642" s="8"/>
      <c r="E642" s="9"/>
      <c r="F642" s="36"/>
      <c r="G642" s="17"/>
      <c r="H642" s="19"/>
      <c r="I642" s="19"/>
      <c r="J642" s="51"/>
      <c r="K642" s="17"/>
      <c r="L642" s="17"/>
      <c r="M642" s="17"/>
      <c r="N642" s="17"/>
      <c r="O642" s="17"/>
      <c r="P642" s="17"/>
      <c r="Q642" s="17"/>
      <c r="R642" s="38" t="e">
        <f>VLOOKUP((D643),'Pwr Factor'!$A$1:$B$52,2)</f>
        <v>#N/A</v>
      </c>
      <c r="S642" s="50">
        <v>0</v>
      </c>
      <c r="T642" s="17"/>
      <c r="U642" s="17"/>
      <c r="V642" s="8"/>
      <c r="W642" s="17"/>
      <c r="X642" s="17"/>
      <c r="Y642" s="17"/>
      <c r="Z642" s="17"/>
      <c r="AA642" s="17"/>
      <c r="AB642" s="19"/>
      <c r="AC642" s="67"/>
    </row>
    <row r="643" spans="1:44" x14ac:dyDescent="0.2">
      <c r="A643" s="1" t="s">
        <v>147</v>
      </c>
      <c r="B643" s="103">
        <f>IF(AND('AES Indiana Bill Calc.'!$D$17="PL",'AES Indiana Bill Calc.'!$D$18="No",'AES Indiana Bill Calc.'!$D$20="Yes 2018"),'AES Indiana Bill Calc.'!$D$19,-1)</f>
        <v>-1</v>
      </c>
      <c r="C643" s="103">
        <f>MAX(E643,$C$607)</f>
        <v>500</v>
      </c>
      <c r="D643" s="103" t="b">
        <f>IF(AND('AES Indiana Bill Calc.'!$D$17="PL",'AES Indiana Bill Calc.'!$D$18="No",'AES Indiana Bill Calc.'!$D$20="Yes 2018"),'AES Indiana Bill Calc.'!$D$22)</f>
        <v>0</v>
      </c>
      <c r="E643" s="103" t="b">
        <f>IF(AND('AES Indiana Bill Calc.'!$D$17="PL",'AES Indiana Bill Calc.'!$D$18="No",'AES Indiana Bill Calc.'!$D$20="Yes 2018"),'AES Indiana Bill Calc.'!$D$21)</f>
        <v>0</v>
      </c>
      <c r="F643" s="36" t="s">
        <v>214</v>
      </c>
      <c r="G643" s="42" t="e">
        <f>SUM(J643:M643,R643:AA643)</f>
        <v>#N/A</v>
      </c>
      <c r="H643" s="19" t="e">
        <f>IF(ISBLANK(B643),0,+#REF!/B643)</f>
        <v>#REF!</v>
      </c>
      <c r="I643" s="19"/>
      <c r="J643" s="88">
        <f>IF(ISBLANK(B643),0,+J$610)</f>
        <v>130</v>
      </c>
      <c r="K643" s="42">
        <f>ROUND($B643*K$610,2)</f>
        <v>-0.04</v>
      </c>
      <c r="L643" s="92">
        <f>IF($C643&gt;L$611,ROUND(L$611*L$610,2),ROUND($C643*L$610,2))</f>
        <v>14150</v>
      </c>
      <c r="M643" s="92">
        <f>IF($C643&gt;L$611,ROUND(($C643-L$611)*M$610,2),0)</f>
        <v>0</v>
      </c>
      <c r="N643" s="92">
        <f>K643</f>
        <v>-0.04</v>
      </c>
      <c r="O643" s="42"/>
      <c r="P643" s="42"/>
      <c r="Q643" s="92">
        <f>SUM(L643:M643)</f>
        <v>14150</v>
      </c>
      <c r="R643" s="82" t="e">
        <f>ROUND(SUM(K643:M643)*(R642-1),2)</f>
        <v>#N/A</v>
      </c>
      <c r="S643" s="42">
        <f>ROUND($B643*S$610*S642,2)</f>
        <v>0</v>
      </c>
      <c r="T643" s="42">
        <f>ROUND($B643*T$610,2)</f>
        <v>0</v>
      </c>
      <c r="U643" s="42">
        <f>ROUND($B643*U$610,2)</f>
        <v>0</v>
      </c>
      <c r="V643" s="41">
        <f>ROUND($B643*V$602,2)</f>
        <v>0</v>
      </c>
      <c r="W643" s="42">
        <f>ROUND($B643*W$610,2)</f>
        <v>0</v>
      </c>
      <c r="X643" s="42">
        <f>ROUND($B643*X$610,2)</f>
        <v>-0.01</v>
      </c>
      <c r="Y643" s="42">
        <f>ROUND($B643*Y$610,2)</f>
        <v>0</v>
      </c>
      <c r="Z643" s="42">
        <f>ROUND($B643*Z$610,2)</f>
        <v>0</v>
      </c>
      <c r="AA643" s="42">
        <f>ROUND($B643*AA$610,2)</f>
        <v>0</v>
      </c>
      <c r="AB643" s="19" t="e">
        <f>SUM(U$610:AA$610)+(-V$610+V613)</f>
        <v>#VALUE!</v>
      </c>
      <c r="AC643" s="94" t="str">
        <f>+F643</f>
        <v>PL8</v>
      </c>
    </row>
    <row r="644" spans="1:44" x14ac:dyDescent="0.2">
      <c r="A644" s="53"/>
      <c r="B644" s="97">
        <v>-1</v>
      </c>
      <c r="D644" s="87"/>
      <c r="E644" s="97"/>
      <c r="F644" s="36"/>
      <c r="G644" s="98"/>
      <c r="H644" s="19"/>
      <c r="I644" s="19"/>
      <c r="J644" s="107"/>
      <c r="K644" s="98"/>
      <c r="L644" s="98"/>
      <c r="M644" s="98"/>
      <c r="N644" s="98"/>
      <c r="O644" s="98"/>
      <c r="P644" s="98"/>
      <c r="Q644" s="98"/>
      <c r="R644" s="38" t="e">
        <f>VLOOKUP((D645),'Pwr Factor'!$A$1:$B$52,2)</f>
        <v>#N/A</v>
      </c>
      <c r="S644" s="50">
        <v>1</v>
      </c>
      <c r="T644" s="98"/>
      <c r="U644" s="98"/>
      <c r="V644" s="87"/>
      <c r="W644" s="98"/>
      <c r="X644" s="98"/>
      <c r="Y644" s="98"/>
      <c r="Z644" s="98"/>
      <c r="AA644" s="98"/>
      <c r="AB644" s="19"/>
      <c r="AC644" s="108"/>
    </row>
    <row r="645" spans="1:44" x14ac:dyDescent="0.2">
      <c r="A645" s="1" t="s">
        <v>148</v>
      </c>
      <c r="B645" s="103">
        <f>IF(AND('AES Indiana Bill Calc.'!$D$17="PL",'AES Indiana Bill Calc.'!$D$18="Yes 100%",'AES Indiana Bill Calc.'!$D$20="Yes 2019"),'AES Indiana Bill Calc.'!$D$19,-1)</f>
        <v>-1</v>
      </c>
      <c r="C645" s="103">
        <f>MAX(E645,$C$607)</f>
        <v>500</v>
      </c>
      <c r="D645" s="103" t="b">
        <f>IF(AND('AES Indiana Bill Calc.'!$D$17="PL",'AES Indiana Bill Calc.'!$D$18="Yes 100%",'AES Indiana Bill Calc.'!$D$20="Yes 2019"),'AES Indiana Bill Calc.'!$D$22)</f>
        <v>0</v>
      </c>
      <c r="E645" s="103" t="b">
        <f>IF(AND('AES Indiana Bill Calc.'!$D$17="PL",'AES Indiana Bill Calc.'!$D$18="Yes 100%",'AES Indiana Bill Calc.'!$D$20="Yes 2019"),'AES Indiana Bill Calc.'!$D$21)</f>
        <v>0</v>
      </c>
      <c r="F645" s="36" t="s">
        <v>215</v>
      </c>
      <c r="G645" s="42" t="e">
        <f>SUM(J645:M645,R645:AA645)</f>
        <v>#N/A</v>
      </c>
      <c r="H645" s="19" t="e">
        <f>IF(ISBLANK(B645),0,+#REF!/B645)</f>
        <v>#REF!</v>
      </c>
      <c r="I645" s="19"/>
      <c r="J645" s="88">
        <f>IF(ISBLANK(B645),0,+J$610)</f>
        <v>130</v>
      </c>
      <c r="K645" s="42">
        <f>ROUND($B645*K$610,2)</f>
        <v>-0.04</v>
      </c>
      <c r="L645" s="92">
        <f>IF($C645&gt;L$611,ROUND(L$611*L$610,2),ROUND($C645*L$610,2))</f>
        <v>14150</v>
      </c>
      <c r="M645" s="92">
        <f>IF($C645&gt;L$611,ROUND(($C645-L$611)*M$610,2),0)</f>
        <v>0</v>
      </c>
      <c r="N645" s="92">
        <f>K645</f>
        <v>-0.04</v>
      </c>
      <c r="O645" s="42"/>
      <c r="P645" s="42"/>
      <c r="Q645" s="92">
        <f>SUM(L645:M645)</f>
        <v>14150</v>
      </c>
      <c r="R645" s="82" t="e">
        <f>ROUND(SUM(K645:M645)*(R644-1),2)</f>
        <v>#N/A</v>
      </c>
      <c r="S645" s="42">
        <f>ROUND($B645*S$610*S644,2)</f>
        <v>0</v>
      </c>
      <c r="T645" s="42">
        <f>ROUND($B645*T$610,2)</f>
        <v>0</v>
      </c>
      <c r="U645" s="42">
        <f>ROUND($B645*U$610,2)</f>
        <v>0</v>
      </c>
      <c r="V645" s="87">
        <f>ROUND($B645*V$603,2)</f>
        <v>0</v>
      </c>
      <c r="W645" s="42">
        <f>ROUND($B645*W$610,2)</f>
        <v>0</v>
      </c>
      <c r="X645" s="42">
        <f>ROUND($B645*X$610,2)</f>
        <v>-0.01</v>
      </c>
      <c r="Y645" s="42">
        <f>ROUND($B645*Y$610,2)</f>
        <v>0</v>
      </c>
      <c r="Z645" s="42">
        <f>ROUND($B645*Z$610,2)</f>
        <v>0</v>
      </c>
      <c r="AA645" s="42">
        <f>ROUND($B645*AA$610,2)</f>
        <v>0</v>
      </c>
      <c r="AB645" s="19">
        <f>SUM(U$610:AA$610)+(-V$610+V604)</f>
        <v>1.2796000000000002E-2</v>
      </c>
      <c r="AC645" s="94" t="str">
        <f>+F645</f>
        <v>PL9</v>
      </c>
    </row>
    <row r="646" spans="1:44" x14ac:dyDescent="0.2">
      <c r="A646" s="9"/>
      <c r="B646" s="97">
        <v>-1</v>
      </c>
      <c r="D646" s="87"/>
      <c r="E646" s="97"/>
      <c r="F646" s="36"/>
      <c r="G646" s="98"/>
      <c r="H646" s="19"/>
      <c r="I646" s="19"/>
      <c r="J646" s="107"/>
      <c r="K646" s="98"/>
      <c r="L646" s="98"/>
      <c r="M646" s="98"/>
      <c r="N646" s="98"/>
      <c r="O646" s="98"/>
      <c r="P646" s="98"/>
      <c r="Q646" s="98"/>
      <c r="R646" s="38" t="e">
        <f>VLOOKUP((D647),'Pwr Factor'!$A$1:$B$52,2)</f>
        <v>#N/A</v>
      </c>
      <c r="S646" s="50">
        <v>0.5</v>
      </c>
      <c r="T646" s="98"/>
      <c r="U646" s="98"/>
      <c r="V646" s="87"/>
      <c r="W646" s="98"/>
      <c r="X646" s="98"/>
      <c r="Y646" s="98"/>
      <c r="Z646" s="98"/>
      <c r="AA646" s="98"/>
      <c r="AB646" s="19"/>
      <c r="AC646" s="108"/>
    </row>
    <row r="647" spans="1:44" x14ac:dyDescent="0.2">
      <c r="A647" s="1" t="s">
        <v>149</v>
      </c>
      <c r="B647" s="103">
        <f>IF(AND('AES Indiana Bill Calc.'!$D$17="PL",'AES Indiana Bill Calc.'!$D$18="Yes 50%",'AES Indiana Bill Calc.'!$D$20="Yes 2019"),'AES Indiana Bill Calc.'!$D$19,-1)</f>
        <v>-1</v>
      </c>
      <c r="C647" s="103">
        <f>MAX(E647,$C$607)</f>
        <v>500</v>
      </c>
      <c r="D647" s="103" t="b">
        <f>IF(AND('AES Indiana Bill Calc.'!$D$17="PL",'AES Indiana Bill Calc.'!$D$18="Yes 50%",'AES Indiana Bill Calc.'!$D$20="Yes 2019"),'AES Indiana Bill Calc.'!$D$22)</f>
        <v>0</v>
      </c>
      <c r="E647" s="103" t="b">
        <f>IF(AND('AES Indiana Bill Calc.'!$D$17="PL",'AES Indiana Bill Calc.'!$D$18="Yes 50%",'AES Indiana Bill Calc.'!$D$20="Yes 2019"),'AES Indiana Bill Calc.'!$D$21)</f>
        <v>0</v>
      </c>
      <c r="F647" s="36" t="s">
        <v>215</v>
      </c>
      <c r="G647" s="42" t="e">
        <f>SUM(J647:M647,R647:AA647)</f>
        <v>#N/A</v>
      </c>
      <c r="H647" s="19" t="e">
        <f>IF(ISBLANK(B647),0,+#REF!/B647)</f>
        <v>#REF!</v>
      </c>
      <c r="I647" s="19"/>
      <c r="J647" s="88">
        <f>IF(ISBLANK(B647),0,+J$610)</f>
        <v>130</v>
      </c>
      <c r="K647" s="42">
        <f>ROUND($B647*K$610,2)</f>
        <v>-0.04</v>
      </c>
      <c r="L647" s="92">
        <f>IF($C647&gt;L$611,ROUND(L$611*L$610,2),ROUND($C647*L$610,2))</f>
        <v>14150</v>
      </c>
      <c r="M647" s="92">
        <f>IF($C647&gt;L$611,ROUND(($C647-L$611)*M$610,2),0)</f>
        <v>0</v>
      </c>
      <c r="N647" s="92">
        <f>K647</f>
        <v>-0.04</v>
      </c>
      <c r="O647" s="42"/>
      <c r="P647" s="42"/>
      <c r="Q647" s="92">
        <f>SUM(L647:M647)</f>
        <v>14150</v>
      </c>
      <c r="R647" s="82" t="e">
        <f>ROUND(SUM(K647:M647)*(R646-1),2)</f>
        <v>#N/A</v>
      </c>
      <c r="S647" s="42">
        <f>ROUND($B647*S$610*S646,2)</f>
        <v>0</v>
      </c>
      <c r="T647" s="42">
        <f>ROUND($B647*T$610,2)</f>
        <v>0</v>
      </c>
      <c r="U647" s="42">
        <f>ROUND($B647*U$610,2)</f>
        <v>0</v>
      </c>
      <c r="V647" s="87">
        <f>ROUND($B647*V$603,2)</f>
        <v>0</v>
      </c>
      <c r="W647" s="42">
        <f>ROUND($B647*W$610,2)</f>
        <v>0</v>
      </c>
      <c r="X647" s="42">
        <f>ROUND($B647*X$610,2)</f>
        <v>-0.01</v>
      </c>
      <c r="Y647" s="42">
        <f>ROUND($B647*Y$610,2)</f>
        <v>0</v>
      </c>
      <c r="Z647" s="42">
        <f>ROUND($B647*Z$610,2)</f>
        <v>0</v>
      </c>
      <c r="AA647" s="42">
        <f>ROUND($B647*AA$610,2)</f>
        <v>0</v>
      </c>
      <c r="AB647" s="19">
        <f>SUM(U$610:AA$610)+(-V$610+V606)</f>
        <v>1.1855000000000001E-2</v>
      </c>
      <c r="AC647" s="94" t="str">
        <f>+F647</f>
        <v>PL9</v>
      </c>
    </row>
    <row r="648" spans="1:44" x14ac:dyDescent="0.2">
      <c r="A648" s="9"/>
      <c r="B648" s="97">
        <v>-1</v>
      </c>
      <c r="D648" s="87"/>
      <c r="E648" s="97"/>
      <c r="F648" s="36"/>
      <c r="G648" s="98"/>
      <c r="H648" s="19"/>
      <c r="I648" s="19"/>
      <c r="J648" s="107"/>
      <c r="K648" s="98"/>
      <c r="L648" s="98"/>
      <c r="M648" s="98"/>
      <c r="N648" s="98"/>
      <c r="O648" s="98"/>
      <c r="P648" s="98"/>
      <c r="Q648" s="98"/>
      <c r="R648" s="38" t="e">
        <f>VLOOKUP((D649),'Pwr Factor'!$A$1:$B$52,2)</f>
        <v>#N/A</v>
      </c>
      <c r="S648" s="50">
        <v>0.25</v>
      </c>
      <c r="T648" s="98"/>
      <c r="U648" s="98"/>
      <c r="V648" s="87"/>
      <c r="W648" s="98"/>
      <c r="X648" s="98"/>
      <c r="Y648" s="98"/>
      <c r="Z648" s="98"/>
      <c r="AA648" s="98"/>
      <c r="AB648" s="19"/>
      <c r="AC648" s="108"/>
    </row>
    <row r="649" spans="1:44" x14ac:dyDescent="0.2">
      <c r="A649" s="1" t="s">
        <v>150</v>
      </c>
      <c r="B649" s="103">
        <f>IF(AND('AES Indiana Bill Calc.'!$D$17="PL",'AES Indiana Bill Calc.'!$D$18="Yes 25%",'AES Indiana Bill Calc.'!$D$20="Yes 2019"),'AES Indiana Bill Calc.'!$D$19,-1)</f>
        <v>-1</v>
      </c>
      <c r="C649" s="103">
        <f>MAX(E649,$C$607)</f>
        <v>500</v>
      </c>
      <c r="D649" s="103" t="b">
        <f>IF(AND('AES Indiana Bill Calc.'!$D$17="PL",'AES Indiana Bill Calc.'!$D$18="Yes 25%",'AES Indiana Bill Calc.'!$D$20="Yes 2019"),'AES Indiana Bill Calc.'!$D$22)</f>
        <v>0</v>
      </c>
      <c r="E649" s="103" t="b">
        <f>IF(AND('AES Indiana Bill Calc.'!$D$17="PL",'AES Indiana Bill Calc.'!$D$18="Yes 25%",'AES Indiana Bill Calc.'!$D$20="Yes 2019"),'AES Indiana Bill Calc.'!$D$21)</f>
        <v>0</v>
      </c>
      <c r="F649" s="36" t="s">
        <v>215</v>
      </c>
      <c r="G649" s="42" t="e">
        <f>SUM(J649:M649,R649:AA649)</f>
        <v>#N/A</v>
      </c>
      <c r="H649" s="19" t="e">
        <f>IF(ISBLANK(B649),0,+#REF!/B649)</f>
        <v>#REF!</v>
      </c>
      <c r="I649" s="19"/>
      <c r="J649" s="88">
        <f>IF(ISBLANK(B649),0,+J$610)</f>
        <v>130</v>
      </c>
      <c r="K649" s="42">
        <f>ROUND($B649*K$610,2)</f>
        <v>-0.04</v>
      </c>
      <c r="L649" s="92">
        <f>IF($C649&gt;L$611,ROUND(L$611*L$610,2),ROUND($C649*L$610,2))</f>
        <v>14150</v>
      </c>
      <c r="M649" s="92">
        <f>IF($C649&gt;L$611,ROUND(($C649-L$611)*M$610,2),0)</f>
        <v>0</v>
      </c>
      <c r="N649" s="92">
        <f>K649</f>
        <v>-0.04</v>
      </c>
      <c r="O649" s="42"/>
      <c r="P649" s="42"/>
      <c r="Q649" s="92">
        <f>SUM(L649:M649)</f>
        <v>14150</v>
      </c>
      <c r="R649" s="82" t="e">
        <f>ROUND(SUM(K649:M649)*(R648-1),2)</f>
        <v>#N/A</v>
      </c>
      <c r="S649" s="42">
        <f>ROUND($B649*S$610*S648,2)</f>
        <v>0</v>
      </c>
      <c r="T649" s="42">
        <f>ROUND($B649*T$610,2)</f>
        <v>0</v>
      </c>
      <c r="U649" s="42">
        <f>ROUND($B649*U$610,2)</f>
        <v>0</v>
      </c>
      <c r="V649" s="87">
        <f>ROUND($B649*V$603,2)</f>
        <v>0</v>
      </c>
      <c r="W649" s="42">
        <f>ROUND($B649*W$610,2)</f>
        <v>0</v>
      </c>
      <c r="X649" s="42">
        <f>ROUND($B649*X$610,2)</f>
        <v>-0.01</v>
      </c>
      <c r="Y649" s="42">
        <f>ROUND($B649*Y$610,2)</f>
        <v>0</v>
      </c>
      <c r="Z649" s="42">
        <f>ROUND($B649*Z$610,2)</f>
        <v>0</v>
      </c>
      <c r="AA649" s="42">
        <f>ROUND($B649*AA$610,2)</f>
        <v>0</v>
      </c>
      <c r="AB649" s="19">
        <f>SUM(U$610:AA$610)+(-V$610+V611)</f>
        <v>1.1855000000000001E-2</v>
      </c>
      <c r="AC649" s="94" t="str">
        <f>+F649</f>
        <v>PL9</v>
      </c>
    </row>
    <row r="650" spans="1:44" x14ac:dyDescent="0.2">
      <c r="A650" s="9"/>
      <c r="B650" s="97">
        <v>-1</v>
      </c>
      <c r="D650" s="87"/>
      <c r="E650" s="97"/>
      <c r="F650" s="36"/>
      <c r="G650" s="98"/>
      <c r="H650" s="19"/>
      <c r="I650" s="19"/>
      <c r="J650" s="107"/>
      <c r="K650" s="98"/>
      <c r="L650" s="98"/>
      <c r="M650" s="98"/>
      <c r="N650" s="98"/>
      <c r="O650" s="98"/>
      <c r="P650" s="98"/>
      <c r="Q650" s="98"/>
      <c r="R650" s="38" t="e">
        <f>VLOOKUP((D651),'Pwr Factor'!$A$1:$B$52,2)</f>
        <v>#N/A</v>
      </c>
      <c r="S650" s="50">
        <v>0.1</v>
      </c>
      <c r="T650" s="98"/>
      <c r="U650" s="98"/>
      <c r="V650" s="87"/>
      <c r="W650" s="98"/>
      <c r="X650" s="98"/>
      <c r="Y650" s="98"/>
      <c r="Z650" s="98"/>
      <c r="AA650" s="98"/>
      <c r="AB650" s="19"/>
      <c r="AC650" s="108"/>
    </row>
    <row r="651" spans="1:44" x14ac:dyDescent="0.2">
      <c r="A651" s="1" t="s">
        <v>164</v>
      </c>
      <c r="B651" s="103">
        <f>IF(AND('AES Indiana Bill Calc.'!$D$17="PL",'AES Indiana Bill Calc.'!$D$18="Yes 10%",'AES Indiana Bill Calc.'!$D$20="Yes 2019"),'AES Indiana Bill Calc.'!$D$19,-1)</f>
        <v>-1</v>
      </c>
      <c r="C651" s="103">
        <f>MAX(E651,$C$607)</f>
        <v>500</v>
      </c>
      <c r="D651" s="103" t="b">
        <f>IF(AND('AES Indiana Bill Calc.'!$D$17="PL",'AES Indiana Bill Calc.'!$D$18="Yes 10%",'AES Indiana Bill Calc.'!$D$20="Yes 2019"),'AES Indiana Bill Calc.'!$D$22)</f>
        <v>0</v>
      </c>
      <c r="E651" s="103" t="b">
        <f>IF(AND('AES Indiana Bill Calc.'!$D$17="PL",'AES Indiana Bill Calc.'!$D$18="Yes 10%",'AES Indiana Bill Calc.'!$D$20="Yes 2019"),'AES Indiana Bill Calc.'!$D$21)</f>
        <v>0</v>
      </c>
      <c r="F651" s="36" t="s">
        <v>215</v>
      </c>
      <c r="G651" s="42" t="e">
        <f>SUM(J651:M651,R651:AA651)</f>
        <v>#N/A</v>
      </c>
      <c r="H651" s="19" t="e">
        <f>IF(ISBLANK(B651),0,+#REF!/B651)</f>
        <v>#REF!</v>
      </c>
      <c r="I651" s="19"/>
      <c r="J651" s="88">
        <f>IF(ISBLANK(B651),0,+J$610)</f>
        <v>130</v>
      </c>
      <c r="K651" s="42">
        <f>ROUND($B651*K$610,2)</f>
        <v>-0.04</v>
      </c>
      <c r="L651" s="92">
        <f>IF($C651&gt;L$611,ROUND(L$611*L$610,2),ROUND($C651*L$610,2))</f>
        <v>14150</v>
      </c>
      <c r="M651" s="92">
        <f>IF($C651&gt;L$611,ROUND(($C651-L$611)*M$610,2),0)</f>
        <v>0</v>
      </c>
      <c r="N651" s="92">
        <f>K651</f>
        <v>-0.04</v>
      </c>
      <c r="O651" s="42"/>
      <c r="P651" s="42"/>
      <c r="Q651" s="92">
        <f>SUM(L651:M651)</f>
        <v>14150</v>
      </c>
      <c r="R651" s="82" t="e">
        <f>ROUND(SUM(K651:M651)*(R650-1),2)</f>
        <v>#N/A</v>
      </c>
      <c r="S651" s="42">
        <f>ROUND($B651*S$610*S650,2)</f>
        <v>0</v>
      </c>
      <c r="T651" s="42">
        <f>ROUND($B651*T$610,2)</f>
        <v>0</v>
      </c>
      <c r="U651" s="42">
        <f>ROUND($B651*U$610,2)</f>
        <v>0</v>
      </c>
      <c r="V651" s="87">
        <f>ROUND($B651*V$603,2)</f>
        <v>0</v>
      </c>
      <c r="W651" s="42">
        <f>ROUND($B651*W$610,2)</f>
        <v>0</v>
      </c>
      <c r="X651" s="42">
        <f>ROUND($B651*X$610,2)</f>
        <v>-0.01</v>
      </c>
      <c r="Y651" s="42">
        <f>ROUND($B651*Y$610,2)</f>
        <v>0</v>
      </c>
      <c r="Z651" s="42">
        <f>ROUND($B651*Z$610,2)</f>
        <v>0</v>
      </c>
      <c r="AA651" s="42">
        <f>ROUND($B651*AA$610,2)</f>
        <v>0</v>
      </c>
      <c r="AB651" s="19" t="e">
        <f>SUM(U$610:AA$610)+(-V$610+V613)</f>
        <v>#VALUE!</v>
      </c>
      <c r="AC651" s="94" t="str">
        <f>+F651</f>
        <v>PL9</v>
      </c>
    </row>
    <row r="652" spans="1:44" x14ac:dyDescent="0.2">
      <c r="A652" s="9"/>
      <c r="B652" s="97">
        <v>-1</v>
      </c>
      <c r="D652" s="87"/>
      <c r="E652" s="97"/>
      <c r="F652" s="36"/>
      <c r="G652" s="98"/>
      <c r="H652" s="19"/>
      <c r="I652" s="19"/>
      <c r="J652" s="107"/>
      <c r="K652" s="98"/>
      <c r="L652" s="98"/>
      <c r="M652" s="98"/>
      <c r="N652" s="98"/>
      <c r="O652" s="98"/>
      <c r="P652" s="98"/>
      <c r="Q652" s="98"/>
      <c r="R652" s="38" t="e">
        <f>VLOOKUP((D653),'Pwr Factor'!$A$1:$B$52,2)</f>
        <v>#N/A</v>
      </c>
      <c r="S652" s="50">
        <v>0</v>
      </c>
      <c r="T652" s="98"/>
      <c r="U652" s="98"/>
      <c r="V652" s="87"/>
      <c r="W652" s="98"/>
      <c r="X652" s="98"/>
      <c r="Y652" s="98"/>
      <c r="Z652" s="98"/>
      <c r="AA652" s="98"/>
      <c r="AB652" s="19"/>
      <c r="AC652" s="108"/>
    </row>
    <row r="653" spans="1:44" x14ac:dyDescent="0.2">
      <c r="A653" s="1" t="s">
        <v>147</v>
      </c>
      <c r="B653" s="103">
        <f>IF(AND('AES Indiana Bill Calc.'!$D$17="PL",'AES Indiana Bill Calc.'!$D$18="No",'AES Indiana Bill Calc.'!$D$20="Yes 2019"),'AES Indiana Bill Calc.'!$D$19,-1)</f>
        <v>-1</v>
      </c>
      <c r="C653" s="103">
        <f>MAX(E653,$C$607)</f>
        <v>500</v>
      </c>
      <c r="D653" s="103" t="b">
        <f>IF(AND('AES Indiana Bill Calc.'!$D$17="PL",'AES Indiana Bill Calc.'!$D$18="No",'AES Indiana Bill Calc.'!$D$20="Yes 2019"),'AES Indiana Bill Calc.'!$D$22)</f>
        <v>0</v>
      </c>
      <c r="E653" s="103" t="b">
        <f>IF(AND('AES Indiana Bill Calc.'!$D$17="PL",'AES Indiana Bill Calc.'!$D$18="No",'AES Indiana Bill Calc.'!$D$20="Yes 2019"),'AES Indiana Bill Calc.'!$D$21)</f>
        <v>0</v>
      </c>
      <c r="F653" s="36" t="s">
        <v>215</v>
      </c>
      <c r="G653" s="42" t="e">
        <f>SUM(J653:M653,R653:AA653)</f>
        <v>#N/A</v>
      </c>
      <c r="H653" s="19" t="e">
        <f>IF(ISBLANK(B653),0,+#REF!/B653)</f>
        <v>#REF!</v>
      </c>
      <c r="I653" s="19"/>
      <c r="J653" s="88">
        <f>IF(ISBLANK(B653),0,+J$610)</f>
        <v>130</v>
      </c>
      <c r="K653" s="42">
        <f>ROUND($B653*K$610,2)</f>
        <v>-0.04</v>
      </c>
      <c r="L653" s="92">
        <f>IF($C653&gt;L$611,ROUND(L$611*L$610,2),ROUND($C653*L$610,2))</f>
        <v>14150</v>
      </c>
      <c r="M653" s="92">
        <f>IF($C653&gt;L$611,ROUND(($C653-L$611)*M$610,2),0)</f>
        <v>0</v>
      </c>
      <c r="N653" s="92">
        <f>K653</f>
        <v>-0.04</v>
      </c>
      <c r="O653" s="42"/>
      <c r="P653" s="42"/>
      <c r="Q653" s="92">
        <f>SUM(L653:M653)</f>
        <v>14150</v>
      </c>
      <c r="R653" s="82" t="e">
        <f>ROUND(SUM(K653:M653)*(R652-1),2)</f>
        <v>#N/A</v>
      </c>
      <c r="S653" s="42">
        <f>ROUND($B653*S$610*S652,2)</f>
        <v>0</v>
      </c>
      <c r="T653" s="42">
        <f>ROUND($B653*T$610,2)</f>
        <v>0</v>
      </c>
      <c r="U653" s="42">
        <f>ROUND($B653*U$610,2)</f>
        <v>0</v>
      </c>
      <c r="V653" s="87">
        <f>ROUND($B653*V$603,2)</f>
        <v>0</v>
      </c>
      <c r="W653" s="42">
        <f>ROUND($B653*W$610,2)</f>
        <v>0</v>
      </c>
      <c r="X653" s="42">
        <f>ROUND($B653*X$610,2)</f>
        <v>-0.01</v>
      </c>
      <c r="Y653" s="42">
        <f>ROUND($B653*Y$610,2)</f>
        <v>0</v>
      </c>
      <c r="Z653" s="42">
        <f>ROUND($B653*Z$610,2)</f>
        <v>0</v>
      </c>
      <c r="AA653" s="42">
        <f>ROUND($B653*AA$610,2)</f>
        <v>0</v>
      </c>
      <c r="AB653" s="19">
        <f>SUM(U$610:AA$610)+(-V$610+V615)</f>
        <v>1.8550000000000025E-3</v>
      </c>
      <c r="AC653" s="94" t="str">
        <f>+F653</f>
        <v>PL9</v>
      </c>
    </row>
    <row r="654" spans="1:44" x14ac:dyDescent="0.2">
      <c r="A654" s="53"/>
      <c r="B654" s="97">
        <v>-1</v>
      </c>
      <c r="D654" s="41"/>
      <c r="E654" s="80"/>
      <c r="F654" s="36"/>
      <c r="G654" s="42"/>
      <c r="H654" s="19"/>
      <c r="I654" s="19"/>
      <c r="J654" s="88"/>
      <c r="K654" s="42"/>
      <c r="L654" s="42"/>
      <c r="M654" s="42"/>
      <c r="N654" s="42"/>
      <c r="O654" s="42"/>
      <c r="P654" s="42"/>
      <c r="Q654" s="42"/>
      <c r="R654" s="38" t="e">
        <f>VLOOKUP((D655),'Pwr Factor'!$A$1:$B$52,2)</f>
        <v>#N/A</v>
      </c>
      <c r="S654" s="50">
        <v>1</v>
      </c>
      <c r="T654" s="42"/>
      <c r="U654" s="42"/>
      <c r="V654" s="41"/>
      <c r="W654" s="42"/>
      <c r="X654" s="42"/>
      <c r="Y654" s="42"/>
      <c r="Z654" s="42"/>
      <c r="AA654" s="42"/>
      <c r="AB654" s="19"/>
      <c r="AC654" s="67"/>
    </row>
    <row r="655" spans="1:44" s="21" customFormat="1" ht="13.5" thickBot="1" x14ac:dyDescent="0.25">
      <c r="A655" s="1" t="s">
        <v>148</v>
      </c>
      <c r="B655" s="103">
        <f>IF(AND('AES Indiana Bill Calc.'!$D$17="PL",'AES Indiana Bill Calc.'!$D$18="Yes 100%",'AES Indiana Bill Calc.'!$D$20="Yes 2020"),'AES Indiana Bill Calc.'!$D$19,-1)</f>
        <v>-1</v>
      </c>
      <c r="C655" s="103">
        <f>MAX(E655,$C$607)</f>
        <v>500</v>
      </c>
      <c r="D655" s="103" t="b">
        <f>IF(AND('AES Indiana Bill Calc.'!$D$17="PL",'AES Indiana Bill Calc.'!$D$18="Yes 100%",'AES Indiana Bill Calc.'!$D$20="Yes 2020"),'AES Indiana Bill Calc.'!$D$22)</f>
        <v>0</v>
      </c>
      <c r="E655" s="103" t="b">
        <f>IF(AND('AES Indiana Bill Calc.'!$D$17="PL",'AES Indiana Bill Calc.'!$D$18="Yes 100%",'AES Indiana Bill Calc.'!$D$20="Yes 2020"),'AES Indiana Bill Calc.'!$D$21)</f>
        <v>0</v>
      </c>
      <c r="F655" s="36" t="s">
        <v>216</v>
      </c>
      <c r="G655" s="42" t="e">
        <f>SUM(J655:M655,R655:AA655)</f>
        <v>#N/A</v>
      </c>
      <c r="H655" s="19" t="e">
        <f>IF(ISBLANK(B655),0,+#REF!/B655)</f>
        <v>#REF!</v>
      </c>
      <c r="I655" s="19"/>
      <c r="J655" s="88">
        <f>IF(ISBLANK(B655),0,+J$610)</f>
        <v>130</v>
      </c>
      <c r="K655" s="42">
        <f>ROUND($B655*K$610,2)</f>
        <v>-0.04</v>
      </c>
      <c r="L655" s="92">
        <f>IF($C655&gt;L$611,ROUND(L$611*L$610,2),ROUND($C655*L$610,2))</f>
        <v>14150</v>
      </c>
      <c r="M655" s="92">
        <f>IF($C655&gt;L$611,ROUND(($C655-L$611)*M$610,2),0)</f>
        <v>0</v>
      </c>
      <c r="N655" s="92">
        <f>K655</f>
        <v>-0.04</v>
      </c>
      <c r="O655" s="42"/>
      <c r="P655" s="42"/>
      <c r="Q655" s="92">
        <f>SUM(L655:M655)</f>
        <v>14150</v>
      </c>
      <c r="R655" s="82" t="e">
        <f>ROUND(SUM(K655:M655)*(R654-1),2)</f>
        <v>#N/A</v>
      </c>
      <c r="S655" s="42">
        <f>ROUND($B655*S$610*S654,2)</f>
        <v>0</v>
      </c>
      <c r="T655" s="42">
        <f>ROUND($B655*T$610,2)</f>
        <v>0</v>
      </c>
      <c r="U655" s="42">
        <f>ROUND($B655*U$610,2)</f>
        <v>0</v>
      </c>
      <c r="V655" s="41">
        <f>ROUND($B655*V$604,2)</f>
        <v>0</v>
      </c>
      <c r="W655" s="42">
        <f>ROUND($B655*W$610,2)</f>
        <v>0</v>
      </c>
      <c r="X655" s="42">
        <f>ROUND($B655*X$610,2)</f>
        <v>-0.01</v>
      </c>
      <c r="Y655" s="42">
        <f>ROUND($B655*Y$610,2)</f>
        <v>0</v>
      </c>
      <c r="Z655" s="42">
        <f>ROUND($B655*Z$610,2)</f>
        <v>0</v>
      </c>
      <c r="AA655" s="42">
        <f>ROUND($B655*AA$610,2)</f>
        <v>0</v>
      </c>
      <c r="AB655" s="19">
        <f>SUM(U$610:AA$610)+(-V$610+V604)</f>
        <v>1.2796000000000002E-2</v>
      </c>
      <c r="AC655" s="94" t="str">
        <f>+F655</f>
        <v>PL0</v>
      </c>
      <c r="AD655"/>
      <c r="AE655"/>
      <c r="AF655"/>
      <c r="AG655"/>
      <c r="AH655"/>
      <c r="AI655"/>
      <c r="AJ655"/>
      <c r="AK655"/>
      <c r="AL655"/>
      <c r="AM655"/>
      <c r="AN655"/>
      <c r="AO655"/>
      <c r="AP655"/>
      <c r="AQ655"/>
      <c r="AR655"/>
    </row>
    <row r="656" spans="1:44" x14ac:dyDescent="0.2">
      <c r="A656" s="9"/>
      <c r="B656" s="97">
        <v>-1</v>
      </c>
      <c r="D656" s="41"/>
      <c r="E656" s="80"/>
      <c r="F656" s="36"/>
      <c r="G656" s="42"/>
      <c r="H656" s="19"/>
      <c r="I656" s="19"/>
      <c r="J656" s="88"/>
      <c r="K656" s="42"/>
      <c r="L656" s="42"/>
      <c r="M656" s="42"/>
      <c r="N656" s="42"/>
      <c r="O656" s="42"/>
      <c r="P656" s="42"/>
      <c r="Q656" s="42"/>
      <c r="R656" s="38" t="e">
        <f>VLOOKUP((D657),'Pwr Factor'!$A$1:$B$52,2)</f>
        <v>#N/A</v>
      </c>
      <c r="S656" s="50">
        <v>0.5</v>
      </c>
      <c r="T656" s="42"/>
      <c r="U656" s="42"/>
      <c r="V656" s="41"/>
      <c r="W656" s="42"/>
      <c r="X656" s="42"/>
      <c r="Y656" s="42"/>
      <c r="Z656" s="42"/>
      <c r="AA656" s="42"/>
      <c r="AB656" s="19"/>
      <c r="AC656" s="67"/>
    </row>
    <row r="657" spans="1:29" x14ac:dyDescent="0.2">
      <c r="A657" s="1" t="s">
        <v>149</v>
      </c>
      <c r="B657" s="103">
        <f>IF(AND('AES Indiana Bill Calc.'!$D$17="PL",'AES Indiana Bill Calc.'!$D$18="Yes 50%",'AES Indiana Bill Calc.'!$D$20="Yes 2020"),'AES Indiana Bill Calc.'!$D$19,-1)</f>
        <v>-1</v>
      </c>
      <c r="C657" s="103">
        <f>MAX(E657,$C$607)</f>
        <v>500</v>
      </c>
      <c r="D657" s="103" t="b">
        <f>IF(AND('AES Indiana Bill Calc.'!$D$17="PL",'AES Indiana Bill Calc.'!$D$18="Yes 50%",'AES Indiana Bill Calc.'!$D$20="Yes 2020"),'AES Indiana Bill Calc.'!$D$22)</f>
        <v>0</v>
      </c>
      <c r="E657" s="103" t="b">
        <f>IF(AND('AES Indiana Bill Calc.'!$D$17="PL",'AES Indiana Bill Calc.'!$D$18="Yes 50%",'AES Indiana Bill Calc.'!$D$20="Yes 2020"),'AES Indiana Bill Calc.'!$D$21)</f>
        <v>0</v>
      </c>
      <c r="F657" s="36" t="s">
        <v>216</v>
      </c>
      <c r="G657" s="42" t="e">
        <f>SUM(J657:M657,R657:AA657)</f>
        <v>#N/A</v>
      </c>
      <c r="H657" s="19" t="e">
        <f>IF(ISBLANK(B657),0,+#REF!/B657)</f>
        <v>#REF!</v>
      </c>
      <c r="I657" s="19"/>
      <c r="J657" s="88">
        <f>IF(ISBLANK(B657),0,+J$610)</f>
        <v>130</v>
      </c>
      <c r="K657" s="42">
        <f>ROUND($B657*K$610,2)</f>
        <v>-0.04</v>
      </c>
      <c r="L657" s="92">
        <f>IF($C657&gt;L$611,ROUND(L$611*L$610,2),ROUND($C657*L$610,2))</f>
        <v>14150</v>
      </c>
      <c r="M657" s="92">
        <f>IF($C657&gt;L$611,ROUND(($C657-L$611)*M$610,2),0)</f>
        <v>0</v>
      </c>
      <c r="N657" s="92">
        <f>K657</f>
        <v>-0.04</v>
      </c>
      <c r="O657" s="42"/>
      <c r="P657" s="42"/>
      <c r="Q657" s="92">
        <f>SUM(L657:M657)</f>
        <v>14150</v>
      </c>
      <c r="R657" s="82" t="e">
        <f>ROUND(SUM(K657:M657)*(R656-1),2)</f>
        <v>#N/A</v>
      </c>
      <c r="S657" s="42">
        <f>ROUND($B657*S$610*S656,2)</f>
        <v>0</v>
      </c>
      <c r="T657" s="42">
        <f>ROUND($B657*T$610,2)</f>
        <v>0</v>
      </c>
      <c r="U657" s="42">
        <f>ROUND($B657*U$610,2)</f>
        <v>0</v>
      </c>
      <c r="V657" s="41">
        <f>ROUND($B657*V$604,2)</f>
        <v>0</v>
      </c>
      <c r="W657" s="42">
        <f>ROUND($B657*W$610,2)</f>
        <v>0</v>
      </c>
      <c r="X657" s="42">
        <f>ROUND($B657*X$610,2)</f>
        <v>-0.01</v>
      </c>
      <c r="Y657" s="42">
        <f>ROUND($B657*Y$610,2)</f>
        <v>0</v>
      </c>
      <c r="Z657" s="42">
        <f>ROUND($B657*Z$610,2)</f>
        <v>0</v>
      </c>
      <c r="AA657" s="42">
        <f>ROUND($B657*AA$610,2)</f>
        <v>0</v>
      </c>
      <c r="AB657" s="19">
        <f>SUM(U$610:AA$610)+(-V$610+V606)</f>
        <v>1.1855000000000001E-2</v>
      </c>
      <c r="AC657" s="94" t="str">
        <f>+F657</f>
        <v>PL0</v>
      </c>
    </row>
    <row r="658" spans="1:29" x14ac:dyDescent="0.2">
      <c r="A658" s="9"/>
      <c r="B658" s="97">
        <v>-1</v>
      </c>
      <c r="D658" s="41"/>
      <c r="E658" s="80"/>
      <c r="F658" s="36"/>
      <c r="G658" s="42"/>
      <c r="H658" s="19"/>
      <c r="I658" s="19"/>
      <c r="J658" s="88"/>
      <c r="K658" s="42"/>
      <c r="L658" s="42"/>
      <c r="M658" s="42"/>
      <c r="N658" s="42"/>
      <c r="O658" s="42"/>
      <c r="P658" s="42"/>
      <c r="Q658" s="42"/>
      <c r="R658" s="38" t="e">
        <f>VLOOKUP((D659),'Pwr Factor'!$A$1:$B$52,2)</f>
        <v>#N/A</v>
      </c>
      <c r="S658" s="50">
        <v>0.25</v>
      </c>
      <c r="T658" s="42"/>
      <c r="U658" s="42"/>
      <c r="V658" s="41"/>
      <c r="W658" s="42"/>
      <c r="X658" s="42"/>
      <c r="Y658" s="42"/>
      <c r="Z658" s="42"/>
      <c r="AA658" s="42"/>
      <c r="AB658" s="19"/>
      <c r="AC658" s="67"/>
    </row>
    <row r="659" spans="1:29" x14ac:dyDescent="0.2">
      <c r="A659" s="1" t="s">
        <v>150</v>
      </c>
      <c r="B659" s="103">
        <f>IF(AND('AES Indiana Bill Calc.'!$D$17="PL",'AES Indiana Bill Calc.'!$D$18="Yes 25%",'AES Indiana Bill Calc.'!$D$20="Yes 2020"),'AES Indiana Bill Calc.'!$D$19,-1)</f>
        <v>-1</v>
      </c>
      <c r="C659" s="103">
        <f>MAX(E659,$C$607)</f>
        <v>500</v>
      </c>
      <c r="D659" s="103" t="b">
        <f>IF(AND('AES Indiana Bill Calc.'!$D$17="PL",'AES Indiana Bill Calc.'!$D$18="Yes 25%",'AES Indiana Bill Calc.'!$D$20="Yes 2020"),'AES Indiana Bill Calc.'!$D$22)</f>
        <v>0</v>
      </c>
      <c r="E659" s="103" t="b">
        <f>IF(AND('AES Indiana Bill Calc.'!$D$17="PL",'AES Indiana Bill Calc.'!$D$18="Yes 25%",'AES Indiana Bill Calc.'!$D$20="Yes 2020"),'AES Indiana Bill Calc.'!$D$21)</f>
        <v>0</v>
      </c>
      <c r="F659" s="36" t="s">
        <v>216</v>
      </c>
      <c r="G659" s="42" t="e">
        <f>SUM(J659:M659,R659:AA659)</f>
        <v>#N/A</v>
      </c>
      <c r="H659" s="19" t="e">
        <f>IF(ISBLANK(B659),0,+#REF!/B659)</f>
        <v>#REF!</v>
      </c>
      <c r="I659" s="19"/>
      <c r="J659" s="88">
        <f>IF(ISBLANK(B659),0,+J$610)</f>
        <v>130</v>
      </c>
      <c r="K659" s="42">
        <f>ROUND($B659*K$610,2)</f>
        <v>-0.04</v>
      </c>
      <c r="L659" s="92">
        <f>IF($C659&gt;L$611,ROUND(L$611*L$610,2),ROUND($C659*L$610,2))</f>
        <v>14150</v>
      </c>
      <c r="M659" s="92">
        <f>IF($C659&gt;L$611,ROUND(($C659-L$611)*M$610,2),0)</f>
        <v>0</v>
      </c>
      <c r="N659" s="92">
        <f>K659</f>
        <v>-0.04</v>
      </c>
      <c r="O659" s="42"/>
      <c r="P659" s="42"/>
      <c r="Q659" s="92">
        <f>SUM(L659:M659)</f>
        <v>14150</v>
      </c>
      <c r="R659" s="82" t="e">
        <f>ROUND(SUM(K659:M659)*(R658-1),2)</f>
        <v>#N/A</v>
      </c>
      <c r="S659" s="42">
        <f>ROUND($B659*S$610*S658,2)</f>
        <v>0</v>
      </c>
      <c r="T659" s="42">
        <f>ROUND($B659*T$610,2)</f>
        <v>0</v>
      </c>
      <c r="U659" s="42">
        <f>ROUND($B659*U$610,2)</f>
        <v>0</v>
      </c>
      <c r="V659" s="41">
        <f>ROUND($B659*V$604,2)</f>
        <v>0</v>
      </c>
      <c r="W659" s="42">
        <f>ROUND($B659*W$610,2)</f>
        <v>0</v>
      </c>
      <c r="X659" s="42">
        <f>ROUND($B659*X$610,2)</f>
        <v>-0.01</v>
      </c>
      <c r="Y659" s="42">
        <f>ROUND($B659*Y$610,2)</f>
        <v>0</v>
      </c>
      <c r="Z659" s="42">
        <f>ROUND($B659*Z$610,2)</f>
        <v>0</v>
      </c>
      <c r="AA659" s="42">
        <f>ROUND($B659*AA$610,2)</f>
        <v>0</v>
      </c>
      <c r="AB659" s="19">
        <f>SUM(U$610:AA$610)+(-V$610+V611)</f>
        <v>1.1855000000000001E-2</v>
      </c>
      <c r="AC659" s="94" t="str">
        <f>+F659</f>
        <v>PL0</v>
      </c>
    </row>
    <row r="660" spans="1:29" x14ac:dyDescent="0.2">
      <c r="A660" s="9"/>
      <c r="B660" s="97">
        <v>-1</v>
      </c>
      <c r="D660" s="41"/>
      <c r="E660" s="80"/>
      <c r="F660" s="36"/>
      <c r="G660" s="42"/>
      <c r="H660" s="19"/>
      <c r="I660" s="19"/>
      <c r="J660" s="88"/>
      <c r="K660" s="42"/>
      <c r="L660" s="42"/>
      <c r="M660" s="42"/>
      <c r="N660" s="42"/>
      <c r="O660" s="42"/>
      <c r="P660" s="42"/>
      <c r="Q660" s="42"/>
      <c r="R660" s="38" t="e">
        <f>VLOOKUP((D661),'Pwr Factor'!$A$1:$B$52,2)</f>
        <v>#N/A</v>
      </c>
      <c r="S660" s="50">
        <v>0.1</v>
      </c>
      <c r="T660" s="42"/>
      <c r="U660" s="42"/>
      <c r="V660" s="41"/>
      <c r="W660" s="42"/>
      <c r="X660" s="42"/>
      <c r="Y660" s="42"/>
      <c r="Z660" s="42"/>
      <c r="AA660" s="42"/>
      <c r="AB660" s="19"/>
      <c r="AC660" s="67"/>
    </row>
    <row r="661" spans="1:29" x14ac:dyDescent="0.2">
      <c r="A661" s="1" t="s">
        <v>164</v>
      </c>
      <c r="B661" s="103">
        <f>IF(AND('AES Indiana Bill Calc.'!$D$17="PL",'AES Indiana Bill Calc.'!$D$18="Yes 10%",'AES Indiana Bill Calc.'!$D$20="Yes 2020"),'AES Indiana Bill Calc.'!$D$19,-1)</f>
        <v>-1</v>
      </c>
      <c r="C661" s="103">
        <f>MAX(E661,$C$607)</f>
        <v>500</v>
      </c>
      <c r="D661" s="103" t="b">
        <f>IF(AND('AES Indiana Bill Calc.'!$D$17="PL",'AES Indiana Bill Calc.'!$D$18="Yes 10%",'AES Indiana Bill Calc.'!$D$20="Yes 2020"),'AES Indiana Bill Calc.'!$D$22)</f>
        <v>0</v>
      </c>
      <c r="E661" s="103" t="b">
        <f>IF(AND('AES Indiana Bill Calc.'!$D$17="PL",'AES Indiana Bill Calc.'!$D$18="Yes 10%",'AES Indiana Bill Calc.'!$D$20="Yes 2020"),'AES Indiana Bill Calc.'!$D$21)</f>
        <v>0</v>
      </c>
      <c r="F661" s="36" t="s">
        <v>216</v>
      </c>
      <c r="G661" s="42" t="e">
        <f>SUM(J661:M661,R661:AA661)</f>
        <v>#N/A</v>
      </c>
      <c r="H661" s="19" t="e">
        <f>IF(ISBLANK(B661),0,+#REF!/B661)</f>
        <v>#REF!</v>
      </c>
      <c r="I661" s="19"/>
      <c r="J661" s="88">
        <f>IF(ISBLANK(B661),0,+J$610)</f>
        <v>130</v>
      </c>
      <c r="K661" s="42">
        <f>ROUND($B661*K$610,2)</f>
        <v>-0.04</v>
      </c>
      <c r="L661" s="92">
        <f>IF($C661&gt;L$611,ROUND(L$611*L$610,2),ROUND($C661*L$610,2))</f>
        <v>14150</v>
      </c>
      <c r="M661" s="92">
        <f>IF($C661&gt;L$611,ROUND(($C661-L$611)*M$610,2),0)</f>
        <v>0</v>
      </c>
      <c r="N661" s="92">
        <f>K661</f>
        <v>-0.04</v>
      </c>
      <c r="O661" s="42"/>
      <c r="P661" s="42"/>
      <c r="Q661" s="92">
        <f>SUM(L661:M661)</f>
        <v>14150</v>
      </c>
      <c r="R661" s="82" t="e">
        <f>ROUND(SUM(K661:M661)*(R660-1),2)</f>
        <v>#N/A</v>
      </c>
      <c r="S661" s="42">
        <f>ROUND($B661*S$610*S660,2)</f>
        <v>0</v>
      </c>
      <c r="T661" s="42">
        <f>ROUND($B661*T$610,2)</f>
        <v>0</v>
      </c>
      <c r="U661" s="42">
        <f>ROUND($B661*U$610,2)</f>
        <v>0</v>
      </c>
      <c r="V661" s="41">
        <f>ROUND($B661*V$604,2)</f>
        <v>0</v>
      </c>
      <c r="W661" s="42">
        <f>ROUND($B661*W$610,2)</f>
        <v>0</v>
      </c>
      <c r="X661" s="42">
        <f>ROUND($B661*X$610,2)</f>
        <v>-0.01</v>
      </c>
      <c r="Y661" s="42">
        <f>ROUND($B661*Y$610,2)</f>
        <v>0</v>
      </c>
      <c r="Z661" s="42">
        <f>ROUND($B661*Z$610,2)</f>
        <v>0</v>
      </c>
      <c r="AA661" s="42">
        <f>ROUND($B661*AA$610,2)</f>
        <v>0</v>
      </c>
      <c r="AB661" s="19" t="e">
        <f>SUM(U$610:AA$610)+(-V$610+V613)</f>
        <v>#VALUE!</v>
      </c>
      <c r="AC661" s="94" t="str">
        <f>+F661</f>
        <v>PL0</v>
      </c>
    </row>
    <row r="662" spans="1:29" x14ac:dyDescent="0.2">
      <c r="A662" s="9"/>
      <c r="B662" s="97">
        <v>-1</v>
      </c>
      <c r="D662" s="41"/>
      <c r="E662" s="80"/>
      <c r="F662" s="36"/>
      <c r="G662" s="42"/>
      <c r="H662" s="19"/>
      <c r="I662" s="19"/>
      <c r="J662" s="88"/>
      <c r="K662" s="42"/>
      <c r="L662" s="42"/>
      <c r="M662" s="42"/>
      <c r="N662" s="42"/>
      <c r="O662" s="42"/>
      <c r="P662" s="42"/>
      <c r="Q662" s="42"/>
      <c r="R662" s="38" t="e">
        <f>VLOOKUP((D663),'Pwr Factor'!$A$1:$B$52,2)</f>
        <v>#N/A</v>
      </c>
      <c r="S662" s="50">
        <v>0</v>
      </c>
      <c r="T662" s="42"/>
      <c r="U662" s="42"/>
      <c r="V662" s="41"/>
      <c r="W662" s="42"/>
      <c r="X662" s="42"/>
      <c r="Y662" s="42"/>
      <c r="Z662" s="42"/>
      <c r="AA662" s="42"/>
      <c r="AB662" s="19"/>
      <c r="AC662" s="67"/>
    </row>
    <row r="663" spans="1:29" x14ac:dyDescent="0.2">
      <c r="A663" s="1" t="s">
        <v>147</v>
      </c>
      <c r="B663" s="103">
        <f>IF(AND('AES Indiana Bill Calc.'!$D$17="PL",'AES Indiana Bill Calc.'!$D$18="No",'AES Indiana Bill Calc.'!$D$20="Yes 2020"),'AES Indiana Bill Calc.'!$D$19,-1)</f>
        <v>-1</v>
      </c>
      <c r="C663" s="103">
        <f>MAX(E663,$C$607)</f>
        <v>500</v>
      </c>
      <c r="D663" s="103" t="b">
        <f>IF(AND('AES Indiana Bill Calc.'!$D$17="PL",'AES Indiana Bill Calc.'!$D$18="No",'AES Indiana Bill Calc.'!$D$20="Yes 2020"),'AES Indiana Bill Calc.'!$D$22)</f>
        <v>0</v>
      </c>
      <c r="E663" s="103" t="b">
        <f>IF(AND('AES Indiana Bill Calc.'!$D$17="PL",'AES Indiana Bill Calc.'!$D$18="No",'AES Indiana Bill Calc.'!$D$20="Yes 2020"),'AES Indiana Bill Calc.'!$D$21)</f>
        <v>0</v>
      </c>
      <c r="F663" s="36" t="s">
        <v>216</v>
      </c>
      <c r="G663" s="42" t="e">
        <f>SUM(J663:M663,R663:AA663)</f>
        <v>#N/A</v>
      </c>
      <c r="H663" s="19" t="e">
        <f>IF(ISBLANK(B663),0,+#REF!/B663)</f>
        <v>#REF!</v>
      </c>
      <c r="I663" s="19"/>
      <c r="J663" s="88">
        <f>IF(ISBLANK(B663),0,+J$610)</f>
        <v>130</v>
      </c>
      <c r="K663" s="42">
        <f>ROUND($B663*K$610,2)</f>
        <v>-0.04</v>
      </c>
      <c r="L663" s="92">
        <f>IF($C663&gt;L$611,ROUND(L$611*L$610,2),ROUND($C663*L$610,2))</f>
        <v>14150</v>
      </c>
      <c r="M663" s="92">
        <f>IF($C663&gt;L$611,ROUND(($C663-L$611)*M$610,2),0)</f>
        <v>0</v>
      </c>
      <c r="N663" s="92">
        <f>K663</f>
        <v>-0.04</v>
      </c>
      <c r="O663" s="42"/>
      <c r="P663" s="42"/>
      <c r="Q663" s="92">
        <f>SUM(L663:M663)</f>
        <v>14150</v>
      </c>
      <c r="R663" s="82" t="e">
        <f>ROUND(SUM(K663:M663)*(R662-1),2)</f>
        <v>#N/A</v>
      </c>
      <c r="S663" s="42">
        <f>ROUND($B663*S$610*S662,2)</f>
        <v>0</v>
      </c>
      <c r="T663" s="42">
        <f>ROUND($B663*T$610,2)</f>
        <v>0</v>
      </c>
      <c r="U663" s="42">
        <f>ROUND($B663*U$610,2)</f>
        <v>0</v>
      </c>
      <c r="V663" s="41">
        <f>ROUND($B663*V$604,2)</f>
        <v>0</v>
      </c>
      <c r="W663" s="42">
        <f>ROUND($B663*W$610,2)</f>
        <v>0</v>
      </c>
      <c r="X663" s="42">
        <f>ROUND($B663*X$610,2)</f>
        <v>-0.01</v>
      </c>
      <c r="Y663" s="42">
        <f>ROUND($B663*Y$610,2)</f>
        <v>0</v>
      </c>
      <c r="Z663" s="42">
        <f>ROUND($B663*Z$610,2)</f>
        <v>0</v>
      </c>
      <c r="AA663" s="42">
        <f>ROUND($B663*AA$610,2)</f>
        <v>0</v>
      </c>
      <c r="AB663" s="19">
        <f>SUM(U$610:AA$610)+(-V$610+V615)</f>
        <v>1.8550000000000025E-3</v>
      </c>
      <c r="AC663" s="94" t="str">
        <f>+F663</f>
        <v>PL0</v>
      </c>
    </row>
    <row r="664" spans="1:29" x14ac:dyDescent="0.2">
      <c r="B664" s="97">
        <v>-1</v>
      </c>
      <c r="D664" s="41"/>
      <c r="E664" s="80"/>
      <c r="F664" s="36"/>
      <c r="G664" s="42"/>
      <c r="H664" s="19"/>
      <c r="I664" s="19"/>
      <c r="J664" s="88"/>
      <c r="K664" s="42"/>
      <c r="L664" s="42"/>
      <c r="M664" s="42"/>
      <c r="N664" s="42"/>
      <c r="O664" s="42"/>
      <c r="P664" s="42"/>
      <c r="Q664" s="42"/>
      <c r="R664" s="38" t="e">
        <f>VLOOKUP((D665),'Pwr Factor'!$A$1:$B$52,2)</f>
        <v>#N/A</v>
      </c>
      <c r="S664" s="50">
        <v>1</v>
      </c>
      <c r="T664" s="42"/>
      <c r="U664" s="42"/>
      <c r="V664" s="41"/>
      <c r="W664" s="42"/>
      <c r="X664" s="42"/>
      <c r="Y664" s="42"/>
      <c r="Z664" s="42"/>
      <c r="AA664" s="42"/>
      <c r="AB664" s="19"/>
      <c r="AC664" s="94"/>
    </row>
    <row r="665" spans="1:29" x14ac:dyDescent="0.2">
      <c r="A665" s="1" t="s">
        <v>148</v>
      </c>
      <c r="B665" s="103">
        <f>IF(AND('AES Indiana Bill Calc.'!$D$17="PL",'AES Indiana Bill Calc.'!$D$18="Yes 100%",'AES Indiana Bill Calc.'!$D$20="Yes 2021"),'AES Indiana Bill Calc.'!$D$19,-1)</f>
        <v>-1</v>
      </c>
      <c r="C665" s="103">
        <f>MAX(E665,$C$607)</f>
        <v>500</v>
      </c>
      <c r="D665" s="103" t="b">
        <f>IF(AND('AES Indiana Bill Calc.'!$D$17="PL",'AES Indiana Bill Calc.'!$D$18="Yes 100%",'AES Indiana Bill Calc.'!$D$20="Yes 2021"),'AES Indiana Bill Calc.'!$D$22)</f>
        <v>0</v>
      </c>
      <c r="E665" s="103" t="b">
        <f>IF(AND('AES Indiana Bill Calc.'!$D$17="PL",'AES Indiana Bill Calc.'!$D$18="Yes 100%",'AES Indiana Bill Calc.'!$D$20="Yes 2021"),'AES Indiana Bill Calc.'!$D$21)</f>
        <v>0</v>
      </c>
      <c r="F665" s="36" t="s">
        <v>217</v>
      </c>
      <c r="G665" s="42" t="e">
        <f>SUM(J665:M665,R665:AA665)</f>
        <v>#N/A</v>
      </c>
      <c r="H665" s="19" t="e">
        <f>IF(ISBLANK(B665),0,+#REF!/B665)</f>
        <v>#REF!</v>
      </c>
      <c r="I665" s="19"/>
      <c r="J665" s="88">
        <f>IF(ISBLANK(B665),0,+J$610)</f>
        <v>130</v>
      </c>
      <c r="K665" s="42">
        <f>ROUND($B665*K$610,2)</f>
        <v>-0.04</v>
      </c>
      <c r="L665" s="92">
        <f>IF($C665&gt;L$611,ROUND(L$611*L$610,2),ROUND($C665*L$610,2))</f>
        <v>14150</v>
      </c>
      <c r="M665" s="92">
        <f>IF($C665&gt;L$611,ROUND(($C665-L$611)*M$610,2),0)</f>
        <v>0</v>
      </c>
      <c r="N665" s="92">
        <f>K665</f>
        <v>-0.04</v>
      </c>
      <c r="O665" s="42"/>
      <c r="P665" s="42"/>
      <c r="Q665" s="92">
        <f>SUM(L665:M665)</f>
        <v>14150</v>
      </c>
      <c r="R665" s="82" t="e">
        <f>ROUND(SUM(K665:M665)*(R664-1),2)</f>
        <v>#N/A</v>
      </c>
      <c r="S665" s="42">
        <f>ROUND($B665*S$610*S664,2)</f>
        <v>0</v>
      </c>
      <c r="T665" s="42">
        <f>ROUND($B665*T$610,2)</f>
        <v>0</v>
      </c>
      <c r="U665" s="42">
        <f>ROUND($B665*U$610,2)</f>
        <v>0</v>
      </c>
      <c r="V665" s="41">
        <f>ROUND($B665*V$605,2)</f>
        <v>0</v>
      </c>
      <c r="W665" s="42">
        <f>ROUND($B665*W$610,2)</f>
        <v>0</v>
      </c>
      <c r="X665" s="42">
        <f>ROUND($B665*X$610,2)</f>
        <v>-0.01</v>
      </c>
      <c r="Y665" s="42">
        <f>ROUND($B665*Y$610,2)</f>
        <v>0</v>
      </c>
      <c r="Z665" s="42">
        <f>ROUND($B665*Z$610,2)</f>
        <v>0</v>
      </c>
      <c r="AA665" s="42">
        <f>ROUND($B665*AA$610,2)</f>
        <v>0</v>
      </c>
      <c r="AB665" s="19">
        <f>SUM(U$610:AA$610)+(-V$610+V610)</f>
        <v>2.5651E-2</v>
      </c>
      <c r="AC665" s="94" t="str">
        <f>+F665</f>
        <v>PL1</v>
      </c>
    </row>
    <row r="666" spans="1:29" x14ac:dyDescent="0.2">
      <c r="A666" s="9"/>
      <c r="B666" s="97">
        <v>-1</v>
      </c>
      <c r="D666" s="41"/>
      <c r="E666" s="80"/>
      <c r="F666" s="36"/>
      <c r="G666" s="42"/>
      <c r="H666" s="19"/>
      <c r="I666" s="19"/>
      <c r="J666" s="88"/>
      <c r="K666" s="42"/>
      <c r="L666" s="42"/>
      <c r="M666" s="42"/>
      <c r="N666" s="42"/>
      <c r="O666" s="42"/>
      <c r="P666" s="42"/>
      <c r="Q666" s="42"/>
      <c r="R666" s="38" t="e">
        <f>VLOOKUP((D667),'Pwr Factor'!$A$1:$B$52,2)</f>
        <v>#N/A</v>
      </c>
      <c r="S666" s="50">
        <v>0.5</v>
      </c>
      <c r="T666" s="42"/>
      <c r="U666" s="42"/>
      <c r="V666" s="41"/>
      <c r="W666" s="42"/>
      <c r="X666" s="42"/>
      <c r="Y666" s="42"/>
      <c r="Z666" s="42"/>
      <c r="AA666" s="42"/>
      <c r="AB666" s="19"/>
      <c r="AC666" s="94"/>
    </row>
    <row r="667" spans="1:29" x14ac:dyDescent="0.2">
      <c r="A667" s="1" t="s">
        <v>149</v>
      </c>
      <c r="B667" s="103">
        <f>IF(AND('AES Indiana Bill Calc.'!$D$17="PL",'AES Indiana Bill Calc.'!$D$18="Yes 50%",'AES Indiana Bill Calc.'!$D$20="Yes 2021"),'AES Indiana Bill Calc.'!$D$19,-1)</f>
        <v>-1</v>
      </c>
      <c r="C667" s="103">
        <f>MAX(E667,$C$607)</f>
        <v>500</v>
      </c>
      <c r="D667" s="103" t="b">
        <f>IF(AND('AES Indiana Bill Calc.'!$D$17="PL",'AES Indiana Bill Calc.'!$D$18="Yes 50%",'AES Indiana Bill Calc.'!$D$20="Yes 2021"),'AES Indiana Bill Calc.'!$D$22)</f>
        <v>0</v>
      </c>
      <c r="E667" s="103" t="b">
        <f>IF(AND('AES Indiana Bill Calc.'!$D$17="PL",'AES Indiana Bill Calc.'!$D$18="Yes 50%",'AES Indiana Bill Calc.'!$D$20="Yes 2021"),'AES Indiana Bill Calc.'!$D$21)</f>
        <v>0</v>
      </c>
      <c r="F667" s="36" t="s">
        <v>217</v>
      </c>
      <c r="G667" s="42" t="e">
        <f>SUM(J667:M667,R667:AA667)</f>
        <v>#N/A</v>
      </c>
      <c r="H667" s="19" t="e">
        <f>IF(ISBLANK(B667),0,+#REF!/B667)</f>
        <v>#REF!</v>
      </c>
      <c r="I667" s="19"/>
      <c r="J667" s="88">
        <f>IF(ISBLANK(B667),0,+J$610)</f>
        <v>130</v>
      </c>
      <c r="K667" s="42">
        <f>ROUND($B667*K$610,2)</f>
        <v>-0.04</v>
      </c>
      <c r="L667" s="92">
        <f>IF($C667&gt;L$611,ROUND(L$611*L$610,2),ROUND($C667*L$610,2))</f>
        <v>14150</v>
      </c>
      <c r="M667" s="92">
        <f>IF($C667&gt;L$611,ROUND(($C667-L$611)*M$610,2),0)</f>
        <v>0</v>
      </c>
      <c r="N667" s="92">
        <f>K667</f>
        <v>-0.04</v>
      </c>
      <c r="O667" s="42"/>
      <c r="P667" s="42"/>
      <c r="Q667" s="92">
        <f>SUM(L667:M667)</f>
        <v>14150</v>
      </c>
      <c r="R667" s="82" t="e">
        <f>ROUND(SUM(K667:M667)*(R666-1),2)</f>
        <v>#N/A</v>
      </c>
      <c r="S667" s="42">
        <f>ROUND($B667*S$610*S666,2)</f>
        <v>0</v>
      </c>
      <c r="T667" s="42">
        <f>ROUND($B667*T$610,2)</f>
        <v>0</v>
      </c>
      <c r="U667" s="42">
        <f>ROUND($B667*U$610,2)</f>
        <v>0</v>
      </c>
      <c r="V667" s="41">
        <f>ROUND($B667*V$605,2)</f>
        <v>0</v>
      </c>
      <c r="W667" s="42">
        <f>ROUND($B667*W$610,2)</f>
        <v>0</v>
      </c>
      <c r="X667" s="42">
        <f>ROUND($B667*X$610,2)</f>
        <v>-0.01</v>
      </c>
      <c r="Y667" s="42">
        <f>ROUND($B667*Y$610,2)</f>
        <v>0</v>
      </c>
      <c r="Z667" s="42">
        <f>ROUND($B667*Z$610,2)</f>
        <v>0</v>
      </c>
      <c r="AA667" s="42">
        <f>ROUND($B667*AA$610,2)</f>
        <v>0</v>
      </c>
      <c r="AB667" s="19">
        <f>SUM(U$610:AA$610)+(-V$610+V612)</f>
        <v>22.011855000000001</v>
      </c>
      <c r="AC667" s="94" t="str">
        <f>+F667</f>
        <v>PL1</v>
      </c>
    </row>
    <row r="668" spans="1:29" x14ac:dyDescent="0.2">
      <c r="A668" s="9"/>
      <c r="B668" s="97">
        <v>-1</v>
      </c>
      <c r="D668" s="41"/>
      <c r="E668" s="80"/>
      <c r="F668" s="36"/>
      <c r="G668" s="42"/>
      <c r="H668" s="19"/>
      <c r="I668" s="19"/>
      <c r="J668" s="88"/>
      <c r="K668" s="42"/>
      <c r="L668" s="42"/>
      <c r="M668" s="42"/>
      <c r="N668" s="42"/>
      <c r="O668" s="42"/>
      <c r="P668" s="42"/>
      <c r="Q668" s="42"/>
      <c r="R668" s="38" t="e">
        <f>VLOOKUP((D669),'Pwr Factor'!$A$1:$B$52,2)</f>
        <v>#N/A</v>
      </c>
      <c r="S668" s="50">
        <v>0.25</v>
      </c>
      <c r="T668" s="42"/>
      <c r="U668" s="42"/>
      <c r="V668" s="41"/>
      <c r="W668" s="42"/>
      <c r="X668" s="42"/>
      <c r="Y668" s="42"/>
      <c r="Z668" s="42"/>
      <c r="AA668" s="42"/>
      <c r="AB668" s="19"/>
      <c r="AC668" s="94"/>
    </row>
    <row r="669" spans="1:29" x14ac:dyDescent="0.2">
      <c r="A669" s="1" t="s">
        <v>150</v>
      </c>
      <c r="B669" s="103">
        <f>IF(AND('AES Indiana Bill Calc.'!$D$17="PL",'AES Indiana Bill Calc.'!$D$18="Yes 25%",'AES Indiana Bill Calc.'!$D$20="Yes 2021"),'AES Indiana Bill Calc.'!$D$19,-1)</f>
        <v>-1</v>
      </c>
      <c r="C669" s="103">
        <f>MAX(E669,$C$607)</f>
        <v>500</v>
      </c>
      <c r="D669" s="103" t="b">
        <f>IF(AND('AES Indiana Bill Calc.'!$D$17="PL",'AES Indiana Bill Calc.'!$D$18="Yes 25%",'AES Indiana Bill Calc.'!$D$20="Yes 2021"),'AES Indiana Bill Calc.'!$D$22)</f>
        <v>0</v>
      </c>
      <c r="E669" s="103" t="b">
        <f>IF(AND('AES Indiana Bill Calc.'!$D$17="PL",'AES Indiana Bill Calc.'!$D$18="Yes 25%",'AES Indiana Bill Calc.'!$D$20="Yes 2021"),'AES Indiana Bill Calc.'!$D$21)</f>
        <v>0</v>
      </c>
      <c r="F669" s="36" t="s">
        <v>217</v>
      </c>
      <c r="G669" s="42" t="e">
        <f>SUM(J669:M669,R669:AA669)</f>
        <v>#N/A</v>
      </c>
      <c r="H669" s="19" t="e">
        <f>IF(ISBLANK(B669),0,+#REF!/B669)</f>
        <v>#REF!</v>
      </c>
      <c r="I669" s="19"/>
      <c r="J669" s="88">
        <f>IF(ISBLANK(B669),0,+J$610)</f>
        <v>130</v>
      </c>
      <c r="K669" s="42">
        <f>ROUND($B669*K$610,2)</f>
        <v>-0.04</v>
      </c>
      <c r="L669" s="92">
        <f>IF($C669&gt;L$611,ROUND(L$611*L$610,2),ROUND($C669*L$610,2))</f>
        <v>14150</v>
      </c>
      <c r="M669" s="92">
        <f>IF($C669&gt;L$611,ROUND(($C669-L$611)*M$610,2),0)</f>
        <v>0</v>
      </c>
      <c r="N669" s="92">
        <f>K669</f>
        <v>-0.04</v>
      </c>
      <c r="O669" s="42"/>
      <c r="P669" s="42"/>
      <c r="Q669" s="92">
        <f>SUM(L669:M669)</f>
        <v>14150</v>
      </c>
      <c r="R669" s="82" t="e">
        <f>ROUND(SUM(K669:M669)*(R668-1),2)</f>
        <v>#N/A</v>
      </c>
      <c r="S669" s="42">
        <f>ROUND($B669*S$610*S668,2)</f>
        <v>0</v>
      </c>
      <c r="T669" s="42">
        <f>ROUND($B669*T$610,2)</f>
        <v>0</v>
      </c>
      <c r="U669" s="42">
        <f>ROUND($B669*U$610,2)</f>
        <v>0</v>
      </c>
      <c r="V669" s="41">
        <f>ROUND($B669*V$605,2)</f>
        <v>0</v>
      </c>
      <c r="W669" s="42">
        <f>ROUND($B669*W$610,2)</f>
        <v>0</v>
      </c>
      <c r="X669" s="42">
        <f>ROUND($B669*X$610,2)</f>
        <v>-0.01</v>
      </c>
      <c r="Y669" s="42">
        <f>ROUND($B669*Y$610,2)</f>
        <v>0</v>
      </c>
      <c r="Z669" s="42">
        <f>ROUND($B669*Z$610,2)</f>
        <v>0</v>
      </c>
      <c r="AA669" s="42">
        <f>ROUND($B669*AA$610,2)</f>
        <v>0</v>
      </c>
      <c r="AB669" s="19">
        <f>SUM(U$610:AA$610)+(-V$610+V614)</f>
        <v>1.1855000000000001E-2</v>
      </c>
      <c r="AC669" s="94" t="str">
        <f>+F669</f>
        <v>PL1</v>
      </c>
    </row>
    <row r="670" spans="1:29" x14ac:dyDescent="0.2">
      <c r="A670" s="9"/>
      <c r="B670" s="97">
        <v>-1</v>
      </c>
      <c r="D670" s="41"/>
      <c r="E670" s="80"/>
      <c r="F670" s="36"/>
      <c r="G670" s="42"/>
      <c r="H670" s="19"/>
      <c r="I670" s="19"/>
      <c r="J670" s="88"/>
      <c r="K670" s="42"/>
      <c r="L670" s="42"/>
      <c r="M670" s="42"/>
      <c r="N670" s="42"/>
      <c r="O670" s="42"/>
      <c r="P670" s="42"/>
      <c r="Q670" s="42"/>
      <c r="R670" s="38" t="e">
        <f>VLOOKUP((D671),'Pwr Factor'!$A$1:$B$52,2)</f>
        <v>#N/A</v>
      </c>
      <c r="S670" s="50">
        <v>0.1</v>
      </c>
      <c r="T670" s="42"/>
      <c r="U670" s="42"/>
      <c r="V670" s="41"/>
      <c r="W670" s="42"/>
      <c r="X670" s="42"/>
      <c r="Y670" s="42"/>
      <c r="Z670" s="42"/>
      <c r="AA670" s="42"/>
      <c r="AB670" s="19"/>
      <c r="AC670" s="94"/>
    </row>
    <row r="671" spans="1:29" x14ac:dyDescent="0.2">
      <c r="A671" s="1" t="s">
        <v>164</v>
      </c>
      <c r="B671" s="103">
        <f>IF(AND('AES Indiana Bill Calc.'!$D$17="PL",'AES Indiana Bill Calc.'!$D$18="Yes 10%",'AES Indiana Bill Calc.'!$D$20="Yes 2021"),'AES Indiana Bill Calc.'!$D$19,-1)</f>
        <v>-1</v>
      </c>
      <c r="C671" s="103">
        <f>MAX(E671,$C$607)</f>
        <v>500</v>
      </c>
      <c r="D671" s="103" t="b">
        <f>IF(AND('AES Indiana Bill Calc.'!$D$17="PL",'AES Indiana Bill Calc.'!$D$18="Yes 10%",'AES Indiana Bill Calc.'!$D$20="Yes 2021"),'AES Indiana Bill Calc.'!$D$22)</f>
        <v>0</v>
      </c>
      <c r="E671" s="103" t="b">
        <f>IF(AND('AES Indiana Bill Calc.'!$D$17="PL",'AES Indiana Bill Calc.'!$D$18="Yes 10%",'AES Indiana Bill Calc.'!$D$20="Yes 2021"),'AES Indiana Bill Calc.'!$D$21)</f>
        <v>0</v>
      </c>
      <c r="F671" s="36" t="s">
        <v>217</v>
      </c>
      <c r="G671" s="42" t="e">
        <f>SUM(J671:M671,R671:AA671)</f>
        <v>#N/A</v>
      </c>
      <c r="H671" s="19" t="e">
        <f>IF(ISBLANK(B671),0,+#REF!/B671)</f>
        <v>#REF!</v>
      </c>
      <c r="I671" s="19"/>
      <c r="J671" s="88">
        <f>IF(ISBLANK(B671),0,+J$610)</f>
        <v>130</v>
      </c>
      <c r="K671" s="42">
        <f>ROUND($B671*K$610,2)</f>
        <v>-0.04</v>
      </c>
      <c r="L671" s="92">
        <f>IF($C671&gt;L$611,ROUND(L$611*L$610,2),ROUND($C671*L$610,2))</f>
        <v>14150</v>
      </c>
      <c r="M671" s="92">
        <f>IF($C671&gt;L$611,ROUND(($C671-L$611)*M$610,2),0)</f>
        <v>0</v>
      </c>
      <c r="N671" s="92">
        <f>K671</f>
        <v>-0.04</v>
      </c>
      <c r="O671" s="42"/>
      <c r="P671" s="42"/>
      <c r="Q671" s="92">
        <f>SUM(L671:M671)</f>
        <v>14150</v>
      </c>
      <c r="R671" s="82" t="e">
        <f>ROUND(SUM(K671:M671)*(R670-1),2)</f>
        <v>#N/A</v>
      </c>
      <c r="S671" s="42">
        <f>ROUND($B671*S$610*S670,2)</f>
        <v>0</v>
      </c>
      <c r="T671" s="42">
        <f>ROUND($B671*T$610,2)</f>
        <v>0</v>
      </c>
      <c r="U671" s="42">
        <f>ROUND($B671*U$610,2)</f>
        <v>0</v>
      </c>
      <c r="V671" s="41">
        <f>ROUND($B671*V$605,2)</f>
        <v>0</v>
      </c>
      <c r="W671" s="42">
        <f>ROUND($B671*W$610,2)</f>
        <v>0</v>
      </c>
      <c r="X671" s="42">
        <f>ROUND($B671*X$610,2)</f>
        <v>-0.01</v>
      </c>
      <c r="Y671" s="42">
        <f>ROUND($B671*Y$610,2)</f>
        <v>0</v>
      </c>
      <c r="Z671" s="42">
        <f>ROUND($B671*Z$610,2)</f>
        <v>0</v>
      </c>
      <c r="AA671" s="42">
        <f>ROUND($B671*AA$610,2)</f>
        <v>0</v>
      </c>
      <c r="AB671" s="19">
        <f>SUM(U$610:AA$610)+(-V$610+V616)</f>
        <v>1.1855000000000001E-2</v>
      </c>
      <c r="AC671" s="94" t="str">
        <f>+F671</f>
        <v>PL1</v>
      </c>
    </row>
    <row r="672" spans="1:29" x14ac:dyDescent="0.2">
      <c r="A672" s="9"/>
      <c r="B672" s="97">
        <v>-1</v>
      </c>
      <c r="D672" s="41"/>
      <c r="E672" s="80"/>
      <c r="F672" s="36"/>
      <c r="G672" s="42"/>
      <c r="H672" s="19"/>
      <c r="I672" s="19"/>
      <c r="J672" s="88"/>
      <c r="K672" s="42"/>
      <c r="L672" s="42"/>
      <c r="M672" s="42"/>
      <c r="N672" s="42"/>
      <c r="O672" s="42"/>
      <c r="P672" s="42"/>
      <c r="Q672" s="42"/>
      <c r="R672" s="38" t="e">
        <f>VLOOKUP((D673),'Pwr Factor'!$A$1:$B$52,2)</f>
        <v>#N/A</v>
      </c>
      <c r="S672" s="50">
        <v>0</v>
      </c>
      <c r="T672" s="42"/>
      <c r="U672" s="42"/>
      <c r="V672" s="41"/>
      <c r="W672" s="42"/>
      <c r="X672" s="42"/>
      <c r="Y672" s="42"/>
      <c r="Z672" s="42"/>
      <c r="AA672" s="42"/>
      <c r="AB672" s="19"/>
      <c r="AC672" s="94"/>
    </row>
    <row r="673" spans="1:29" x14ac:dyDescent="0.2">
      <c r="A673" s="1" t="s">
        <v>147</v>
      </c>
      <c r="B673" s="103">
        <f>IF(AND('AES Indiana Bill Calc.'!$D$17="PL",'AES Indiana Bill Calc.'!$D$18="No",'AES Indiana Bill Calc.'!$D$20="Yes 2021"),'AES Indiana Bill Calc.'!$D$19,-1)</f>
        <v>-1</v>
      </c>
      <c r="C673" s="103">
        <f>MAX(E673,$C$607)</f>
        <v>500</v>
      </c>
      <c r="D673" s="103" t="b">
        <f>IF(AND('AES Indiana Bill Calc.'!$D$17="PL",'AES Indiana Bill Calc.'!$D$18="No",'AES Indiana Bill Calc.'!$D$20="Yes 2021"),'AES Indiana Bill Calc.'!$D$22)</f>
        <v>0</v>
      </c>
      <c r="E673" s="103" t="b">
        <f>IF(AND('AES Indiana Bill Calc.'!$D$17="PL",'AES Indiana Bill Calc.'!$D$18="No",'AES Indiana Bill Calc.'!$D$20="Yes 2021"),'AES Indiana Bill Calc.'!$D$21)</f>
        <v>0</v>
      </c>
      <c r="F673" s="36" t="s">
        <v>217</v>
      </c>
      <c r="G673" s="42" t="e">
        <f>SUM(J673:M673,R673:AA673)</f>
        <v>#N/A</v>
      </c>
      <c r="H673" s="19" t="e">
        <f>IF(ISBLANK(B673),0,+#REF!/B673)</f>
        <v>#REF!</v>
      </c>
      <c r="I673" s="19"/>
      <c r="J673" s="88">
        <f>IF(ISBLANK(B673),0,+J$610)</f>
        <v>130</v>
      </c>
      <c r="K673" s="42">
        <f>ROUND($B673*K$610,2)</f>
        <v>-0.04</v>
      </c>
      <c r="L673" s="92">
        <f>IF($C673&gt;L$611,ROUND(L$611*L$610,2),ROUND($C673*L$610,2))</f>
        <v>14150</v>
      </c>
      <c r="M673" s="92">
        <f>IF($C673&gt;L$611,ROUND(($C673-L$611)*M$610,2),0)</f>
        <v>0</v>
      </c>
      <c r="N673" s="92">
        <f>K673</f>
        <v>-0.04</v>
      </c>
      <c r="O673" s="42"/>
      <c r="P673" s="42"/>
      <c r="Q673" s="92">
        <f>SUM(L673:M673)</f>
        <v>14150</v>
      </c>
      <c r="R673" s="82" t="e">
        <f>ROUND(SUM(K673:M673)*(R672-1),2)</f>
        <v>#N/A</v>
      </c>
      <c r="S673" s="42">
        <f>ROUND($B673*S$610*S672,2)</f>
        <v>0</v>
      </c>
      <c r="T673" s="42">
        <f>ROUND($B673*T$610,2)</f>
        <v>0</v>
      </c>
      <c r="U673" s="42">
        <f>ROUND($B673*U$610,2)</f>
        <v>0</v>
      </c>
      <c r="V673" s="41">
        <f>ROUND($B673*V$605,2)</f>
        <v>0</v>
      </c>
      <c r="W673" s="42">
        <f>ROUND($B673*W$610,2)</f>
        <v>0</v>
      </c>
      <c r="X673" s="42">
        <f>ROUND($B673*X$610,2)</f>
        <v>-0.01</v>
      </c>
      <c r="Y673" s="42">
        <f>ROUND($B673*Y$610,2)</f>
        <v>0</v>
      </c>
      <c r="Z673" s="42">
        <f>ROUND($B673*Z$610,2)</f>
        <v>0</v>
      </c>
      <c r="AA673" s="42">
        <f>ROUND($B673*AA$610,2)</f>
        <v>0</v>
      </c>
      <c r="AB673" s="19">
        <f>SUM(U$610:AA$610)+(-V$610+V618)</f>
        <v>1.1855000000000001E-2</v>
      </c>
      <c r="AC673" s="94" t="str">
        <f>+F673</f>
        <v>PL1</v>
      </c>
    </row>
    <row r="674" spans="1:29" x14ac:dyDescent="0.2">
      <c r="B674" s="97">
        <v>-1</v>
      </c>
      <c r="D674" s="41"/>
      <c r="E674" s="80"/>
      <c r="F674" s="36"/>
      <c r="G674" s="42"/>
      <c r="H674" s="19"/>
      <c r="I674" s="19"/>
      <c r="J674" s="88"/>
      <c r="K674" s="42"/>
      <c r="L674" s="42"/>
      <c r="M674" s="42"/>
      <c r="N674" s="42"/>
      <c r="O674" s="42"/>
      <c r="P674" s="42"/>
      <c r="Q674" s="42"/>
      <c r="R674" s="38" t="e">
        <f>VLOOKUP((D675),'Pwr Factor'!$A$1:$B$52,2)</f>
        <v>#N/A</v>
      </c>
      <c r="S674" s="50">
        <v>1</v>
      </c>
      <c r="T674" s="42"/>
      <c r="U674" s="42"/>
      <c r="V674" s="41"/>
      <c r="W674" s="42"/>
      <c r="X674" s="42"/>
      <c r="Y674" s="42"/>
      <c r="Z674" s="42"/>
      <c r="AA674" s="42"/>
      <c r="AB674" s="19"/>
      <c r="AC674" s="94"/>
    </row>
    <row r="675" spans="1:29" x14ac:dyDescent="0.2">
      <c r="A675" s="1" t="s">
        <v>148</v>
      </c>
      <c r="B675" s="103">
        <f>IF(AND('AES Indiana Bill Calc.'!$D$17="PL",'AES Indiana Bill Calc.'!$D$18="Yes 100%",'AES Indiana Bill Calc.'!$D$20="Yes 2022"),'AES Indiana Bill Calc.'!$D$19,-1)</f>
        <v>-1</v>
      </c>
      <c r="C675" s="103">
        <f>MAX(E675,$C$607)</f>
        <v>500</v>
      </c>
      <c r="D675" s="103" t="b">
        <f>IF(AND('AES Indiana Bill Calc.'!$D$17="PL",'AES Indiana Bill Calc.'!$D$18="Yes 100%",'AES Indiana Bill Calc.'!$D$20="Yes 2022"),'AES Indiana Bill Calc.'!$D$22)</f>
        <v>0</v>
      </c>
      <c r="E675" s="103" t="b">
        <f>IF(AND('AES Indiana Bill Calc.'!$D$17="PL",'AES Indiana Bill Calc.'!$D$18="Yes 100%",'AES Indiana Bill Calc.'!$D$20="Yes 2022"),'AES Indiana Bill Calc.'!$D$21)</f>
        <v>0</v>
      </c>
      <c r="F675" s="36" t="s">
        <v>218</v>
      </c>
      <c r="G675" s="42" t="e">
        <f>SUM(J675:M675,R675:AA675)</f>
        <v>#N/A</v>
      </c>
      <c r="H675" s="19" t="e">
        <f>IF(ISBLANK(B675),0,+#REF!/B675)</f>
        <v>#REF!</v>
      </c>
      <c r="I675" s="19"/>
      <c r="J675" s="88">
        <f>IF(ISBLANK(B675),0,+J$610)</f>
        <v>130</v>
      </c>
      <c r="K675" s="42">
        <f>ROUND($B675*K$610,2)</f>
        <v>-0.04</v>
      </c>
      <c r="L675" s="92">
        <f>IF($C675&gt;L$611,ROUND(L$611*L$610,2),ROUND($C675*L$610,2))</f>
        <v>14150</v>
      </c>
      <c r="M675" s="92">
        <f>IF($C675&gt;L$611,ROUND(($C675-L$611)*M$610,2),0)</f>
        <v>0</v>
      </c>
      <c r="N675" s="92">
        <f>K675</f>
        <v>-0.04</v>
      </c>
      <c r="O675" s="42"/>
      <c r="P675" s="42"/>
      <c r="Q675" s="92">
        <f>SUM(L675:M675)</f>
        <v>14150</v>
      </c>
      <c r="R675" s="82" t="e">
        <f>ROUND(SUM(K675:M675)*(R674-1),2)</f>
        <v>#N/A</v>
      </c>
      <c r="S675" s="42">
        <f>ROUND($B675*S$610*S674,2)</f>
        <v>0</v>
      </c>
      <c r="T675" s="42">
        <f>ROUND($B675*T$610,2)</f>
        <v>0</v>
      </c>
      <c r="U675" s="42">
        <f>ROUND($B675*U$610,2)</f>
        <v>0</v>
      </c>
      <c r="V675" s="41">
        <f>ROUND($B675*V$606,2)</f>
        <v>0</v>
      </c>
      <c r="W675" s="42">
        <f>ROUND($B675*W$610,2)</f>
        <v>0</v>
      </c>
      <c r="X675" s="42">
        <f>ROUND($B675*X$610,2)</f>
        <v>-0.01</v>
      </c>
      <c r="Y675" s="42">
        <f>ROUND($B675*Y$610,2)</f>
        <v>0</v>
      </c>
      <c r="Z675" s="42">
        <f>ROUND($B675*Z$610,2)</f>
        <v>0</v>
      </c>
      <c r="AA675" s="42">
        <f>ROUND($B675*AA$610,2)</f>
        <v>0</v>
      </c>
      <c r="AB675" s="19">
        <f>SUM(U$610:AA$610)+(-V$610+V620)</f>
        <v>1.1855000000000001E-2</v>
      </c>
      <c r="AC675" s="94" t="str">
        <f>+F675</f>
        <v>PL2</v>
      </c>
    </row>
    <row r="676" spans="1:29" x14ac:dyDescent="0.2">
      <c r="A676" s="9"/>
      <c r="B676" s="97">
        <v>-1</v>
      </c>
      <c r="D676" s="41"/>
      <c r="E676" s="80"/>
      <c r="F676" s="36"/>
      <c r="G676" s="42"/>
      <c r="H676" s="19"/>
      <c r="I676" s="19"/>
      <c r="J676" s="88"/>
      <c r="K676" s="42"/>
      <c r="L676" s="42"/>
      <c r="M676" s="42"/>
      <c r="N676" s="42"/>
      <c r="O676" s="42"/>
      <c r="P676" s="42"/>
      <c r="Q676" s="42"/>
      <c r="R676" s="38" t="e">
        <f>VLOOKUP((D677),'Pwr Factor'!$A$1:$B$52,2)</f>
        <v>#N/A</v>
      </c>
      <c r="S676" s="50">
        <v>0.5</v>
      </c>
      <c r="T676" s="42"/>
      <c r="U676" s="42"/>
      <c r="V676" s="41"/>
      <c r="W676" s="42"/>
      <c r="X676" s="42"/>
      <c r="Y676" s="42"/>
      <c r="Z676" s="42"/>
      <c r="AA676" s="42"/>
      <c r="AB676" s="19"/>
      <c r="AC676" s="94"/>
    </row>
    <row r="677" spans="1:29" x14ac:dyDescent="0.2">
      <c r="A677" s="1" t="s">
        <v>149</v>
      </c>
      <c r="B677" s="103">
        <f>IF(AND('AES Indiana Bill Calc.'!$D$17="PL",'AES Indiana Bill Calc.'!$D$18="Yes 50%",'AES Indiana Bill Calc.'!$D$20="Yes 2022"),'AES Indiana Bill Calc.'!$D$19,-1)</f>
        <v>-1</v>
      </c>
      <c r="C677" s="103">
        <f>MAX(E677,$C$607)</f>
        <v>500</v>
      </c>
      <c r="D677" s="103" t="b">
        <f>IF(AND('AES Indiana Bill Calc.'!$D$17="PL",'AES Indiana Bill Calc.'!$D$18="Yes 50%",'AES Indiana Bill Calc.'!$D$20="Yes 2022"),'AES Indiana Bill Calc.'!$D$22)</f>
        <v>0</v>
      </c>
      <c r="E677" s="103" t="b">
        <f>IF(AND('AES Indiana Bill Calc.'!$D$17="PL",'AES Indiana Bill Calc.'!$D$18="Yes 50%",'AES Indiana Bill Calc.'!$D$20="Yes 2022"),'AES Indiana Bill Calc.'!$D$21)</f>
        <v>0</v>
      </c>
      <c r="F677" s="36" t="s">
        <v>218</v>
      </c>
      <c r="G677" s="42" t="e">
        <f>SUM(J677:M677,R677:AA677)</f>
        <v>#N/A</v>
      </c>
      <c r="H677" s="19" t="e">
        <f>IF(ISBLANK(B677),0,+#REF!/B677)</f>
        <v>#REF!</v>
      </c>
      <c r="I677" s="19"/>
      <c r="J677" s="88">
        <f>IF(ISBLANK(B677),0,+J$610)</f>
        <v>130</v>
      </c>
      <c r="K677" s="42">
        <f>ROUND($B677*K$610,2)</f>
        <v>-0.04</v>
      </c>
      <c r="L677" s="92">
        <f>IF($C677&gt;L$611,ROUND(L$611*L$610,2),ROUND($C677*L$610,2))</f>
        <v>14150</v>
      </c>
      <c r="M677" s="92">
        <f>IF($C677&gt;L$611,ROUND(($C677-L$611)*M$610,2),0)</f>
        <v>0</v>
      </c>
      <c r="N677" s="92">
        <f>K677</f>
        <v>-0.04</v>
      </c>
      <c r="O677" s="42"/>
      <c r="P677" s="42"/>
      <c r="Q677" s="92">
        <f>SUM(L677:M677)</f>
        <v>14150</v>
      </c>
      <c r="R677" s="82" t="e">
        <f>ROUND(SUM(K677:M677)*(R676-1),2)</f>
        <v>#N/A</v>
      </c>
      <c r="S677" s="42">
        <f>ROUND($B677*S$610*S676,2)</f>
        <v>0</v>
      </c>
      <c r="T677" s="42">
        <f>ROUND($B677*T$610,2)</f>
        <v>0</v>
      </c>
      <c r="U677" s="42">
        <f>ROUND($B677*U$610,2)</f>
        <v>0</v>
      </c>
      <c r="V677" s="41">
        <f>ROUND($B677*V$606,2)</f>
        <v>0</v>
      </c>
      <c r="W677" s="42">
        <f>ROUND($B677*W$610,2)</f>
        <v>0</v>
      </c>
      <c r="X677" s="42">
        <f>ROUND($B677*X$610,2)</f>
        <v>-0.01</v>
      </c>
      <c r="Y677" s="42">
        <f>ROUND($B677*Y$610,2)</f>
        <v>0</v>
      </c>
      <c r="Z677" s="42">
        <f>ROUND($B677*Z$610,2)</f>
        <v>0</v>
      </c>
      <c r="AA677" s="42">
        <f>ROUND($B677*AA$610,2)</f>
        <v>0</v>
      </c>
      <c r="AB677" s="19">
        <f>SUM(U$610:AA$610)+(-V$610+V622)</f>
        <v>1.1855000000000001E-2</v>
      </c>
      <c r="AC677" s="94" t="str">
        <f>+F677</f>
        <v>PL2</v>
      </c>
    </row>
    <row r="678" spans="1:29" x14ac:dyDescent="0.2">
      <c r="A678" s="9"/>
      <c r="B678" s="97">
        <v>-1</v>
      </c>
      <c r="D678" s="41"/>
      <c r="E678" s="80"/>
      <c r="F678" s="36"/>
      <c r="G678" s="42"/>
      <c r="H678" s="19"/>
      <c r="I678" s="19"/>
      <c r="J678" s="88"/>
      <c r="K678" s="42"/>
      <c r="L678" s="42"/>
      <c r="M678" s="42"/>
      <c r="N678" s="42"/>
      <c r="O678" s="42"/>
      <c r="P678" s="42"/>
      <c r="Q678" s="42"/>
      <c r="R678" s="38" t="e">
        <f>VLOOKUP((D679),'Pwr Factor'!$A$1:$B$52,2)</f>
        <v>#N/A</v>
      </c>
      <c r="S678" s="50">
        <v>0.25</v>
      </c>
      <c r="T678" s="42"/>
      <c r="U678" s="42"/>
      <c r="V678" s="41"/>
      <c r="W678" s="42"/>
      <c r="X678" s="42"/>
      <c r="Y678" s="42"/>
      <c r="Z678" s="42"/>
      <c r="AA678" s="42"/>
      <c r="AB678" s="19"/>
      <c r="AC678" s="94"/>
    </row>
    <row r="679" spans="1:29" x14ac:dyDescent="0.2">
      <c r="A679" s="1" t="s">
        <v>150</v>
      </c>
      <c r="B679" s="103">
        <f>IF(AND('AES Indiana Bill Calc.'!$D$17="PL",'AES Indiana Bill Calc.'!$D$18="Yes 25%",'AES Indiana Bill Calc.'!$D$20="Yes 2022"),'AES Indiana Bill Calc.'!$D$19,-1)</f>
        <v>-1</v>
      </c>
      <c r="C679" s="103">
        <f>MAX(E679,$C$607)</f>
        <v>500</v>
      </c>
      <c r="D679" s="103" t="b">
        <f>IF(AND('AES Indiana Bill Calc.'!$D$17="PL",'AES Indiana Bill Calc.'!$D$18="Yes 25%",'AES Indiana Bill Calc.'!$D$20="Yes 2022"),'AES Indiana Bill Calc.'!$D$22)</f>
        <v>0</v>
      </c>
      <c r="E679" s="103" t="b">
        <f>IF(AND('AES Indiana Bill Calc.'!$D$17="PL",'AES Indiana Bill Calc.'!$D$18="Yes 25%",'AES Indiana Bill Calc.'!$D$20="Yes 2022"),'AES Indiana Bill Calc.'!$D$21)</f>
        <v>0</v>
      </c>
      <c r="F679" s="36" t="s">
        <v>218</v>
      </c>
      <c r="G679" s="42" t="e">
        <f>SUM(J679:M679,R679:AA679)</f>
        <v>#N/A</v>
      </c>
      <c r="H679" s="19" t="e">
        <f>IF(ISBLANK(B679),0,+#REF!/B679)</f>
        <v>#REF!</v>
      </c>
      <c r="I679" s="19"/>
      <c r="J679" s="88">
        <f>IF(ISBLANK(B679),0,+J$610)</f>
        <v>130</v>
      </c>
      <c r="K679" s="42">
        <f>ROUND($B679*K$610,2)</f>
        <v>-0.04</v>
      </c>
      <c r="L679" s="92">
        <f>IF($C679&gt;L$611,ROUND(L$611*L$610,2),ROUND($C679*L$610,2))</f>
        <v>14150</v>
      </c>
      <c r="M679" s="92">
        <f>IF($C679&gt;L$611,ROUND(($C679-L$611)*M$610,2),0)</f>
        <v>0</v>
      </c>
      <c r="N679" s="92">
        <f>K679</f>
        <v>-0.04</v>
      </c>
      <c r="O679" s="42"/>
      <c r="P679" s="42"/>
      <c r="Q679" s="92">
        <f>SUM(L679:M679)</f>
        <v>14150</v>
      </c>
      <c r="R679" s="82" t="e">
        <f>ROUND(SUM(K679:M679)*(R678-1),2)</f>
        <v>#N/A</v>
      </c>
      <c r="S679" s="42">
        <f>ROUND($B679*S$610*S678,2)</f>
        <v>0</v>
      </c>
      <c r="T679" s="42">
        <f>ROUND($B679*T$610,2)</f>
        <v>0</v>
      </c>
      <c r="U679" s="42">
        <f>ROUND($B679*U$610,2)</f>
        <v>0</v>
      </c>
      <c r="V679" s="41">
        <f>ROUND($B679*V$606,2)</f>
        <v>0</v>
      </c>
      <c r="W679" s="42">
        <f>ROUND($B679*W$610,2)</f>
        <v>0</v>
      </c>
      <c r="X679" s="42">
        <f>ROUND($B679*X$610,2)</f>
        <v>-0.01</v>
      </c>
      <c r="Y679" s="42">
        <f>ROUND($B679*Y$610,2)</f>
        <v>0</v>
      </c>
      <c r="Z679" s="42">
        <f>ROUND($B679*Z$610,2)</f>
        <v>0</v>
      </c>
      <c r="AA679" s="42">
        <f>ROUND($B679*AA$610,2)</f>
        <v>0</v>
      </c>
      <c r="AB679" s="19">
        <f>SUM(U$610:AA$610)+(-V$610+V624)</f>
        <v>1.1855000000000001E-2</v>
      </c>
      <c r="AC679" s="94" t="str">
        <f>+F679</f>
        <v>PL2</v>
      </c>
    </row>
    <row r="680" spans="1:29" x14ac:dyDescent="0.2">
      <c r="A680" s="9"/>
      <c r="B680" s="97">
        <v>-1</v>
      </c>
      <c r="D680" s="41"/>
      <c r="E680" s="80"/>
      <c r="F680" s="36"/>
      <c r="G680" s="42"/>
      <c r="H680" s="19"/>
      <c r="I680" s="19"/>
      <c r="J680" s="88"/>
      <c r="K680" s="42"/>
      <c r="L680" s="42"/>
      <c r="M680" s="42"/>
      <c r="N680" s="42"/>
      <c r="O680" s="42"/>
      <c r="P680" s="42"/>
      <c r="Q680" s="42"/>
      <c r="R680" s="38" t="e">
        <f>VLOOKUP((D681),'Pwr Factor'!$A$1:$B$52,2)</f>
        <v>#N/A</v>
      </c>
      <c r="S680" s="50">
        <v>0.1</v>
      </c>
      <c r="T680" s="42"/>
      <c r="U680" s="42"/>
      <c r="V680" s="41"/>
      <c r="W680" s="42"/>
      <c r="X680" s="42"/>
      <c r="Y680" s="42"/>
      <c r="Z680" s="42"/>
      <c r="AA680" s="42"/>
      <c r="AB680" s="19"/>
      <c r="AC680" s="94"/>
    </row>
    <row r="681" spans="1:29" x14ac:dyDescent="0.2">
      <c r="A681" s="1" t="s">
        <v>164</v>
      </c>
      <c r="B681" s="103">
        <f>IF(AND('AES Indiana Bill Calc.'!$D$17="PL",'AES Indiana Bill Calc.'!$D$18="Yes 10%",'AES Indiana Bill Calc.'!$D$20="Yes 2022"),'AES Indiana Bill Calc.'!$D$19,-1)</f>
        <v>-1</v>
      </c>
      <c r="C681" s="103">
        <f>MAX(E681,$C$607)</f>
        <v>500</v>
      </c>
      <c r="D681" s="103" t="b">
        <f>IF(AND('AES Indiana Bill Calc.'!$D$17="PL",'AES Indiana Bill Calc.'!$D$18="Yes 10%",'AES Indiana Bill Calc.'!$D$20="Yes 2022"),'AES Indiana Bill Calc.'!$D$22)</f>
        <v>0</v>
      </c>
      <c r="E681" s="103" t="b">
        <f>IF(AND('AES Indiana Bill Calc.'!$D$17="PL",'AES Indiana Bill Calc.'!$D$18="Yes 10%",'AES Indiana Bill Calc.'!$D$20="Yes 2022"),'AES Indiana Bill Calc.'!$D$21)</f>
        <v>0</v>
      </c>
      <c r="F681" s="36" t="s">
        <v>218</v>
      </c>
      <c r="G681" s="42" t="e">
        <f>SUM(J681:M681,R681:AA681)</f>
        <v>#N/A</v>
      </c>
      <c r="H681" s="19" t="e">
        <f>IF(ISBLANK(B681),0,+#REF!/B681)</f>
        <v>#REF!</v>
      </c>
      <c r="I681" s="19"/>
      <c r="J681" s="88">
        <f>IF(ISBLANK(B681),0,+J$610)</f>
        <v>130</v>
      </c>
      <c r="K681" s="42">
        <f>ROUND($B681*K$610,2)</f>
        <v>-0.04</v>
      </c>
      <c r="L681" s="92">
        <f>IF($C681&gt;L$611,ROUND(L$611*L$610,2),ROUND($C681*L$610,2))</f>
        <v>14150</v>
      </c>
      <c r="M681" s="92">
        <f>IF($C681&gt;L$611,ROUND(($C681-L$611)*M$610,2),0)</f>
        <v>0</v>
      </c>
      <c r="N681" s="92">
        <f>K681</f>
        <v>-0.04</v>
      </c>
      <c r="O681" s="42"/>
      <c r="P681" s="42"/>
      <c r="Q681" s="92">
        <f>SUM(L681:M681)</f>
        <v>14150</v>
      </c>
      <c r="R681" s="82" t="e">
        <f>ROUND(SUM(K681:M681)*(R680-1),2)</f>
        <v>#N/A</v>
      </c>
      <c r="S681" s="42">
        <f>ROUND($B681*S$610*S680,2)</f>
        <v>0</v>
      </c>
      <c r="T681" s="42">
        <f>ROUND($B681*T$610,2)</f>
        <v>0</v>
      </c>
      <c r="U681" s="42">
        <f>ROUND($B681*U$610,2)</f>
        <v>0</v>
      </c>
      <c r="V681" s="41">
        <f>ROUND($B681*V$606,2)</f>
        <v>0</v>
      </c>
      <c r="W681" s="42">
        <f>ROUND($B681*W$610,2)</f>
        <v>0</v>
      </c>
      <c r="X681" s="42">
        <f>ROUND($B681*X$610,2)</f>
        <v>-0.01</v>
      </c>
      <c r="Y681" s="42">
        <f>ROUND($B681*Y$610,2)</f>
        <v>0</v>
      </c>
      <c r="Z681" s="42">
        <f>ROUND($B681*Z$610,2)</f>
        <v>0</v>
      </c>
      <c r="AA681" s="42">
        <f>ROUND($B681*AA$610,2)</f>
        <v>0</v>
      </c>
      <c r="AB681" s="19">
        <f>SUM(U$610:AA$610)+(-V$610+V626)</f>
        <v>1.1855000000000001E-2</v>
      </c>
      <c r="AC681" s="94" t="str">
        <f>+F681</f>
        <v>PL2</v>
      </c>
    </row>
    <row r="682" spans="1:29" ht="15" customHeight="1" x14ac:dyDescent="0.2">
      <c r="A682" s="9"/>
      <c r="B682" s="97">
        <v>-1</v>
      </c>
      <c r="D682" s="41"/>
      <c r="E682" s="80"/>
      <c r="F682" s="36"/>
      <c r="G682" s="42"/>
      <c r="H682" s="19"/>
      <c r="I682" s="19"/>
      <c r="J682" s="88"/>
      <c r="K682" s="42"/>
      <c r="L682" s="42"/>
      <c r="M682" s="42"/>
      <c r="N682" s="42"/>
      <c r="O682" s="42"/>
      <c r="P682" s="42"/>
      <c r="Q682" s="42"/>
      <c r="R682" s="38" t="e">
        <f>VLOOKUP((D683),'Pwr Factor'!$A$1:$B$52,2)</f>
        <v>#N/A</v>
      </c>
      <c r="S682" s="50">
        <v>0</v>
      </c>
      <c r="T682" s="42"/>
      <c r="U682" s="42"/>
      <c r="V682" s="41"/>
      <c r="W682" s="42"/>
      <c r="X682" s="42"/>
      <c r="Y682" s="42"/>
      <c r="Z682" s="42"/>
      <c r="AA682" s="42"/>
      <c r="AB682" s="19"/>
      <c r="AC682" s="94"/>
    </row>
    <row r="683" spans="1:29" ht="15" customHeight="1" x14ac:dyDescent="0.2">
      <c r="A683" s="1" t="s">
        <v>147</v>
      </c>
      <c r="B683" s="103">
        <f>IF(AND('AES Indiana Bill Calc.'!$D$17="PL",'AES Indiana Bill Calc.'!$D$18="No",'AES Indiana Bill Calc.'!$D$20="Yes 2022"),'AES Indiana Bill Calc.'!$D$19,-1)</f>
        <v>-1</v>
      </c>
      <c r="C683" s="103">
        <f>MAX(E683,$C$607)</f>
        <v>500</v>
      </c>
      <c r="D683" s="103" t="b">
        <f>IF(AND('AES Indiana Bill Calc.'!$D$17="PL",'AES Indiana Bill Calc.'!$D$18="No",'AES Indiana Bill Calc.'!$D$20="Yes 2022"),'AES Indiana Bill Calc.'!$D$22)</f>
        <v>0</v>
      </c>
      <c r="E683" s="103" t="b">
        <f>IF(AND('AES Indiana Bill Calc.'!$D$17="PL",'AES Indiana Bill Calc.'!$D$18="No",'AES Indiana Bill Calc.'!$D$20="Yes 2022"),'AES Indiana Bill Calc.'!$D$21)</f>
        <v>0</v>
      </c>
      <c r="F683" s="36" t="s">
        <v>218</v>
      </c>
      <c r="G683" s="42" t="e">
        <f>SUM(J683:M683,R683:AA683)</f>
        <v>#N/A</v>
      </c>
      <c r="H683" s="19" t="e">
        <f>IF(ISBLANK(B683),0,+#REF!/B683)</f>
        <v>#REF!</v>
      </c>
      <c r="I683" s="19"/>
      <c r="J683" s="88">
        <f>IF(ISBLANK(B683),0,+J$610)</f>
        <v>130</v>
      </c>
      <c r="K683" s="42">
        <f>ROUND($B683*K$610,2)</f>
        <v>-0.04</v>
      </c>
      <c r="L683" s="92">
        <f>IF($C683&gt;L$611,ROUND(L$611*L$610,2),ROUND($C683*L$610,2))</f>
        <v>14150</v>
      </c>
      <c r="M683" s="92">
        <f>IF($C683&gt;L$611,ROUND(($C683-L$611)*M$610,2),0)</f>
        <v>0</v>
      </c>
      <c r="N683" s="92">
        <f>K683</f>
        <v>-0.04</v>
      </c>
      <c r="O683" s="42"/>
      <c r="P683" s="42"/>
      <c r="Q683" s="92">
        <f>SUM(L683:M683)</f>
        <v>14150</v>
      </c>
      <c r="R683" s="82" t="e">
        <f>ROUND(SUM(K683:M683)*(R682-1),2)</f>
        <v>#N/A</v>
      </c>
      <c r="S683" s="42">
        <f>ROUND($B683*S$610*S682,2)</f>
        <v>0</v>
      </c>
      <c r="T683" s="42">
        <f>ROUND($B683*T$610,2)</f>
        <v>0</v>
      </c>
      <c r="U683" s="42">
        <f>ROUND($B683*U$610,2)</f>
        <v>0</v>
      </c>
      <c r="V683" s="41">
        <f>ROUND($B683*V$606,2)</f>
        <v>0</v>
      </c>
      <c r="W683" s="42">
        <f>ROUND($B683*W$610,2)</f>
        <v>0</v>
      </c>
      <c r="X683" s="42">
        <f>ROUND($B683*X$610,2)</f>
        <v>-0.01</v>
      </c>
      <c r="Y683" s="42">
        <f>ROUND($B683*Y$610,2)</f>
        <v>0</v>
      </c>
      <c r="Z683" s="42">
        <f>ROUND($B683*Z$610,2)</f>
        <v>0</v>
      </c>
      <c r="AA683" s="42">
        <f>ROUND($B683*AA$610,2)</f>
        <v>0</v>
      </c>
      <c r="AB683" s="19">
        <f>SUM(U$610:AA$610)+(-V$610+V628)</f>
        <v>1.1855000000000001E-2</v>
      </c>
      <c r="AC683" s="94" t="str">
        <f>+F683</f>
        <v>PL2</v>
      </c>
    </row>
    <row r="684" spans="1:29" ht="15" customHeight="1" x14ac:dyDescent="0.2">
      <c r="B684" s="97">
        <v>-1</v>
      </c>
      <c r="D684" s="41"/>
      <c r="E684" s="80"/>
      <c r="F684" s="36"/>
      <c r="G684" s="42"/>
      <c r="H684" s="19"/>
      <c r="I684" s="19"/>
      <c r="J684" s="88"/>
      <c r="K684" s="42"/>
      <c r="L684" s="42"/>
      <c r="M684" s="42"/>
      <c r="N684" s="42"/>
      <c r="O684" s="42"/>
      <c r="P684" s="42"/>
      <c r="Q684" s="42"/>
      <c r="R684" s="38" t="e">
        <f>VLOOKUP((D685),'Pwr Factor'!$A$1:$B$52,2)</f>
        <v>#N/A</v>
      </c>
      <c r="S684" s="50">
        <v>1</v>
      </c>
      <c r="T684" s="42"/>
      <c r="U684" s="42"/>
      <c r="V684" s="41"/>
      <c r="W684" s="42"/>
      <c r="X684" s="42"/>
      <c r="Y684" s="42"/>
      <c r="Z684" s="42"/>
      <c r="AA684" s="42"/>
      <c r="AB684" s="19"/>
      <c r="AC684" s="94"/>
    </row>
    <row r="685" spans="1:29" x14ac:dyDescent="0.2">
      <c r="A685" s="1" t="s">
        <v>148</v>
      </c>
      <c r="B685" s="103">
        <f>IF(AND('AES Indiana Bill Calc.'!$D$17="PL",'AES Indiana Bill Calc.'!$D$18="Yes 100%",'AES Indiana Bill Calc.'!$D$20="Yes 2023"),'AES Indiana Bill Calc.'!$D$19,-1)</f>
        <v>-1</v>
      </c>
      <c r="C685" s="103">
        <f>MAX(E685,$C$607)</f>
        <v>500</v>
      </c>
      <c r="D685" s="103" t="b">
        <f>IF(AND('AES Indiana Bill Calc.'!$D$17="PL",'AES Indiana Bill Calc.'!$D$18="Yes 100%",'AES Indiana Bill Calc.'!$D$20="Yes 2023"),'AES Indiana Bill Calc.'!$D$22)</f>
        <v>0</v>
      </c>
      <c r="E685" s="103" t="b">
        <f>IF(AND('AES Indiana Bill Calc.'!$D$17="PL",'AES Indiana Bill Calc.'!$D$18="Yes 100%",'AES Indiana Bill Calc.'!$D$20="Yes 2023"),'AES Indiana Bill Calc.'!$D$21)</f>
        <v>0</v>
      </c>
      <c r="F685" s="36" t="s">
        <v>219</v>
      </c>
      <c r="G685" s="42" t="e">
        <f>SUM(J685:M685,R685:AA685)</f>
        <v>#N/A</v>
      </c>
      <c r="H685" s="19" t="e">
        <f>IF(ISBLANK(B685),0,+#REF!/B685)</f>
        <v>#REF!</v>
      </c>
      <c r="I685" s="19"/>
      <c r="J685" s="88">
        <f>IF(ISBLANK(B685),0,+J$610)</f>
        <v>130</v>
      </c>
      <c r="K685" s="42">
        <f>ROUND($B685*K$610,2)</f>
        <v>-0.04</v>
      </c>
      <c r="L685" s="92">
        <f>IF($C685&gt;L$611,ROUND(L$611*L$610,2),ROUND($C685*L$610,2))</f>
        <v>14150</v>
      </c>
      <c r="M685" s="92">
        <f>IF($C685&gt;L$611,ROUND(($C685-L$611)*M$610,2),0)</f>
        <v>0</v>
      </c>
      <c r="N685" s="92">
        <f>K685</f>
        <v>-0.04</v>
      </c>
      <c r="O685" s="42"/>
      <c r="P685" s="42"/>
      <c r="Q685" s="92">
        <f>SUM(L685:M685)</f>
        <v>14150</v>
      </c>
      <c r="R685" s="82" t="e">
        <f>ROUND(SUM(K685:M685)*(R684-1),2)</f>
        <v>#N/A</v>
      </c>
      <c r="S685" s="42">
        <f>ROUND($B685*S$610*S684,2)</f>
        <v>0</v>
      </c>
      <c r="T685" s="42">
        <f>ROUND($B685*T$610,2)</f>
        <v>0</v>
      </c>
      <c r="U685" s="42">
        <f>ROUND($B685*U$610,2)</f>
        <v>0</v>
      </c>
      <c r="V685" s="41">
        <f>ROUND($B685*V$607,2)</f>
        <v>0</v>
      </c>
      <c r="W685" s="42">
        <f>ROUND($B685*W$610,2)</f>
        <v>0</v>
      </c>
      <c r="X685" s="42">
        <f>ROUND($B685*X$610,2)</f>
        <v>-0.01</v>
      </c>
      <c r="Y685" s="42">
        <f>ROUND($B685*Y$610,2)</f>
        <v>0</v>
      </c>
      <c r="Z685" s="42">
        <f>ROUND($B685*Z$610,2)</f>
        <v>0</v>
      </c>
      <c r="AA685" s="42">
        <f>ROUND($B685*AA$610,2)</f>
        <v>0</v>
      </c>
      <c r="AB685" s="19">
        <f>SUM(U$610:AA$610)+(-V$610+V630)</f>
        <v>1.1855000000000001E-2</v>
      </c>
      <c r="AC685" s="94" t="str">
        <f>+F685</f>
        <v>PL3</v>
      </c>
    </row>
    <row r="686" spans="1:29" x14ac:dyDescent="0.2">
      <c r="A686" s="9"/>
      <c r="B686" s="97">
        <v>-1</v>
      </c>
      <c r="D686" s="41"/>
      <c r="E686" s="80"/>
      <c r="F686" s="36"/>
      <c r="G686" s="42"/>
      <c r="H686" s="19"/>
      <c r="I686" s="19"/>
      <c r="J686" s="88"/>
      <c r="K686" s="42"/>
      <c r="L686" s="42"/>
      <c r="M686" s="42"/>
      <c r="N686" s="42"/>
      <c r="O686" s="42"/>
      <c r="P686" s="42"/>
      <c r="Q686" s="42"/>
      <c r="R686" s="38" t="e">
        <f>VLOOKUP((D687),'Pwr Factor'!$A$1:$B$52,2)</f>
        <v>#N/A</v>
      </c>
      <c r="S686" s="50">
        <v>0.5</v>
      </c>
      <c r="T686" s="42"/>
      <c r="U686" s="42"/>
      <c r="V686" s="41"/>
      <c r="W686" s="42"/>
      <c r="X686" s="42"/>
      <c r="Y686" s="42"/>
      <c r="Z686" s="42"/>
      <c r="AA686" s="42"/>
      <c r="AB686" s="19"/>
      <c r="AC686" s="94"/>
    </row>
    <row r="687" spans="1:29" x14ac:dyDescent="0.2">
      <c r="A687" s="1" t="s">
        <v>149</v>
      </c>
      <c r="B687" s="103">
        <f>IF(AND('AES Indiana Bill Calc.'!$D$17="PL",'AES Indiana Bill Calc.'!$D$18="Yes 50%",'AES Indiana Bill Calc.'!$D$20="Yes 2023"),'AES Indiana Bill Calc.'!$D$19,-1)</f>
        <v>-1</v>
      </c>
      <c r="C687" s="103">
        <f>MAX(E687,$C$607)</f>
        <v>500</v>
      </c>
      <c r="D687" s="103" t="b">
        <f>IF(AND('AES Indiana Bill Calc.'!$D$17="PL",'AES Indiana Bill Calc.'!$D$18="Yes 50%",'AES Indiana Bill Calc.'!$D$20="Yes 2023"),'AES Indiana Bill Calc.'!$D$22)</f>
        <v>0</v>
      </c>
      <c r="E687" s="103" t="b">
        <f>IF(AND('AES Indiana Bill Calc.'!$D$17="PL",'AES Indiana Bill Calc.'!$D$18="Yes 50%",'AES Indiana Bill Calc.'!$D$20="Yes 2023"),'AES Indiana Bill Calc.'!$D$21)</f>
        <v>0</v>
      </c>
      <c r="F687" s="36" t="s">
        <v>219</v>
      </c>
      <c r="G687" s="42" t="e">
        <f>SUM(J687:M687,R687:AA687)</f>
        <v>#N/A</v>
      </c>
      <c r="H687" s="19" t="e">
        <f>IF(ISBLANK(B687),0,+#REF!/B687)</f>
        <v>#REF!</v>
      </c>
      <c r="I687" s="19"/>
      <c r="J687" s="88">
        <f>IF(ISBLANK(B687),0,+J$610)</f>
        <v>130</v>
      </c>
      <c r="K687" s="42">
        <f>ROUND($B687*K$610,2)</f>
        <v>-0.04</v>
      </c>
      <c r="L687" s="92">
        <f>IF($C687&gt;L$611,ROUND(L$611*L$610,2),ROUND($C687*L$610,2))</f>
        <v>14150</v>
      </c>
      <c r="M687" s="92">
        <f>IF($C687&gt;L$611,ROUND(($C687-L$611)*M$610,2),0)</f>
        <v>0</v>
      </c>
      <c r="N687" s="92">
        <f>K687</f>
        <v>-0.04</v>
      </c>
      <c r="O687" s="42"/>
      <c r="P687" s="42"/>
      <c r="Q687" s="92">
        <f>SUM(L687:M687)</f>
        <v>14150</v>
      </c>
      <c r="R687" s="82" t="e">
        <f>ROUND(SUM(K687:M687)*(R686-1),2)</f>
        <v>#N/A</v>
      </c>
      <c r="S687" s="42">
        <f>ROUND($B687*S$610*S686,2)</f>
        <v>0</v>
      </c>
      <c r="T687" s="42">
        <f>ROUND($B687*T$610,2)</f>
        <v>0</v>
      </c>
      <c r="U687" s="42">
        <f>ROUND($B687*U$610,2)</f>
        <v>0</v>
      </c>
      <c r="V687" s="41">
        <f>ROUND($B687*V$607,2)</f>
        <v>0</v>
      </c>
      <c r="W687" s="42">
        <f>ROUND($B687*W$610,2)</f>
        <v>0</v>
      </c>
      <c r="X687" s="42">
        <f>ROUND($B687*X$610,2)</f>
        <v>-0.01</v>
      </c>
      <c r="Y687" s="42">
        <f>ROUND($B687*Y$610,2)</f>
        <v>0</v>
      </c>
      <c r="Z687" s="42">
        <f>ROUND($B687*Z$610,2)</f>
        <v>0</v>
      </c>
      <c r="AA687" s="42">
        <f>ROUND($B687*AA$610,2)</f>
        <v>0</v>
      </c>
      <c r="AB687" s="19">
        <f>SUM(U$610:AA$610)+(-V$610+V632)</f>
        <v>1.1855000000000001E-2</v>
      </c>
      <c r="AC687" s="94" t="str">
        <f>+F687</f>
        <v>PL3</v>
      </c>
    </row>
    <row r="688" spans="1:29" x14ac:dyDescent="0.2">
      <c r="A688" s="9"/>
      <c r="B688" s="97">
        <v>-1</v>
      </c>
      <c r="D688" s="41"/>
      <c r="E688" s="80"/>
      <c r="F688" s="36"/>
      <c r="G688" s="42"/>
      <c r="H688" s="19"/>
      <c r="I688" s="19"/>
      <c r="J688" s="88"/>
      <c r="K688" s="42"/>
      <c r="L688" s="42"/>
      <c r="M688" s="42"/>
      <c r="N688" s="42"/>
      <c r="O688" s="42"/>
      <c r="P688" s="42"/>
      <c r="Q688" s="42"/>
      <c r="R688" s="38" t="e">
        <f>VLOOKUP((D689),'Pwr Factor'!$A$1:$B$52,2)</f>
        <v>#N/A</v>
      </c>
      <c r="S688" s="50">
        <v>0.25</v>
      </c>
      <c r="T688" s="42"/>
      <c r="U688" s="42"/>
      <c r="V688" s="41"/>
      <c r="W688" s="42"/>
      <c r="X688" s="42"/>
      <c r="Y688" s="42"/>
      <c r="Z688" s="42"/>
      <c r="AA688" s="42"/>
      <c r="AB688" s="19"/>
      <c r="AC688" s="94"/>
    </row>
    <row r="689" spans="1:29" x14ac:dyDescent="0.2">
      <c r="A689" s="1" t="s">
        <v>150</v>
      </c>
      <c r="B689" s="103">
        <f>IF(AND('AES Indiana Bill Calc.'!$D$17="PL",'AES Indiana Bill Calc.'!$D$18="Yes 25%",'AES Indiana Bill Calc.'!$D$20="Yes 2023"),'AES Indiana Bill Calc.'!$D$19,-1)</f>
        <v>-1</v>
      </c>
      <c r="C689" s="103">
        <f>MAX(E689,$C$607)</f>
        <v>500</v>
      </c>
      <c r="D689" s="103" t="b">
        <f>IF(AND('AES Indiana Bill Calc.'!$D$17="PL",'AES Indiana Bill Calc.'!$D$18="Yes 25%",'AES Indiana Bill Calc.'!$D$20="Yes 2023"),'AES Indiana Bill Calc.'!$D$22)</f>
        <v>0</v>
      </c>
      <c r="E689" s="103" t="b">
        <f>IF(AND('AES Indiana Bill Calc.'!$D$17="PL",'AES Indiana Bill Calc.'!$D$18="Yes 25%",'AES Indiana Bill Calc.'!$D$20="Yes 2023"),'AES Indiana Bill Calc.'!$D$21)</f>
        <v>0</v>
      </c>
      <c r="F689" s="36" t="s">
        <v>219</v>
      </c>
      <c r="G689" s="42" t="e">
        <f>SUM(J689:M689,R689:AA689)</f>
        <v>#N/A</v>
      </c>
      <c r="H689" s="19" t="e">
        <f>IF(ISBLANK(B689),0,+#REF!/B689)</f>
        <v>#REF!</v>
      </c>
      <c r="I689" s="19"/>
      <c r="J689" s="88">
        <f>IF(ISBLANK(B689),0,+J$610)</f>
        <v>130</v>
      </c>
      <c r="K689" s="42">
        <f>ROUND($B689*K$610,2)</f>
        <v>-0.04</v>
      </c>
      <c r="L689" s="92">
        <f>IF($C689&gt;L$611,ROUND(L$611*L$610,2),ROUND($C689*L$610,2))</f>
        <v>14150</v>
      </c>
      <c r="M689" s="92">
        <f>IF($C689&gt;L$611,ROUND(($C689-L$611)*M$610,2),0)</f>
        <v>0</v>
      </c>
      <c r="N689" s="92">
        <f>K689</f>
        <v>-0.04</v>
      </c>
      <c r="O689" s="42"/>
      <c r="P689" s="42"/>
      <c r="Q689" s="92">
        <f>SUM(L689:M689)</f>
        <v>14150</v>
      </c>
      <c r="R689" s="82" t="e">
        <f>ROUND(SUM(K689:M689)*(R688-1),2)</f>
        <v>#N/A</v>
      </c>
      <c r="S689" s="42">
        <f>ROUND($B689*S$610*S688,2)</f>
        <v>0</v>
      </c>
      <c r="T689" s="42">
        <f>ROUND($B689*T$610,2)</f>
        <v>0</v>
      </c>
      <c r="U689" s="42">
        <f>ROUND($B689*U$610,2)</f>
        <v>0</v>
      </c>
      <c r="V689" s="41">
        <f>ROUND($B689*V$607,2)</f>
        <v>0</v>
      </c>
      <c r="W689" s="42">
        <f>ROUND($B689*W$610,2)</f>
        <v>0</v>
      </c>
      <c r="X689" s="42">
        <f>ROUND($B689*X$610,2)</f>
        <v>-0.01</v>
      </c>
      <c r="Y689" s="42">
        <f>ROUND($B689*Y$610,2)</f>
        <v>0</v>
      </c>
      <c r="Z689" s="42">
        <f>ROUND($B689*Z$610,2)</f>
        <v>0</v>
      </c>
      <c r="AA689" s="42">
        <f>ROUND($B689*AA$610,2)</f>
        <v>0</v>
      </c>
      <c r="AB689" s="19">
        <f>SUM(U$610:AA$610)+(-V$610+V634)</f>
        <v>1.1855000000000001E-2</v>
      </c>
      <c r="AC689" s="94" t="str">
        <f>+F689</f>
        <v>PL3</v>
      </c>
    </row>
    <row r="690" spans="1:29" x14ac:dyDescent="0.2">
      <c r="A690" s="9"/>
      <c r="B690" s="97">
        <v>-1</v>
      </c>
      <c r="D690" s="41"/>
      <c r="E690" s="80"/>
      <c r="F690" s="36"/>
      <c r="G690" s="42"/>
      <c r="H690" s="19"/>
      <c r="I690" s="19"/>
      <c r="J690" s="88"/>
      <c r="K690" s="42"/>
      <c r="L690" s="42"/>
      <c r="M690" s="42"/>
      <c r="N690" s="42"/>
      <c r="O690" s="42"/>
      <c r="P690" s="42"/>
      <c r="Q690" s="42"/>
      <c r="R690" s="38" t="e">
        <f>VLOOKUP((D691),'Pwr Factor'!$A$1:$B$52,2)</f>
        <v>#N/A</v>
      </c>
      <c r="S690" s="50">
        <v>0.1</v>
      </c>
      <c r="T690" s="42"/>
      <c r="U690" s="42"/>
      <c r="V690" s="41"/>
      <c r="W690" s="42"/>
      <c r="X690" s="42"/>
      <c r="Y690" s="42"/>
      <c r="Z690" s="42"/>
      <c r="AA690" s="42"/>
      <c r="AB690" s="19"/>
      <c r="AC690" s="94"/>
    </row>
    <row r="691" spans="1:29" x14ac:dyDescent="0.2">
      <c r="A691" s="1" t="s">
        <v>164</v>
      </c>
      <c r="B691" s="103">
        <f>IF(AND('AES Indiana Bill Calc.'!$D$17="PL",'AES Indiana Bill Calc.'!$D$18="Yes 10%",'AES Indiana Bill Calc.'!$D$20="Yes 2023"),'AES Indiana Bill Calc.'!$D$19,-1)</f>
        <v>-1</v>
      </c>
      <c r="C691" s="103">
        <f>MAX(E691,$C$607)</f>
        <v>500</v>
      </c>
      <c r="D691" s="103" t="b">
        <f>IF(AND('AES Indiana Bill Calc.'!$D$17="PL",'AES Indiana Bill Calc.'!$D$18="Yes 10%",'AES Indiana Bill Calc.'!$D$20="Yes 2023"),'AES Indiana Bill Calc.'!$D$22)</f>
        <v>0</v>
      </c>
      <c r="E691" s="103" t="b">
        <f>IF(AND('AES Indiana Bill Calc.'!$D$17="PL",'AES Indiana Bill Calc.'!$D$18="Yes 10%",'AES Indiana Bill Calc.'!$D$20="Yes 2023"),'AES Indiana Bill Calc.'!$D$21)</f>
        <v>0</v>
      </c>
      <c r="F691" s="36" t="s">
        <v>219</v>
      </c>
      <c r="G691" s="42" t="e">
        <f>SUM(J691:M691,R691:AA691)</f>
        <v>#N/A</v>
      </c>
      <c r="H691" s="19" t="e">
        <f>IF(ISBLANK(B691),0,+#REF!/B691)</f>
        <v>#REF!</v>
      </c>
      <c r="I691" s="19"/>
      <c r="J691" s="88">
        <f>IF(ISBLANK(B691),0,+J$610)</f>
        <v>130</v>
      </c>
      <c r="K691" s="42">
        <f>ROUND($B691*K$610,2)</f>
        <v>-0.04</v>
      </c>
      <c r="L691" s="92">
        <f>IF($C691&gt;L$611,ROUND(L$611*L$610,2),ROUND($C691*L$610,2))</f>
        <v>14150</v>
      </c>
      <c r="M691" s="92">
        <f>IF($C691&gt;L$611,ROUND(($C691-L$611)*M$610,2),0)</f>
        <v>0</v>
      </c>
      <c r="N691" s="92">
        <f>K691</f>
        <v>-0.04</v>
      </c>
      <c r="O691" s="42"/>
      <c r="P691" s="42"/>
      <c r="Q691" s="92">
        <f>SUM(L691:M691)</f>
        <v>14150</v>
      </c>
      <c r="R691" s="82" t="e">
        <f>ROUND(SUM(K691:M691)*(R690-1),2)</f>
        <v>#N/A</v>
      </c>
      <c r="S691" s="42">
        <f>ROUND($B691*S$610*S690,2)</f>
        <v>0</v>
      </c>
      <c r="T691" s="42">
        <f>ROUND($B691*T$610,2)</f>
        <v>0</v>
      </c>
      <c r="U691" s="42">
        <f>ROUND($B691*U$610,2)</f>
        <v>0</v>
      </c>
      <c r="V691" s="41">
        <f>ROUND($B691*V$607,2)</f>
        <v>0</v>
      </c>
      <c r="W691" s="42">
        <f>ROUND($B691*W$610,2)</f>
        <v>0</v>
      </c>
      <c r="X691" s="42">
        <f>ROUND($B691*X$610,2)</f>
        <v>-0.01</v>
      </c>
      <c r="Y691" s="42">
        <f>ROUND($B691*Y$610,2)</f>
        <v>0</v>
      </c>
      <c r="Z691" s="42">
        <f>ROUND($B691*Z$610,2)</f>
        <v>0</v>
      </c>
      <c r="AA691" s="42">
        <f>ROUND($B691*AA$610,2)</f>
        <v>0</v>
      </c>
      <c r="AB691" s="19">
        <f>SUM(U$610:AA$610)+(-V$610+V636)</f>
        <v>1.1855000000000001E-2</v>
      </c>
      <c r="AC691" s="94" t="str">
        <f>+F691</f>
        <v>PL3</v>
      </c>
    </row>
    <row r="692" spans="1:29" x14ac:dyDescent="0.2">
      <c r="A692" s="9"/>
      <c r="B692" s="97">
        <v>-1</v>
      </c>
      <c r="D692" s="41"/>
      <c r="E692" s="80"/>
      <c r="F692" s="36"/>
      <c r="G692" s="42"/>
      <c r="H692" s="19"/>
      <c r="I692" s="19"/>
      <c r="J692" s="88"/>
      <c r="K692" s="42"/>
      <c r="L692" s="42"/>
      <c r="M692" s="42"/>
      <c r="N692" s="42"/>
      <c r="O692" s="42"/>
      <c r="P692" s="42"/>
      <c r="Q692" s="42"/>
      <c r="R692" s="38" t="e">
        <f>VLOOKUP((D693),'Pwr Factor'!$A$1:$B$52,2)</f>
        <v>#N/A</v>
      </c>
      <c r="S692" s="50">
        <v>0</v>
      </c>
      <c r="T692" s="42"/>
      <c r="U692" s="42"/>
      <c r="V692" s="41"/>
      <c r="W692" s="42"/>
      <c r="X692" s="42"/>
      <c r="Y692" s="42"/>
      <c r="Z692" s="42"/>
      <c r="AA692" s="42"/>
      <c r="AB692" s="19"/>
      <c r="AC692" s="94"/>
    </row>
    <row r="693" spans="1:29" x14ac:dyDescent="0.2">
      <c r="A693" s="1" t="s">
        <v>147</v>
      </c>
      <c r="B693" s="103">
        <f>IF(AND('AES Indiana Bill Calc.'!$D$17="PL",'AES Indiana Bill Calc.'!$D$18="No",'AES Indiana Bill Calc.'!$D$20="Yes 2023"),'AES Indiana Bill Calc.'!$D$19,-1)</f>
        <v>-1</v>
      </c>
      <c r="C693" s="103">
        <f>MAX(E693,$C$607)</f>
        <v>500</v>
      </c>
      <c r="D693" s="103" t="b">
        <f>IF(AND('AES Indiana Bill Calc.'!$D$17="PL",'AES Indiana Bill Calc.'!$D$18="No",'AES Indiana Bill Calc.'!$D$20="Yes 2023"),'AES Indiana Bill Calc.'!$D$22)</f>
        <v>0</v>
      </c>
      <c r="E693" s="103" t="b">
        <f>IF(AND('AES Indiana Bill Calc.'!$D$17="PL",'AES Indiana Bill Calc.'!$D$18="No",'AES Indiana Bill Calc.'!$D$20="Yes 2023"),'AES Indiana Bill Calc.'!$D$21)</f>
        <v>0</v>
      </c>
      <c r="F693" s="36" t="s">
        <v>219</v>
      </c>
      <c r="G693" s="42" t="e">
        <f>SUM(J693:M693,R693:AA693)</f>
        <v>#N/A</v>
      </c>
      <c r="H693" s="19" t="e">
        <f>IF(ISBLANK(B693),0,+#REF!/B693)</f>
        <v>#REF!</v>
      </c>
      <c r="I693" s="19"/>
      <c r="J693" s="88">
        <f>IF(ISBLANK(B693),0,+J$610)</f>
        <v>130</v>
      </c>
      <c r="K693" s="42">
        <f>ROUND($B693*K$610,2)</f>
        <v>-0.04</v>
      </c>
      <c r="L693" s="92">
        <f>IF($C693&gt;L$611,ROUND(L$611*L$610,2),ROUND($C693*L$610,2))</f>
        <v>14150</v>
      </c>
      <c r="M693" s="92">
        <f>IF($C693&gt;L$611,ROUND(($C693-L$611)*M$610,2),0)</f>
        <v>0</v>
      </c>
      <c r="N693" s="92">
        <f>K693</f>
        <v>-0.04</v>
      </c>
      <c r="O693" s="42"/>
      <c r="P693" s="42"/>
      <c r="Q693" s="92">
        <f>SUM(L693:M693)</f>
        <v>14150</v>
      </c>
      <c r="R693" s="82" t="e">
        <f>ROUND(SUM(K693:M693)*(R692-1),2)</f>
        <v>#N/A</v>
      </c>
      <c r="S693" s="42">
        <f>ROUND($B693*S$610*S692,2)</f>
        <v>0</v>
      </c>
      <c r="T693" s="42">
        <f>ROUND($B693*T$610,2)</f>
        <v>0</v>
      </c>
      <c r="U693" s="42">
        <f>ROUND($B693*U$610,2)</f>
        <v>0</v>
      </c>
      <c r="V693" s="41">
        <f>ROUND($B693*V$607,2)</f>
        <v>0</v>
      </c>
      <c r="W693" s="42">
        <f>ROUND($B693*W$610,2)</f>
        <v>0</v>
      </c>
      <c r="X693" s="42">
        <f>ROUND($B693*X$610,2)</f>
        <v>-0.01</v>
      </c>
      <c r="Y693" s="42">
        <f>ROUND($B693*Y$610,2)</f>
        <v>0</v>
      </c>
      <c r="Z693" s="42">
        <f>ROUND($B693*Z$610,2)</f>
        <v>0</v>
      </c>
      <c r="AA693" s="42">
        <f>ROUND($B693*AA$610,2)</f>
        <v>0</v>
      </c>
      <c r="AB693" s="19">
        <f>SUM(U$610:AA$610)+(-V$610+V638)</f>
        <v>1.1855000000000001E-2</v>
      </c>
      <c r="AC693" s="94" t="str">
        <f>+F693</f>
        <v>PL3</v>
      </c>
    </row>
    <row r="694" spans="1:29" ht="15" customHeight="1" x14ac:dyDescent="0.2">
      <c r="B694" s="97">
        <v>-1</v>
      </c>
      <c r="D694" s="41"/>
      <c r="E694" s="80"/>
      <c r="F694" s="36"/>
      <c r="G694" s="42"/>
      <c r="H694" s="19"/>
      <c r="I694" s="19"/>
      <c r="J694" s="88"/>
      <c r="K694" s="42"/>
      <c r="L694" s="42"/>
      <c r="M694" s="42"/>
      <c r="N694" s="42"/>
      <c r="O694" s="42"/>
      <c r="P694" s="42"/>
      <c r="Q694" s="42"/>
      <c r="R694" s="38" t="e">
        <f>VLOOKUP((D695),'Pwr Factor'!$A$1:$B$52,2)</f>
        <v>#N/A</v>
      </c>
      <c r="S694" s="50">
        <v>1</v>
      </c>
      <c r="T694" s="42"/>
      <c r="U694" s="42"/>
      <c r="V694" s="41"/>
      <c r="W694" s="42"/>
      <c r="X694" s="42"/>
      <c r="Y694" s="42"/>
      <c r="Z694" s="42"/>
      <c r="AA694" s="42"/>
      <c r="AB694" s="19"/>
      <c r="AC694" s="94"/>
    </row>
    <row r="695" spans="1:29" x14ac:dyDescent="0.2">
      <c r="A695" s="1" t="s">
        <v>148</v>
      </c>
      <c r="B695" s="103">
        <f>IF(AND('AES Indiana Bill Calc.'!$D$17="PL",'AES Indiana Bill Calc.'!$D$18="Yes 100%",'AES Indiana Bill Calc.'!$D$20="Yes 2024"),'AES Indiana Bill Calc.'!$D$19,-1)</f>
        <v>-1</v>
      </c>
      <c r="C695" s="103">
        <f>MAX(E695,$C$607)</f>
        <v>500</v>
      </c>
      <c r="D695" s="103" t="b">
        <f>IF(AND('AES Indiana Bill Calc.'!$D$17="PL",'AES Indiana Bill Calc.'!$D$18="Yes 100%",'AES Indiana Bill Calc.'!$D$20="Yes 2024"),'AES Indiana Bill Calc.'!$D$22)</f>
        <v>0</v>
      </c>
      <c r="E695" s="103" t="b">
        <f>IF(AND('AES Indiana Bill Calc.'!$D$17="PL",'AES Indiana Bill Calc.'!$D$18="Yes 100%",'AES Indiana Bill Calc.'!$D$20="Yes 2024"),'AES Indiana Bill Calc.'!$D$21)</f>
        <v>0</v>
      </c>
      <c r="F695" s="36" t="s">
        <v>300</v>
      </c>
      <c r="G695" s="42" t="e">
        <f>SUM(J695:M695,R695:AA695)</f>
        <v>#N/A</v>
      </c>
      <c r="H695" s="19" t="e">
        <f>IF(ISBLANK(B695),0,+#REF!/B695)</f>
        <v>#REF!</v>
      </c>
      <c r="I695" s="19"/>
      <c r="J695" s="88">
        <f>IF(ISBLANK(B695),0,+J$610)</f>
        <v>130</v>
      </c>
      <c r="K695" s="42">
        <f>ROUND($B695*K$610,2)</f>
        <v>-0.04</v>
      </c>
      <c r="L695" s="92">
        <f>IF($C695&gt;L$611,ROUND(L$611*L$610,2),ROUND($C695*L$610,2))</f>
        <v>14150</v>
      </c>
      <c r="M695" s="92">
        <f>IF($C695&gt;L$611,ROUND(($C695-L$611)*M$610,2),0)</f>
        <v>0</v>
      </c>
      <c r="N695" s="92">
        <f>K695</f>
        <v>-0.04</v>
      </c>
      <c r="O695" s="42"/>
      <c r="P695" s="42"/>
      <c r="Q695" s="92">
        <f>SUM(L695:M695)</f>
        <v>14150</v>
      </c>
      <c r="R695" s="82" t="e">
        <f>ROUND(SUM(K695:M695)*(R694-1),2)</f>
        <v>#N/A</v>
      </c>
      <c r="S695" s="42">
        <f>ROUND($B695*S$610*S694,2)</f>
        <v>0</v>
      </c>
      <c r="T695" s="42">
        <f>ROUND($B695*T$610,2)</f>
        <v>0</v>
      </c>
      <c r="U695" s="42">
        <f>ROUND($B695*U$610,2)</f>
        <v>0</v>
      </c>
      <c r="V695" s="41">
        <f>ROUND($B695*V$608,2)</f>
        <v>-0.01</v>
      </c>
      <c r="W695" s="42">
        <f>ROUND($B695*W$610,2)</f>
        <v>0</v>
      </c>
      <c r="X695" s="42">
        <f>ROUND($B695*X$610,2)</f>
        <v>-0.01</v>
      </c>
      <c r="Y695" s="42">
        <f>ROUND($B695*Y$610,2)</f>
        <v>0</v>
      </c>
      <c r="Z695" s="42">
        <f>ROUND($B695*Z$610,2)</f>
        <v>0</v>
      </c>
      <c r="AA695" s="42">
        <f>ROUND($B695*AA$610,2)</f>
        <v>0</v>
      </c>
      <c r="AB695" s="19">
        <f>SUM(U$610:AA$610)+(-V$610+V640)</f>
        <v>1.1855000000000001E-2</v>
      </c>
      <c r="AC695" s="94" t="str">
        <f>+F695</f>
        <v>PL4</v>
      </c>
    </row>
    <row r="696" spans="1:29" x14ac:dyDescent="0.2">
      <c r="A696" s="9"/>
      <c r="B696" s="97">
        <v>-1</v>
      </c>
      <c r="D696" s="41"/>
      <c r="E696" s="80"/>
      <c r="F696" s="36"/>
      <c r="G696" s="42"/>
      <c r="H696" s="19"/>
      <c r="I696" s="19"/>
      <c r="J696" s="88"/>
      <c r="K696" s="42"/>
      <c r="L696" s="42"/>
      <c r="M696" s="42"/>
      <c r="N696" s="42"/>
      <c r="O696" s="42"/>
      <c r="P696" s="42"/>
      <c r="Q696" s="42"/>
      <c r="R696" s="38" t="e">
        <f>VLOOKUP((D697),'Pwr Factor'!$A$1:$B$52,2)</f>
        <v>#N/A</v>
      </c>
      <c r="S696" s="50">
        <v>0.5</v>
      </c>
      <c r="T696" s="42"/>
      <c r="U696" s="42"/>
      <c r="V696" s="41"/>
      <c r="W696" s="42"/>
      <c r="X696" s="42"/>
      <c r="Y696" s="42"/>
      <c r="Z696" s="42"/>
      <c r="AA696" s="42"/>
      <c r="AB696" s="19"/>
      <c r="AC696" s="94"/>
    </row>
    <row r="697" spans="1:29" x14ac:dyDescent="0.2">
      <c r="A697" s="1" t="s">
        <v>149</v>
      </c>
      <c r="B697" s="103">
        <f>IF(AND('AES Indiana Bill Calc.'!$D$17="PL",'AES Indiana Bill Calc.'!$D$18="Yes 50%",'AES Indiana Bill Calc.'!$D$20="Yes 2024"),'AES Indiana Bill Calc.'!$D$19,-1)</f>
        <v>-1</v>
      </c>
      <c r="C697" s="103">
        <f>MAX(E697,$C$607)</f>
        <v>500</v>
      </c>
      <c r="D697" s="103" t="b">
        <f>IF(AND('AES Indiana Bill Calc.'!$D$17="PL",'AES Indiana Bill Calc.'!$D$18="Yes 50%",'AES Indiana Bill Calc.'!$D$20="Yes 2024"),'AES Indiana Bill Calc.'!$D$22)</f>
        <v>0</v>
      </c>
      <c r="E697" s="103" t="b">
        <f>IF(AND('AES Indiana Bill Calc.'!$D$17="PL",'AES Indiana Bill Calc.'!$D$18="Yes 50%",'AES Indiana Bill Calc.'!$D$20="Yes 2024"),'AES Indiana Bill Calc.'!$D$21)</f>
        <v>0</v>
      </c>
      <c r="F697" s="36" t="s">
        <v>300</v>
      </c>
      <c r="G697" s="42" t="e">
        <f>SUM(J697:M697,R697:AA697)</f>
        <v>#N/A</v>
      </c>
      <c r="H697" s="19" t="e">
        <f>IF(ISBLANK(B697),0,+#REF!/B697)</f>
        <v>#REF!</v>
      </c>
      <c r="I697" s="19"/>
      <c r="J697" s="88">
        <f>IF(ISBLANK(B697),0,+J$610)</f>
        <v>130</v>
      </c>
      <c r="K697" s="42">
        <f>ROUND($B697*K$610,2)</f>
        <v>-0.04</v>
      </c>
      <c r="L697" s="92">
        <f>IF($C697&gt;L$611,ROUND(L$611*L$610,2),ROUND($C697*L$610,2))</f>
        <v>14150</v>
      </c>
      <c r="M697" s="92">
        <f>IF($C697&gt;L$611,ROUND(($C697-L$611)*M$610,2),0)</f>
        <v>0</v>
      </c>
      <c r="N697" s="92">
        <f>K697</f>
        <v>-0.04</v>
      </c>
      <c r="O697" s="42"/>
      <c r="P697" s="42"/>
      <c r="Q697" s="92">
        <f>SUM(L697:M697)</f>
        <v>14150</v>
      </c>
      <c r="R697" s="82" t="e">
        <f>ROUND(SUM(K697:M697)*(R696-1),2)</f>
        <v>#N/A</v>
      </c>
      <c r="S697" s="42">
        <f>ROUND($B697*S$610*S696,2)</f>
        <v>0</v>
      </c>
      <c r="T697" s="42">
        <f>ROUND($B697*T$610,2)</f>
        <v>0</v>
      </c>
      <c r="U697" s="42">
        <f>ROUND($B697*U$610,2)</f>
        <v>0</v>
      </c>
      <c r="V697" s="41">
        <f>ROUND($B697*V$608,2)</f>
        <v>-0.01</v>
      </c>
      <c r="W697" s="42">
        <f>ROUND($B697*W$610,2)</f>
        <v>0</v>
      </c>
      <c r="X697" s="42">
        <f>ROUND($B697*X$610,2)</f>
        <v>-0.01</v>
      </c>
      <c r="Y697" s="42">
        <f>ROUND($B697*Y$610,2)</f>
        <v>0</v>
      </c>
      <c r="Z697" s="42">
        <f>ROUND($B697*Z$610,2)</f>
        <v>0</v>
      </c>
      <c r="AA697" s="42">
        <f>ROUND($B697*AA$610,2)</f>
        <v>0</v>
      </c>
      <c r="AB697" s="19">
        <f>SUM(U$610:AA$610)+(-V$610+V642)</f>
        <v>1.1855000000000001E-2</v>
      </c>
      <c r="AC697" s="94" t="str">
        <f>+F697</f>
        <v>PL4</v>
      </c>
    </row>
    <row r="698" spans="1:29" x14ac:dyDescent="0.2">
      <c r="A698" s="9"/>
      <c r="B698" s="97">
        <v>-1</v>
      </c>
      <c r="D698" s="41"/>
      <c r="E698" s="80"/>
      <c r="F698" s="36"/>
      <c r="G698" s="42"/>
      <c r="H698" s="19"/>
      <c r="I698" s="19"/>
      <c r="J698" s="88"/>
      <c r="K698" s="42"/>
      <c r="L698" s="42"/>
      <c r="M698" s="42"/>
      <c r="N698" s="42"/>
      <c r="O698" s="42"/>
      <c r="P698" s="42"/>
      <c r="Q698" s="42"/>
      <c r="R698" s="38" t="e">
        <f>VLOOKUP((D699),'Pwr Factor'!$A$1:$B$52,2)</f>
        <v>#N/A</v>
      </c>
      <c r="S698" s="50">
        <v>0.25</v>
      </c>
      <c r="T698" s="42"/>
      <c r="U698" s="42"/>
      <c r="V698" s="41"/>
      <c r="W698" s="42"/>
      <c r="X698" s="42"/>
      <c r="Y698" s="42"/>
      <c r="Z698" s="42"/>
      <c r="AA698" s="42"/>
      <c r="AB698" s="19"/>
      <c r="AC698" s="94"/>
    </row>
    <row r="699" spans="1:29" x14ac:dyDescent="0.2">
      <c r="A699" s="1" t="s">
        <v>150</v>
      </c>
      <c r="B699" s="103">
        <f>IF(AND('AES Indiana Bill Calc.'!$D$17="PL",'AES Indiana Bill Calc.'!$D$18="Yes 25%",'AES Indiana Bill Calc.'!$D$20="Yes 2024"),'AES Indiana Bill Calc.'!$D$19,-1)</f>
        <v>-1</v>
      </c>
      <c r="C699" s="103">
        <f>MAX(E699,$C$607)</f>
        <v>500</v>
      </c>
      <c r="D699" s="103" t="b">
        <f>IF(AND('AES Indiana Bill Calc.'!$D$17="PL",'AES Indiana Bill Calc.'!$D$18="Yes 25%",'AES Indiana Bill Calc.'!$D$20="Yes 2024"),'AES Indiana Bill Calc.'!$D$22)</f>
        <v>0</v>
      </c>
      <c r="E699" s="103" t="b">
        <f>IF(AND('AES Indiana Bill Calc.'!$D$17="PL",'AES Indiana Bill Calc.'!$D$18="Yes 25%",'AES Indiana Bill Calc.'!$D$20="Yes 2024"),'AES Indiana Bill Calc.'!$D$21)</f>
        <v>0</v>
      </c>
      <c r="F699" s="36" t="s">
        <v>300</v>
      </c>
      <c r="G699" s="42" t="e">
        <f>SUM(J699:M699,R699:AA699)</f>
        <v>#N/A</v>
      </c>
      <c r="H699" s="19" t="e">
        <f>IF(ISBLANK(B699),0,+#REF!/B699)</f>
        <v>#REF!</v>
      </c>
      <c r="I699" s="19"/>
      <c r="J699" s="88">
        <f>IF(ISBLANK(B699),0,+J$610)</f>
        <v>130</v>
      </c>
      <c r="K699" s="42">
        <f>ROUND($B699*K$610,2)</f>
        <v>-0.04</v>
      </c>
      <c r="L699" s="92">
        <f>IF($C699&gt;L$611,ROUND(L$611*L$610,2),ROUND($C699*L$610,2))</f>
        <v>14150</v>
      </c>
      <c r="M699" s="92">
        <f>IF($C699&gt;L$611,ROUND(($C699-L$611)*M$610,2),0)</f>
        <v>0</v>
      </c>
      <c r="N699" s="92">
        <f>K699</f>
        <v>-0.04</v>
      </c>
      <c r="O699" s="42"/>
      <c r="P699" s="42"/>
      <c r="Q699" s="92">
        <f>SUM(L699:M699)</f>
        <v>14150</v>
      </c>
      <c r="R699" s="82" t="e">
        <f>ROUND(SUM(K699:M699)*(R698-1),2)</f>
        <v>#N/A</v>
      </c>
      <c r="S699" s="42">
        <f>ROUND($B699*S$610*S698,2)</f>
        <v>0</v>
      </c>
      <c r="T699" s="42">
        <f>ROUND($B699*T$610,2)</f>
        <v>0</v>
      </c>
      <c r="U699" s="42">
        <f>ROUND($B699*U$610,2)</f>
        <v>0</v>
      </c>
      <c r="V699" s="41">
        <f>ROUND($B699*V$608,2)</f>
        <v>-0.01</v>
      </c>
      <c r="W699" s="42">
        <f>ROUND($B699*W$610,2)</f>
        <v>0</v>
      </c>
      <c r="X699" s="42">
        <f>ROUND($B699*X$610,2)</f>
        <v>-0.01</v>
      </c>
      <c r="Y699" s="42">
        <f>ROUND($B699*Y$610,2)</f>
        <v>0</v>
      </c>
      <c r="Z699" s="42">
        <f>ROUND($B699*Z$610,2)</f>
        <v>0</v>
      </c>
      <c r="AA699" s="42">
        <f>ROUND($B699*AA$610,2)</f>
        <v>0</v>
      </c>
      <c r="AB699" s="19">
        <f>SUM(U$610:AA$610)+(-V$610+V644)</f>
        <v>1.1855000000000001E-2</v>
      </c>
      <c r="AC699" s="94" t="str">
        <f>+F699</f>
        <v>PL4</v>
      </c>
    </row>
    <row r="700" spans="1:29" x14ac:dyDescent="0.2">
      <c r="A700" s="9"/>
      <c r="B700" s="97">
        <v>-1</v>
      </c>
      <c r="D700" s="41"/>
      <c r="E700" s="80"/>
      <c r="F700" s="36"/>
      <c r="G700" s="42"/>
      <c r="H700" s="19"/>
      <c r="I700" s="19"/>
      <c r="J700" s="88"/>
      <c r="K700" s="42"/>
      <c r="L700" s="42"/>
      <c r="M700" s="42"/>
      <c r="N700" s="42"/>
      <c r="O700" s="42"/>
      <c r="P700" s="42"/>
      <c r="Q700" s="42"/>
      <c r="R700" s="38" t="e">
        <f>VLOOKUP((D701),'Pwr Factor'!$A$1:$B$52,2)</f>
        <v>#N/A</v>
      </c>
      <c r="S700" s="50">
        <v>0.1</v>
      </c>
      <c r="T700" s="42"/>
      <c r="U700" s="42"/>
      <c r="V700" s="41"/>
      <c r="W700" s="42"/>
      <c r="X700" s="42"/>
      <c r="Y700" s="42"/>
      <c r="Z700" s="42"/>
      <c r="AA700" s="42"/>
      <c r="AB700" s="19"/>
      <c r="AC700" s="94"/>
    </row>
    <row r="701" spans="1:29" x14ac:dyDescent="0.2">
      <c r="A701" s="1" t="s">
        <v>164</v>
      </c>
      <c r="B701" s="103">
        <f>IF(AND('AES Indiana Bill Calc.'!$D$17="PL",'AES Indiana Bill Calc.'!$D$18="Yes 10%",'AES Indiana Bill Calc.'!$D$20="Yes 2024"),'AES Indiana Bill Calc.'!$D$19,-1)</f>
        <v>-1</v>
      </c>
      <c r="C701" s="103">
        <f>MAX(E701,$C$607)</f>
        <v>500</v>
      </c>
      <c r="D701" s="103" t="b">
        <f>IF(AND('AES Indiana Bill Calc.'!$D$17="PL",'AES Indiana Bill Calc.'!$D$18="Yes 10%",'AES Indiana Bill Calc.'!$D$20="Yes 2024"),'AES Indiana Bill Calc.'!$D$22)</f>
        <v>0</v>
      </c>
      <c r="E701" s="103" t="b">
        <f>IF(AND('AES Indiana Bill Calc.'!$D$17="PL",'AES Indiana Bill Calc.'!$D$18="Yes 10%",'AES Indiana Bill Calc.'!$D$20="Yes 2024"),'AES Indiana Bill Calc.'!$D$21)</f>
        <v>0</v>
      </c>
      <c r="F701" s="36" t="s">
        <v>300</v>
      </c>
      <c r="G701" s="42" t="e">
        <f>SUM(J701:M701,R701:AA701)</f>
        <v>#N/A</v>
      </c>
      <c r="H701" s="19" t="e">
        <f>IF(ISBLANK(B701),0,+#REF!/B701)</f>
        <v>#REF!</v>
      </c>
      <c r="I701" s="19"/>
      <c r="J701" s="88">
        <f>IF(ISBLANK(B701),0,+J$610)</f>
        <v>130</v>
      </c>
      <c r="K701" s="42">
        <f>ROUND($B701*K$610,2)</f>
        <v>-0.04</v>
      </c>
      <c r="L701" s="92">
        <f>IF($C701&gt;L$611,ROUND(L$611*L$610,2),ROUND($C701*L$610,2))</f>
        <v>14150</v>
      </c>
      <c r="M701" s="92">
        <f>IF($C701&gt;L$611,ROUND(($C701-L$611)*M$610,2),0)</f>
        <v>0</v>
      </c>
      <c r="N701" s="92">
        <f>K701</f>
        <v>-0.04</v>
      </c>
      <c r="O701" s="42"/>
      <c r="P701" s="42"/>
      <c r="Q701" s="92">
        <f>SUM(L701:M701)</f>
        <v>14150</v>
      </c>
      <c r="R701" s="82" t="e">
        <f>ROUND(SUM(K701:M701)*(R700-1),2)</f>
        <v>#N/A</v>
      </c>
      <c r="S701" s="42">
        <f>ROUND($B701*S$610*S700,2)</f>
        <v>0</v>
      </c>
      <c r="T701" s="42">
        <f>ROUND($B701*T$610,2)</f>
        <v>0</v>
      </c>
      <c r="U701" s="42">
        <f>ROUND($B701*U$610,2)</f>
        <v>0</v>
      </c>
      <c r="V701" s="41">
        <f>ROUND($B701*V$608,2)</f>
        <v>-0.01</v>
      </c>
      <c r="W701" s="42">
        <f>ROUND($B701*W$610,2)</f>
        <v>0</v>
      </c>
      <c r="X701" s="42">
        <f>ROUND($B701*X$610,2)</f>
        <v>-0.01</v>
      </c>
      <c r="Y701" s="42">
        <f>ROUND($B701*Y$610,2)</f>
        <v>0</v>
      </c>
      <c r="Z701" s="42">
        <f>ROUND($B701*Z$610,2)</f>
        <v>0</v>
      </c>
      <c r="AA701" s="42">
        <f>ROUND($B701*AA$610,2)</f>
        <v>0</v>
      </c>
      <c r="AB701" s="19">
        <f>SUM(U$610:AA$610)+(-V$610+V646)</f>
        <v>1.1855000000000001E-2</v>
      </c>
      <c r="AC701" s="94" t="str">
        <f>+F701</f>
        <v>PL4</v>
      </c>
    </row>
    <row r="702" spans="1:29" x14ac:dyDescent="0.2">
      <c r="A702" s="9"/>
      <c r="B702" s="97">
        <v>-1</v>
      </c>
      <c r="D702" s="41"/>
      <c r="E702" s="80"/>
      <c r="F702" s="36"/>
      <c r="G702" s="42"/>
      <c r="H702" s="19"/>
      <c r="I702" s="19"/>
      <c r="J702" s="88"/>
      <c r="K702" s="42"/>
      <c r="L702" s="42"/>
      <c r="M702" s="42"/>
      <c r="N702" s="42"/>
      <c r="O702" s="42"/>
      <c r="P702" s="42"/>
      <c r="Q702" s="42"/>
      <c r="R702" s="38" t="e">
        <f>VLOOKUP((D703),'Pwr Factor'!$A$1:$B$52,2)</f>
        <v>#N/A</v>
      </c>
      <c r="S702" s="50">
        <v>0</v>
      </c>
      <c r="T702" s="42"/>
      <c r="U702" s="42"/>
      <c r="V702" s="41"/>
      <c r="W702" s="42"/>
      <c r="X702" s="42"/>
      <c r="Y702" s="42"/>
      <c r="Z702" s="42"/>
      <c r="AA702" s="42"/>
      <c r="AB702" s="19"/>
      <c r="AC702" s="94"/>
    </row>
    <row r="703" spans="1:29" x14ac:dyDescent="0.2">
      <c r="A703" s="1" t="s">
        <v>147</v>
      </c>
      <c r="B703" s="103">
        <f>IF(AND('AES Indiana Bill Calc.'!$D$17="PL",'AES Indiana Bill Calc.'!$D$18="No",'AES Indiana Bill Calc.'!$D$20="Yes 2024"),'AES Indiana Bill Calc.'!$D$19,-1)</f>
        <v>-1</v>
      </c>
      <c r="C703" s="103">
        <f>MAX(E703,$C$607)</f>
        <v>500</v>
      </c>
      <c r="D703" s="103" t="b">
        <f>IF(AND('AES Indiana Bill Calc.'!$D$17="PL",'AES Indiana Bill Calc.'!$D$18="No",'AES Indiana Bill Calc.'!$D$20="Yes 2024"),'AES Indiana Bill Calc.'!$D$22)</f>
        <v>0</v>
      </c>
      <c r="E703" s="103" t="b">
        <f>IF(AND('AES Indiana Bill Calc.'!$D$17="PL",'AES Indiana Bill Calc.'!$D$18="No",'AES Indiana Bill Calc.'!$D$20="Yes 2024"),'AES Indiana Bill Calc.'!$D$21)</f>
        <v>0</v>
      </c>
      <c r="F703" s="36" t="s">
        <v>300</v>
      </c>
      <c r="G703" s="42" t="e">
        <f>SUM(J703:M703,R703:AA703)</f>
        <v>#N/A</v>
      </c>
      <c r="H703" s="19" t="e">
        <f>IF(ISBLANK(B703),0,+#REF!/B703)</f>
        <v>#REF!</v>
      </c>
      <c r="I703" s="19"/>
      <c r="J703" s="88">
        <f>IF(ISBLANK(B703),0,+J$610)</f>
        <v>130</v>
      </c>
      <c r="K703" s="42">
        <f>ROUND($B703*K$610,2)</f>
        <v>-0.04</v>
      </c>
      <c r="L703" s="92">
        <f>IF($C703&gt;L$611,ROUND(L$611*L$610,2),ROUND($C703*L$610,2))</f>
        <v>14150</v>
      </c>
      <c r="M703" s="92">
        <f>IF($C703&gt;L$611,ROUND(($C703-L$611)*M$610,2),0)</f>
        <v>0</v>
      </c>
      <c r="N703" s="92">
        <f>K703</f>
        <v>-0.04</v>
      </c>
      <c r="O703" s="42"/>
      <c r="P703" s="42"/>
      <c r="Q703" s="92">
        <f>SUM(L703:M703)</f>
        <v>14150</v>
      </c>
      <c r="R703" s="82" t="e">
        <f>ROUND(SUM(K703:M703)*(R702-1),2)</f>
        <v>#N/A</v>
      </c>
      <c r="S703" s="42">
        <f>ROUND($B703*S$610*S702,2)</f>
        <v>0</v>
      </c>
      <c r="T703" s="42">
        <f>ROUND($B703*T$610,2)</f>
        <v>0</v>
      </c>
      <c r="U703" s="42">
        <f>ROUND($B703*U$610,2)</f>
        <v>0</v>
      </c>
      <c r="V703" s="41">
        <f>ROUND($B703*V$608,2)</f>
        <v>-0.01</v>
      </c>
      <c r="W703" s="42">
        <f>ROUND($B703*W$610,2)</f>
        <v>0</v>
      </c>
      <c r="X703" s="42">
        <f>ROUND($B703*X$610,2)</f>
        <v>-0.01</v>
      </c>
      <c r="Y703" s="42">
        <f>ROUND($B703*Y$610,2)</f>
        <v>0</v>
      </c>
      <c r="Z703" s="42">
        <f>ROUND($B703*Z$610,2)</f>
        <v>0</v>
      </c>
      <c r="AA703" s="42">
        <f>ROUND($B703*AA$610,2)</f>
        <v>0</v>
      </c>
      <c r="AB703" s="19">
        <f>SUM(U$610:AA$610)+(-V$610+V648)</f>
        <v>1.1855000000000001E-2</v>
      </c>
      <c r="AC703" s="94" t="str">
        <f>+F703</f>
        <v>PL4</v>
      </c>
    </row>
    <row r="704" spans="1:29" ht="15" customHeight="1" x14ac:dyDescent="0.2">
      <c r="B704" s="97">
        <v>-1</v>
      </c>
      <c r="D704" s="41"/>
      <c r="E704" s="80"/>
      <c r="F704" s="36"/>
      <c r="G704" s="42"/>
      <c r="H704" s="19"/>
      <c r="I704" s="19"/>
      <c r="J704" s="88"/>
      <c r="K704" s="42"/>
      <c r="L704" s="42"/>
      <c r="M704" s="42"/>
      <c r="N704" s="42"/>
      <c r="O704" s="42"/>
      <c r="P704" s="42"/>
      <c r="Q704" s="42"/>
      <c r="R704" s="38" t="e">
        <f>VLOOKUP((D705),'Pwr Factor'!$A$1:$B$52,2)</f>
        <v>#N/A</v>
      </c>
      <c r="S704" s="50">
        <v>1</v>
      </c>
      <c r="T704" s="42"/>
      <c r="U704" s="42"/>
      <c r="V704" s="41"/>
      <c r="W704" s="42"/>
      <c r="X704" s="42"/>
      <c r="Y704" s="42"/>
      <c r="Z704" s="42"/>
      <c r="AA704" s="42"/>
      <c r="AB704" s="19"/>
      <c r="AC704" s="94"/>
    </row>
    <row r="705" spans="1:29" x14ac:dyDescent="0.2">
      <c r="A705" s="1" t="s">
        <v>148</v>
      </c>
      <c r="B705" s="103">
        <f>IF(AND('AES Indiana Bill Calc.'!$D$17="PL",'AES Indiana Bill Calc.'!$D$18="Yes 100%",'AES Indiana Bill Calc.'!$D$20="Yes 2025"),'AES Indiana Bill Calc.'!$D$19,-1)</f>
        <v>-1</v>
      </c>
      <c r="C705" s="103">
        <f>MAX(E705,$C$607)</f>
        <v>500</v>
      </c>
      <c r="D705" s="103" t="b">
        <f>IF(AND('AES Indiana Bill Calc.'!$D$17="PL",'AES Indiana Bill Calc.'!$D$18="Yes 100%",'AES Indiana Bill Calc.'!$D$20="Yes 2025"),'AES Indiana Bill Calc.'!$D$22)</f>
        <v>0</v>
      </c>
      <c r="E705" s="103" t="b">
        <f>IF(AND('AES Indiana Bill Calc.'!$D$17="PL",'AES Indiana Bill Calc.'!$D$18="Yes 100%",'AES Indiana Bill Calc.'!$D$20="Yes 2025"),'AES Indiana Bill Calc.'!$D$21)</f>
        <v>0</v>
      </c>
      <c r="F705" s="36" t="s">
        <v>330</v>
      </c>
      <c r="G705" s="42" t="e">
        <f>SUM(J705:M705,R705:AA705)</f>
        <v>#N/A</v>
      </c>
      <c r="H705" s="19" t="e">
        <f>IF(ISBLANK(B705),0,+#REF!/B705)</f>
        <v>#REF!</v>
      </c>
      <c r="I705" s="19"/>
      <c r="J705" s="88">
        <f>IF(ISBLANK(B705),0,+J$610)</f>
        <v>130</v>
      </c>
      <c r="K705" s="42">
        <f>ROUND($B705*K$610,2)</f>
        <v>-0.04</v>
      </c>
      <c r="L705" s="92">
        <f>IF($C705&gt;L$611,ROUND(L$611*L$610,2),ROUND($C705*L$610,2))</f>
        <v>14150</v>
      </c>
      <c r="M705" s="92">
        <f>IF($C705&gt;L$611,ROUND(($C705-L$611)*M$610,2),0)</f>
        <v>0</v>
      </c>
      <c r="N705" s="92">
        <f>K705</f>
        <v>-0.04</v>
      </c>
      <c r="O705" s="42"/>
      <c r="P705" s="42"/>
      <c r="Q705" s="92">
        <f>SUM(L705:M705)</f>
        <v>14150</v>
      </c>
      <c r="R705" s="82" t="e">
        <f>ROUND(SUM(K705:M705)*(R704-1),2)</f>
        <v>#N/A</v>
      </c>
      <c r="S705" s="42">
        <f>ROUND($B705*S$610*S704,2)</f>
        <v>0</v>
      </c>
      <c r="T705" s="42">
        <f>ROUND($B705*T$610,2)</f>
        <v>0</v>
      </c>
      <c r="U705" s="42">
        <f>ROUND($B705*U$610,2)</f>
        <v>0</v>
      </c>
      <c r="V705" s="41">
        <f>ROUND($B705*V$609,2)</f>
        <v>-0.01</v>
      </c>
      <c r="W705" s="42">
        <f>ROUND($B705*W$610,2)</f>
        <v>0</v>
      </c>
      <c r="X705" s="42">
        <f>ROUND($B705*X$610,2)</f>
        <v>-0.01</v>
      </c>
      <c r="Y705" s="42">
        <f>ROUND($B705*Y$610,2)</f>
        <v>0</v>
      </c>
      <c r="Z705" s="42">
        <f>ROUND($B705*Z$610,2)</f>
        <v>0</v>
      </c>
      <c r="AA705" s="42">
        <f>ROUND($B705*AA$610,2)</f>
        <v>0</v>
      </c>
      <c r="AB705" s="19">
        <f>SUM(U$610:AA$610)+(-V$610+V650)</f>
        <v>1.1855000000000001E-2</v>
      </c>
      <c r="AC705" s="94" t="str">
        <f>+F705</f>
        <v>PL5</v>
      </c>
    </row>
    <row r="706" spans="1:29" x14ac:dyDescent="0.2">
      <c r="A706" s="9"/>
      <c r="B706" s="97">
        <v>-1</v>
      </c>
      <c r="D706" s="41"/>
      <c r="E706" s="80"/>
      <c r="F706" s="36"/>
      <c r="G706" s="42"/>
      <c r="H706" s="19"/>
      <c r="I706" s="19"/>
      <c r="J706" s="88"/>
      <c r="K706" s="42"/>
      <c r="L706" s="42"/>
      <c r="M706" s="42"/>
      <c r="N706" s="42"/>
      <c r="O706" s="42"/>
      <c r="P706" s="42"/>
      <c r="Q706" s="42"/>
      <c r="R706" s="38" t="e">
        <f>VLOOKUP((D707),'Pwr Factor'!$A$1:$B$52,2)</f>
        <v>#N/A</v>
      </c>
      <c r="S706" s="50">
        <v>0.5</v>
      </c>
      <c r="T706" s="42"/>
      <c r="U706" s="42"/>
      <c r="V706" s="41"/>
      <c r="W706" s="42"/>
      <c r="X706" s="42"/>
      <c r="Y706" s="42"/>
      <c r="Z706" s="42"/>
      <c r="AA706" s="42"/>
      <c r="AB706" s="19"/>
      <c r="AC706" s="94"/>
    </row>
    <row r="707" spans="1:29" x14ac:dyDescent="0.2">
      <c r="A707" s="1" t="s">
        <v>149</v>
      </c>
      <c r="B707" s="103">
        <f>IF(AND('AES Indiana Bill Calc.'!$D$17="PL",'AES Indiana Bill Calc.'!$D$18="Yes 50%",'AES Indiana Bill Calc.'!$D$20="Yes 2025"),'AES Indiana Bill Calc.'!$D$19,-1)</f>
        <v>-1</v>
      </c>
      <c r="C707" s="103">
        <f>MAX(E707,$C$607)</f>
        <v>500</v>
      </c>
      <c r="D707" s="103" t="b">
        <f>IF(AND('AES Indiana Bill Calc.'!$D$17="PL",'AES Indiana Bill Calc.'!$D$18="Yes 50%",'AES Indiana Bill Calc.'!$D$20="Yes 2025"),'AES Indiana Bill Calc.'!$D$22)</f>
        <v>0</v>
      </c>
      <c r="E707" s="103" t="b">
        <f>IF(AND('AES Indiana Bill Calc.'!$D$17="PL",'AES Indiana Bill Calc.'!$D$18="Yes 50%",'AES Indiana Bill Calc.'!$D$20="Yes 2025"),'AES Indiana Bill Calc.'!$D$21)</f>
        <v>0</v>
      </c>
      <c r="F707" s="36" t="s">
        <v>330</v>
      </c>
      <c r="G707" s="42" t="e">
        <f>SUM(J707:M707,R707:AA707)</f>
        <v>#N/A</v>
      </c>
      <c r="H707" s="19" t="e">
        <f>IF(ISBLANK(B707),0,+#REF!/B707)</f>
        <v>#REF!</v>
      </c>
      <c r="I707" s="19"/>
      <c r="J707" s="88">
        <f>IF(ISBLANK(B707),0,+J$610)</f>
        <v>130</v>
      </c>
      <c r="K707" s="42">
        <f>ROUND($B707*K$610,2)</f>
        <v>-0.04</v>
      </c>
      <c r="L707" s="92">
        <f>IF($C707&gt;L$611,ROUND(L$611*L$610,2),ROUND($C707*L$610,2))</f>
        <v>14150</v>
      </c>
      <c r="M707" s="92">
        <f>IF($C707&gt;L$611,ROUND(($C707-L$611)*M$610,2),0)</f>
        <v>0</v>
      </c>
      <c r="N707" s="92">
        <f>K707</f>
        <v>-0.04</v>
      </c>
      <c r="O707" s="42"/>
      <c r="P707" s="42"/>
      <c r="Q707" s="92">
        <f>SUM(L707:M707)</f>
        <v>14150</v>
      </c>
      <c r="R707" s="82" t="e">
        <f>ROUND(SUM(K707:M707)*(R706-1),2)</f>
        <v>#N/A</v>
      </c>
      <c r="S707" s="42">
        <f>ROUND($B707*S$610*S706,2)</f>
        <v>0</v>
      </c>
      <c r="T707" s="42">
        <f>ROUND($B707*T$610,2)</f>
        <v>0</v>
      </c>
      <c r="U707" s="42">
        <f>ROUND($B707*U$610,2)</f>
        <v>0</v>
      </c>
      <c r="V707" s="41">
        <f>ROUND($B707*V$609,2)</f>
        <v>-0.01</v>
      </c>
      <c r="W707" s="42">
        <f>ROUND($B707*W$610,2)</f>
        <v>0</v>
      </c>
      <c r="X707" s="42">
        <f>ROUND($B707*X$610,2)</f>
        <v>-0.01</v>
      </c>
      <c r="Y707" s="42">
        <f>ROUND($B707*Y$610,2)</f>
        <v>0</v>
      </c>
      <c r="Z707" s="42">
        <f>ROUND($B707*Z$610,2)</f>
        <v>0</v>
      </c>
      <c r="AA707" s="42">
        <f>ROUND($B707*AA$610,2)</f>
        <v>0</v>
      </c>
      <c r="AB707" s="19">
        <f>SUM(U$610:AA$610)+(-V$610+V652)</f>
        <v>1.1855000000000001E-2</v>
      </c>
      <c r="AC707" s="94" t="str">
        <f>+F707</f>
        <v>PL5</v>
      </c>
    </row>
    <row r="708" spans="1:29" x14ac:dyDescent="0.2">
      <c r="A708" s="9"/>
      <c r="B708" s="97">
        <v>-1</v>
      </c>
      <c r="D708" s="41"/>
      <c r="E708" s="80"/>
      <c r="F708" s="36"/>
      <c r="G708" s="42"/>
      <c r="H708" s="19"/>
      <c r="I708" s="19"/>
      <c r="J708" s="88"/>
      <c r="K708" s="42"/>
      <c r="L708" s="42"/>
      <c r="M708" s="42"/>
      <c r="N708" s="42"/>
      <c r="O708" s="42"/>
      <c r="P708" s="42"/>
      <c r="Q708" s="42"/>
      <c r="R708" s="38" t="e">
        <f>VLOOKUP((D709),'Pwr Factor'!$A$1:$B$52,2)</f>
        <v>#N/A</v>
      </c>
      <c r="S708" s="50">
        <v>0.25</v>
      </c>
      <c r="T708" s="42"/>
      <c r="U708" s="42"/>
      <c r="V708" s="41"/>
      <c r="W708" s="42"/>
      <c r="X708" s="42"/>
      <c r="Y708" s="42"/>
      <c r="Z708" s="42"/>
      <c r="AA708" s="42"/>
      <c r="AB708" s="19"/>
      <c r="AC708" s="94"/>
    </row>
    <row r="709" spans="1:29" x14ac:dyDescent="0.2">
      <c r="A709" s="1" t="s">
        <v>150</v>
      </c>
      <c r="B709" s="103">
        <f>IF(AND('AES Indiana Bill Calc.'!$D$17="PL",'AES Indiana Bill Calc.'!$D$18="Yes 25%",'AES Indiana Bill Calc.'!$D$20="Yes 2025"),'AES Indiana Bill Calc.'!$D$19,-1)</f>
        <v>-1</v>
      </c>
      <c r="C709" s="103">
        <f>MAX(E709,$C$607)</f>
        <v>500</v>
      </c>
      <c r="D709" s="103" t="b">
        <f>IF(AND('AES Indiana Bill Calc.'!$D$17="PL",'AES Indiana Bill Calc.'!$D$18="Yes 25%",'AES Indiana Bill Calc.'!$D$20="Yes 2025"),'AES Indiana Bill Calc.'!$D$22)</f>
        <v>0</v>
      </c>
      <c r="E709" s="103" t="b">
        <f>IF(AND('AES Indiana Bill Calc.'!$D$17="PL",'AES Indiana Bill Calc.'!$D$18="Yes 25%",'AES Indiana Bill Calc.'!$D$20="Yes 2025"),'AES Indiana Bill Calc.'!$D$21)</f>
        <v>0</v>
      </c>
      <c r="F709" s="36" t="s">
        <v>330</v>
      </c>
      <c r="G709" s="42" t="e">
        <f>SUM(J709:M709,R709:AA709)</f>
        <v>#N/A</v>
      </c>
      <c r="H709" s="19" t="e">
        <f>IF(ISBLANK(B709),0,+#REF!/B709)</f>
        <v>#REF!</v>
      </c>
      <c r="I709" s="19"/>
      <c r="J709" s="88">
        <f>IF(ISBLANK(B709),0,+J$610)</f>
        <v>130</v>
      </c>
      <c r="K709" s="42">
        <f>ROUND($B709*K$610,2)</f>
        <v>-0.04</v>
      </c>
      <c r="L709" s="92">
        <f>IF($C709&gt;L$611,ROUND(L$611*L$610,2),ROUND($C709*L$610,2))</f>
        <v>14150</v>
      </c>
      <c r="M709" s="92">
        <f>IF($C709&gt;L$611,ROUND(($C709-L$611)*M$610,2),0)</f>
        <v>0</v>
      </c>
      <c r="N709" s="92">
        <f>K709</f>
        <v>-0.04</v>
      </c>
      <c r="O709" s="42"/>
      <c r="P709" s="42"/>
      <c r="Q709" s="92">
        <f>SUM(L709:M709)</f>
        <v>14150</v>
      </c>
      <c r="R709" s="82" t="e">
        <f>ROUND(SUM(K709:M709)*(R708-1),2)</f>
        <v>#N/A</v>
      </c>
      <c r="S709" s="42">
        <f>ROUND($B709*S$610*S708,2)</f>
        <v>0</v>
      </c>
      <c r="T709" s="42">
        <f>ROUND($B709*T$610,2)</f>
        <v>0</v>
      </c>
      <c r="U709" s="42">
        <f>ROUND($B709*U$610,2)</f>
        <v>0</v>
      </c>
      <c r="V709" s="41">
        <f>ROUND($B709*V$609,2)</f>
        <v>-0.01</v>
      </c>
      <c r="W709" s="42">
        <f>ROUND($B709*W$610,2)</f>
        <v>0</v>
      </c>
      <c r="X709" s="42">
        <f>ROUND($B709*X$610,2)</f>
        <v>-0.01</v>
      </c>
      <c r="Y709" s="42">
        <f>ROUND($B709*Y$610,2)</f>
        <v>0</v>
      </c>
      <c r="Z709" s="42">
        <f>ROUND($B709*Z$610,2)</f>
        <v>0</v>
      </c>
      <c r="AA709" s="42">
        <f>ROUND($B709*AA$610,2)</f>
        <v>0</v>
      </c>
      <c r="AB709" s="19">
        <f>SUM(U$610:AA$610)+(-V$610+V654)</f>
        <v>1.1855000000000001E-2</v>
      </c>
      <c r="AC709" s="94" t="str">
        <f>+F709</f>
        <v>PL5</v>
      </c>
    </row>
    <row r="710" spans="1:29" x14ac:dyDescent="0.2">
      <c r="A710" s="9"/>
      <c r="B710" s="97">
        <v>-1</v>
      </c>
      <c r="D710" s="41"/>
      <c r="E710" s="80"/>
      <c r="F710" s="36"/>
      <c r="G710" s="42"/>
      <c r="H710" s="19"/>
      <c r="I710" s="19"/>
      <c r="J710" s="88"/>
      <c r="K710" s="42"/>
      <c r="L710" s="42"/>
      <c r="M710" s="42"/>
      <c r="N710" s="42"/>
      <c r="O710" s="42"/>
      <c r="P710" s="42"/>
      <c r="Q710" s="42"/>
      <c r="R710" s="38" t="e">
        <f>VLOOKUP((D711),'Pwr Factor'!$A$1:$B$52,2)</f>
        <v>#N/A</v>
      </c>
      <c r="S710" s="50">
        <v>0.1</v>
      </c>
      <c r="T710" s="42"/>
      <c r="U710" s="42"/>
      <c r="V710" s="41"/>
      <c r="W710" s="42"/>
      <c r="X710" s="42"/>
      <c r="Y710" s="42"/>
      <c r="Z710" s="42"/>
      <c r="AA710" s="42"/>
      <c r="AB710" s="19"/>
      <c r="AC710" s="94"/>
    </row>
    <row r="711" spans="1:29" x14ac:dyDescent="0.2">
      <c r="A711" s="1" t="s">
        <v>164</v>
      </c>
      <c r="B711" s="103">
        <f>IF(AND('AES Indiana Bill Calc.'!$D$17="PL",'AES Indiana Bill Calc.'!$D$18="Yes 10%",'AES Indiana Bill Calc.'!$D$20="Yes 2025"),'AES Indiana Bill Calc.'!$D$19,-1)</f>
        <v>-1</v>
      </c>
      <c r="C711" s="103">
        <f>MAX(E711,$C$607)</f>
        <v>500</v>
      </c>
      <c r="D711" s="103" t="b">
        <f>IF(AND('AES Indiana Bill Calc.'!$D$17="PL",'AES Indiana Bill Calc.'!$D$18="Yes 10%",'AES Indiana Bill Calc.'!$D$20="Yes 2025"),'AES Indiana Bill Calc.'!$D$22)</f>
        <v>0</v>
      </c>
      <c r="E711" s="103" t="b">
        <f>IF(AND('AES Indiana Bill Calc.'!$D$17="PL",'AES Indiana Bill Calc.'!$D$18="Yes 10%",'AES Indiana Bill Calc.'!$D$20="Yes 2025"),'AES Indiana Bill Calc.'!$D$21)</f>
        <v>0</v>
      </c>
      <c r="F711" s="36" t="s">
        <v>330</v>
      </c>
      <c r="G711" s="42" t="e">
        <f>SUM(J711:M711,R711:AA711)</f>
        <v>#N/A</v>
      </c>
      <c r="H711" s="19" t="e">
        <f>IF(ISBLANK(B711),0,+#REF!/B711)</f>
        <v>#REF!</v>
      </c>
      <c r="I711" s="19"/>
      <c r="J711" s="88">
        <f>IF(ISBLANK(B711),0,+J$610)</f>
        <v>130</v>
      </c>
      <c r="K711" s="42">
        <f>ROUND($B711*K$610,2)</f>
        <v>-0.04</v>
      </c>
      <c r="L711" s="92">
        <f>IF($C711&gt;L$611,ROUND(L$611*L$610,2),ROUND($C711*L$610,2))</f>
        <v>14150</v>
      </c>
      <c r="M711" s="92">
        <f>IF($C711&gt;L$611,ROUND(($C711-L$611)*M$610,2),0)</f>
        <v>0</v>
      </c>
      <c r="N711" s="92">
        <f>K711</f>
        <v>-0.04</v>
      </c>
      <c r="O711" s="42"/>
      <c r="P711" s="42"/>
      <c r="Q711" s="92">
        <f>SUM(L711:M711)</f>
        <v>14150</v>
      </c>
      <c r="R711" s="82" t="e">
        <f>ROUND(SUM(K711:M711)*(R710-1),2)</f>
        <v>#N/A</v>
      </c>
      <c r="S711" s="42">
        <f>ROUND($B711*S$610*S710,2)</f>
        <v>0</v>
      </c>
      <c r="T711" s="42">
        <f>ROUND($B711*T$610,2)</f>
        <v>0</v>
      </c>
      <c r="U711" s="42">
        <f>ROUND($B711*U$610,2)</f>
        <v>0</v>
      </c>
      <c r="V711" s="41">
        <f>ROUND($B711*V$609,2)</f>
        <v>-0.01</v>
      </c>
      <c r="W711" s="42">
        <f>ROUND($B711*W$610,2)</f>
        <v>0</v>
      </c>
      <c r="X711" s="42">
        <f>ROUND($B711*X$610,2)</f>
        <v>-0.01</v>
      </c>
      <c r="Y711" s="42">
        <f>ROUND($B711*Y$610,2)</f>
        <v>0</v>
      </c>
      <c r="Z711" s="42">
        <f>ROUND($B711*Z$610,2)</f>
        <v>0</v>
      </c>
      <c r="AA711" s="42">
        <f>ROUND($B711*AA$610,2)</f>
        <v>0</v>
      </c>
      <c r="AB711" s="19">
        <f>SUM(U$610:AA$610)+(-V$610+V656)</f>
        <v>1.1855000000000001E-2</v>
      </c>
      <c r="AC711" s="94" t="str">
        <f>+F711</f>
        <v>PL5</v>
      </c>
    </row>
    <row r="712" spans="1:29" x14ac:dyDescent="0.2">
      <c r="A712" s="9"/>
      <c r="B712" s="97">
        <v>-1</v>
      </c>
      <c r="D712" s="41"/>
      <c r="E712" s="80"/>
      <c r="F712" s="36"/>
      <c r="G712" s="42"/>
      <c r="H712" s="19"/>
      <c r="I712" s="19"/>
      <c r="J712" s="88"/>
      <c r="K712" s="42"/>
      <c r="L712" s="42"/>
      <c r="M712" s="42"/>
      <c r="N712" s="42"/>
      <c r="O712" s="42"/>
      <c r="P712" s="42"/>
      <c r="Q712" s="42"/>
      <c r="R712" s="38" t="e">
        <f>VLOOKUP((D713),'Pwr Factor'!$A$1:$B$52,2)</f>
        <v>#N/A</v>
      </c>
      <c r="S712" s="50">
        <v>0</v>
      </c>
      <c r="T712" s="42"/>
      <c r="U712" s="42"/>
      <c r="V712" s="41"/>
      <c r="W712" s="42"/>
      <c r="X712" s="42"/>
      <c r="Y712" s="42"/>
      <c r="Z712" s="42"/>
      <c r="AA712" s="42"/>
      <c r="AB712" s="19"/>
      <c r="AC712" s="94"/>
    </row>
    <row r="713" spans="1:29" x14ac:dyDescent="0.2">
      <c r="A713" s="1" t="s">
        <v>147</v>
      </c>
      <c r="B713" s="103">
        <f>IF(AND('AES Indiana Bill Calc.'!$D$17="PL",'AES Indiana Bill Calc.'!$D$18="No",'AES Indiana Bill Calc.'!$D$20="Yes 2025"),'AES Indiana Bill Calc.'!$D$19,-1)</f>
        <v>-1</v>
      </c>
      <c r="C713" s="103">
        <f>MAX(E713,$C$607)</f>
        <v>500</v>
      </c>
      <c r="D713" s="103" t="b">
        <f>IF(AND('AES Indiana Bill Calc.'!$D$17="PL",'AES Indiana Bill Calc.'!$D$18="No",'AES Indiana Bill Calc.'!$D$20="Yes 2025"),'AES Indiana Bill Calc.'!$D$22)</f>
        <v>0</v>
      </c>
      <c r="E713" s="103" t="b">
        <f>IF(AND('AES Indiana Bill Calc.'!$D$17="PL",'AES Indiana Bill Calc.'!$D$18="No",'AES Indiana Bill Calc.'!$D$20="Yes 2025"),'AES Indiana Bill Calc.'!$D$21)</f>
        <v>0</v>
      </c>
      <c r="F713" s="36" t="s">
        <v>330</v>
      </c>
      <c r="G713" s="42" t="e">
        <f>SUM(J713:M713,R713:AA713)</f>
        <v>#N/A</v>
      </c>
      <c r="H713" s="19" t="e">
        <f>IF(ISBLANK(B713),0,+#REF!/B713)</f>
        <v>#REF!</v>
      </c>
      <c r="I713" s="19"/>
      <c r="J713" s="88">
        <f>IF(ISBLANK(B713),0,+J$610)</f>
        <v>130</v>
      </c>
      <c r="K713" s="42">
        <f>ROUND($B713*K$610,2)</f>
        <v>-0.04</v>
      </c>
      <c r="L713" s="92">
        <f>IF($C713&gt;L$611,ROUND(L$611*L$610,2),ROUND($C713*L$610,2))</f>
        <v>14150</v>
      </c>
      <c r="M713" s="92">
        <f>IF($C713&gt;L$611,ROUND(($C713-L$611)*M$610,2),0)</f>
        <v>0</v>
      </c>
      <c r="N713" s="92">
        <f>K713</f>
        <v>-0.04</v>
      </c>
      <c r="O713" s="42"/>
      <c r="P713" s="42"/>
      <c r="Q713" s="92">
        <f>SUM(L713:M713)</f>
        <v>14150</v>
      </c>
      <c r="R713" s="82" t="e">
        <f>ROUND(SUM(K713:M713)*(R712-1),2)</f>
        <v>#N/A</v>
      </c>
      <c r="S713" s="42">
        <f>ROUND($B713*S$610*S712,2)</f>
        <v>0</v>
      </c>
      <c r="T713" s="42">
        <f>ROUND($B713*T$610,2)</f>
        <v>0</v>
      </c>
      <c r="U713" s="42">
        <f>ROUND($B713*U$610,2)</f>
        <v>0</v>
      </c>
      <c r="V713" s="41">
        <f>ROUND($B713*V$609,2)</f>
        <v>-0.01</v>
      </c>
      <c r="W713" s="42">
        <f>ROUND($B713*W$610,2)</f>
        <v>0</v>
      </c>
      <c r="X713" s="42">
        <f>ROUND($B713*X$610,2)</f>
        <v>-0.01</v>
      </c>
      <c r="Y713" s="42">
        <f>ROUND($B713*Y$610,2)</f>
        <v>0</v>
      </c>
      <c r="Z713" s="42">
        <f>ROUND($B713*Z$610,2)</f>
        <v>0</v>
      </c>
      <c r="AA713" s="42">
        <f>ROUND($B713*AA$610,2)</f>
        <v>0</v>
      </c>
      <c r="AB713" s="19">
        <f>SUM(U$610:AA$610)+(-V$610+V658)</f>
        <v>1.1855000000000001E-2</v>
      </c>
      <c r="AC713" s="94" t="str">
        <f>+F713</f>
        <v>PL5</v>
      </c>
    </row>
    <row r="714" spans="1:29" x14ac:dyDescent="0.2">
      <c r="A714" s="1"/>
      <c r="B714" s="103">
        <v>-1</v>
      </c>
      <c r="C714" s="103"/>
      <c r="D714" s="103"/>
      <c r="E714" s="103"/>
      <c r="F714" s="36"/>
      <c r="G714" s="42"/>
      <c r="H714" s="19"/>
      <c r="I714" s="19"/>
      <c r="J714" s="88"/>
      <c r="K714" s="42"/>
      <c r="L714" s="92"/>
      <c r="M714" s="92"/>
      <c r="N714" s="92"/>
      <c r="O714" s="42"/>
      <c r="P714" s="42"/>
      <c r="Q714" s="92"/>
      <c r="R714" s="82"/>
      <c r="S714" s="42"/>
      <c r="T714" s="42"/>
      <c r="U714" s="42"/>
      <c r="V714" s="41"/>
      <c r="W714" s="42"/>
      <c r="X714" s="42"/>
      <c r="Y714" s="42"/>
      <c r="Z714" s="42"/>
      <c r="AA714" s="42"/>
      <c r="AB714" s="19"/>
      <c r="AC714" s="94"/>
    </row>
    <row r="715" spans="1:29" x14ac:dyDescent="0.2">
      <c r="A715" s="1"/>
      <c r="B715" s="103">
        <v>-1</v>
      </c>
      <c r="C715" s="103"/>
      <c r="D715" s="103"/>
      <c r="E715" s="103"/>
      <c r="F715" s="36"/>
      <c r="G715" s="42"/>
      <c r="H715" s="19"/>
      <c r="I715" s="19"/>
      <c r="J715" s="88"/>
      <c r="K715" s="42"/>
      <c r="L715" s="92"/>
      <c r="M715" s="92"/>
      <c r="N715" s="92"/>
      <c r="O715" s="42"/>
      <c r="P715" s="42"/>
      <c r="Q715" s="92"/>
      <c r="R715" s="82"/>
      <c r="S715" s="42"/>
      <c r="T715" s="42"/>
      <c r="U715" s="42"/>
      <c r="V715" s="27">
        <f>+T13</f>
        <v>0</v>
      </c>
      <c r="W715" s="6" t="s">
        <v>155</v>
      </c>
      <c r="X715" s="42"/>
      <c r="Y715" s="42"/>
      <c r="Z715" s="42"/>
      <c r="AA715" s="42"/>
      <c r="AB715" s="19"/>
      <c r="AC715" s="94"/>
    </row>
    <row r="716" spans="1:29" x14ac:dyDescent="0.2">
      <c r="B716" s="103">
        <v>-1</v>
      </c>
      <c r="C716" s="9"/>
      <c r="D716" s="8"/>
      <c r="I716" s="19"/>
      <c r="S716" s="6"/>
      <c r="T716" s="6"/>
      <c r="U716" s="6"/>
      <c r="V716" s="27">
        <f>T16</f>
        <v>1.18E-4</v>
      </c>
      <c r="W716" s="6" t="s">
        <v>156</v>
      </c>
      <c r="X716" s="6"/>
      <c r="Y716" s="6"/>
      <c r="Z716" s="6"/>
      <c r="AA716" s="6"/>
      <c r="AB716" s="19"/>
    </row>
    <row r="717" spans="1:29" x14ac:dyDescent="0.2">
      <c r="B717" s="103">
        <v>-1</v>
      </c>
      <c r="C717" s="9"/>
      <c r="D717" s="8"/>
      <c r="I717" s="19"/>
      <c r="S717" s="6"/>
      <c r="T717" s="6"/>
      <c r="U717" s="6"/>
      <c r="V717" s="27">
        <f>$T$19</f>
        <v>4.55E-4</v>
      </c>
      <c r="W717" s="6" t="s">
        <v>157</v>
      </c>
      <c r="X717" s="6"/>
      <c r="Y717" s="6"/>
      <c r="Z717" s="6"/>
      <c r="AA717" s="6"/>
      <c r="AB717" s="19"/>
    </row>
    <row r="718" spans="1:29" x14ac:dyDescent="0.2">
      <c r="B718" s="103">
        <v>-1</v>
      </c>
      <c r="C718" s="9"/>
      <c r="D718" s="8"/>
      <c r="I718" s="19"/>
      <c r="S718" s="6"/>
      <c r="T718" s="6"/>
      <c r="U718" s="6"/>
      <c r="V718" s="27">
        <f>$T$21</f>
        <v>9.41E-4</v>
      </c>
      <c r="W718" s="6" t="s">
        <v>158</v>
      </c>
      <c r="X718" s="6"/>
      <c r="Y718" s="6"/>
      <c r="Z718" s="6"/>
      <c r="AA718" s="6"/>
      <c r="AB718" s="19"/>
    </row>
    <row r="719" spans="1:29" x14ac:dyDescent="0.2">
      <c r="B719" s="103">
        <v>-1</v>
      </c>
      <c r="C719" s="9"/>
      <c r="D719" s="8"/>
      <c r="I719" s="19"/>
      <c r="S719" s="6"/>
      <c r="T719" s="6"/>
      <c r="U719" s="6"/>
      <c r="V719" s="27">
        <f>$T$23</f>
        <v>-1.0000000000000001E-5</v>
      </c>
      <c r="W719" s="6" t="s">
        <v>159</v>
      </c>
      <c r="X719" s="6"/>
      <c r="Y719" s="6"/>
      <c r="Z719" s="6"/>
      <c r="AA719" s="6"/>
      <c r="AB719" s="19"/>
    </row>
    <row r="720" spans="1:29" x14ac:dyDescent="0.2">
      <c r="B720" s="103">
        <v>-1</v>
      </c>
      <c r="C720" s="9"/>
      <c r="D720" s="8"/>
      <c r="I720" s="19"/>
      <c r="S720" s="6"/>
      <c r="T720" s="6"/>
      <c r="U720" s="6"/>
      <c r="V720" s="27">
        <f>$T$25</f>
        <v>0</v>
      </c>
      <c r="W720" s="6" t="s">
        <v>160</v>
      </c>
      <c r="X720" s="6"/>
      <c r="Y720" s="6"/>
      <c r="Z720" s="6"/>
      <c r="AA720" s="6"/>
      <c r="AB720" s="19"/>
    </row>
    <row r="721" spans="1:29" x14ac:dyDescent="0.2">
      <c r="B721" s="103">
        <v>-1</v>
      </c>
      <c r="C721" s="9"/>
      <c r="D721" s="8"/>
      <c r="I721" s="19"/>
      <c r="S721" s="6"/>
      <c r="T721" s="6"/>
      <c r="U721" s="6"/>
      <c r="V721" s="19">
        <f>T27</f>
        <v>0</v>
      </c>
      <c r="W721" s="6" t="s">
        <v>161</v>
      </c>
      <c r="X721" s="6"/>
      <c r="Y721" s="6"/>
      <c r="Z721" s="6"/>
      <c r="AA721" s="6"/>
      <c r="AB721" s="19"/>
    </row>
    <row r="722" spans="1:29" x14ac:dyDescent="0.2">
      <c r="B722" s="103">
        <v>-1</v>
      </c>
      <c r="C722" s="9"/>
      <c r="D722" s="8"/>
      <c r="I722" s="19"/>
      <c r="S722" s="6"/>
      <c r="T722" s="6"/>
      <c r="U722" s="6"/>
      <c r="V722" s="19">
        <f>T29</f>
        <v>7.4390000000000003E-3</v>
      </c>
      <c r="W722" s="6" t="s">
        <v>296</v>
      </c>
      <c r="X722" s="6"/>
      <c r="Y722" s="6"/>
      <c r="Z722" s="6"/>
      <c r="AA722" s="6"/>
      <c r="AB722" s="19"/>
    </row>
    <row r="723" spans="1:29" x14ac:dyDescent="0.2">
      <c r="B723" s="103">
        <v>-1</v>
      </c>
      <c r="C723" s="9"/>
      <c r="D723" s="8"/>
      <c r="I723" s="19"/>
      <c r="S723" s="6"/>
      <c r="T723" s="6"/>
      <c r="U723" s="6"/>
      <c r="V723" s="19">
        <f>T31</f>
        <v>8.4290000000000007E-3</v>
      </c>
      <c r="W723" s="6" t="s">
        <v>172</v>
      </c>
      <c r="X723" s="6"/>
      <c r="Y723" s="6"/>
      <c r="Z723" s="6"/>
      <c r="AA723" s="6"/>
      <c r="AB723" s="19"/>
    </row>
    <row r="724" spans="1:29" x14ac:dyDescent="0.2">
      <c r="A724" s="1"/>
      <c r="B724" s="103">
        <v>-1</v>
      </c>
      <c r="C724" s="33" t="s">
        <v>194</v>
      </c>
      <c r="D724" s="8"/>
      <c r="F724" s="70"/>
      <c r="G724" s="70"/>
      <c r="H724" s="70"/>
      <c r="I724" s="75"/>
      <c r="J724" s="159">
        <v>1250</v>
      </c>
      <c r="K724" s="160">
        <v>9.7390000000000004E-2</v>
      </c>
      <c r="L724" s="160">
        <v>8.2614000000000007E-2</v>
      </c>
      <c r="M724" s="8">
        <v>0</v>
      </c>
      <c r="N724" s="8"/>
      <c r="O724" s="8"/>
      <c r="P724" s="8"/>
      <c r="Q724" s="8"/>
      <c r="R724" s="5"/>
      <c r="S724" s="27">
        <f>+M$5</f>
        <v>1.8E-3</v>
      </c>
      <c r="T724" s="27">
        <f t="shared" ref="T724:AA724" si="41">+R$5</f>
        <v>3.9020000000000001E-3</v>
      </c>
      <c r="U724" s="27">
        <f>S5</f>
        <v>6.1300000000000005E-4</v>
      </c>
      <c r="V724" s="27">
        <f>+T$5</f>
        <v>1.3795999999999999E-2</v>
      </c>
      <c r="W724" s="27">
        <f t="shared" si="41"/>
        <v>0</v>
      </c>
      <c r="X724" s="27">
        <f t="shared" si="41"/>
        <v>8.1969999999999994E-3</v>
      </c>
      <c r="Y724" s="27">
        <f>+W$5</f>
        <v>-4.8200000000000001E-4</v>
      </c>
      <c r="Z724" s="27">
        <f t="shared" si="41"/>
        <v>3.9439999999999996E-3</v>
      </c>
      <c r="AA724" s="27">
        <f t="shared" si="41"/>
        <v>6.6600000000000003E-4</v>
      </c>
      <c r="AB724" s="19">
        <f>SUM(U724:Z724)</f>
        <v>2.6068000000000001E-2</v>
      </c>
    </row>
    <row r="725" spans="1:29" x14ac:dyDescent="0.2">
      <c r="B725" s="103">
        <v>-1</v>
      </c>
      <c r="C725" s="9">
        <v>100</v>
      </c>
      <c r="D725" s="8"/>
      <c r="F725" s="70"/>
      <c r="G725" s="70"/>
      <c r="H725" s="70"/>
      <c r="I725" s="75"/>
      <c r="J725" s="70"/>
      <c r="K725" s="73">
        <v>250</v>
      </c>
      <c r="L725" s="73"/>
    </row>
    <row r="726" spans="1:29" x14ac:dyDescent="0.2">
      <c r="B726" s="103">
        <v>-1</v>
      </c>
      <c r="C726" s="9"/>
      <c r="D726" s="8"/>
      <c r="F726" s="12"/>
      <c r="I726" s="19"/>
      <c r="J726" s="12" t="s">
        <v>137</v>
      </c>
      <c r="K726" s="258" t="s">
        <v>28</v>
      </c>
      <c r="L726" s="258"/>
      <c r="M726" s="13" t="s">
        <v>220</v>
      </c>
      <c r="N726" s="12"/>
      <c r="O726" s="12"/>
      <c r="P726" s="138" t="s">
        <v>221</v>
      </c>
      <c r="Q726" s="142" t="s">
        <v>173</v>
      </c>
      <c r="R726" s="12" t="s">
        <v>196</v>
      </c>
      <c r="S726" s="12">
        <v>21</v>
      </c>
      <c r="T726" s="12">
        <v>6</v>
      </c>
      <c r="U726" s="12">
        <v>3</v>
      </c>
      <c r="V726" s="12">
        <v>22</v>
      </c>
      <c r="W726" s="12">
        <v>13</v>
      </c>
      <c r="X726" s="12">
        <v>20</v>
      </c>
      <c r="Y726" s="12">
        <v>24</v>
      </c>
      <c r="Z726" s="12">
        <v>25</v>
      </c>
      <c r="AA726" s="12">
        <v>26</v>
      </c>
    </row>
    <row r="727" spans="1:29" x14ac:dyDescent="0.2">
      <c r="A727" s="13"/>
      <c r="B727" s="103">
        <v>-1</v>
      </c>
      <c r="C727" s="99" t="s">
        <v>209</v>
      </c>
      <c r="D727" s="100" t="s">
        <v>210</v>
      </c>
      <c r="E727" s="130" t="s">
        <v>199</v>
      </c>
      <c r="F727" s="13" t="s">
        <v>141</v>
      </c>
      <c r="G727" s="130" t="s">
        <v>142</v>
      </c>
      <c r="H727" s="13" t="s">
        <v>143</v>
      </c>
      <c r="I727" s="150" t="s">
        <v>222</v>
      </c>
      <c r="J727" s="13" t="s">
        <v>144</v>
      </c>
      <c r="K727" s="13" t="s">
        <v>223</v>
      </c>
      <c r="L727" s="13" t="s">
        <v>224</v>
      </c>
      <c r="M727" s="13" t="s">
        <v>144</v>
      </c>
      <c r="N727" s="142" t="s">
        <v>138</v>
      </c>
      <c r="O727" s="13"/>
      <c r="P727" s="12"/>
      <c r="Q727" s="13"/>
      <c r="R727" s="13" t="s">
        <v>201</v>
      </c>
      <c r="S727" s="13" t="s">
        <v>106</v>
      </c>
      <c r="T727" s="13" t="s">
        <v>36</v>
      </c>
      <c r="U727" s="138" t="s">
        <v>38</v>
      </c>
      <c r="V727" s="13" t="s">
        <v>107</v>
      </c>
      <c r="W727" s="13" t="s">
        <v>108</v>
      </c>
      <c r="X727" s="13" t="s">
        <v>109</v>
      </c>
      <c r="Y727" s="138" t="s">
        <v>44</v>
      </c>
      <c r="Z727" s="138" t="s">
        <v>46</v>
      </c>
      <c r="AA727" s="138" t="s">
        <v>48</v>
      </c>
      <c r="AB727" s="66" t="s">
        <v>110</v>
      </c>
    </row>
    <row r="728" spans="1:29" x14ac:dyDescent="0.2">
      <c r="A728" s="48"/>
      <c r="B728" s="103">
        <v>-1</v>
      </c>
      <c r="D728" s="8"/>
      <c r="E728" s="9"/>
      <c r="F728" s="36"/>
      <c r="H728" s="12"/>
      <c r="I728" s="19"/>
      <c r="J728" s="12"/>
      <c r="K728" s="43">
        <f>ROUND(C729*K$725,0)</f>
        <v>25000</v>
      </c>
      <c r="L728" s="35">
        <f>+B729-K728</f>
        <v>-25001</v>
      </c>
      <c r="M728" s="12"/>
      <c r="N728" s="12"/>
      <c r="O728" s="12"/>
      <c r="P728" s="17" t="e">
        <f>SUM(J729:M729,R729:AA729)</f>
        <v>#N/A</v>
      </c>
      <c r="Q728" s="12"/>
      <c r="R728" s="38" t="e">
        <f>VLOOKUP((D729),'Pwr Factor'!$A$1:$B$52,2)</f>
        <v>#N/A</v>
      </c>
      <c r="S728" s="50">
        <v>1</v>
      </c>
      <c r="T728" s="12"/>
      <c r="U728" s="12"/>
      <c r="V728" s="12"/>
      <c r="W728" s="12"/>
      <c r="X728" s="12"/>
      <c r="Y728" s="12"/>
      <c r="Z728" s="12"/>
      <c r="AA728" s="12"/>
    </row>
    <row r="729" spans="1:29" x14ac:dyDescent="0.2">
      <c r="A729" s="1" t="s">
        <v>148</v>
      </c>
      <c r="B729" s="103">
        <f>IF(AND('AES Indiana Bill Calc.'!$D$17="PH",'AES Indiana Bill Calc.'!$D$18="Yes 100%",'AES Indiana Bill Calc.'!$D$20="No"),'AES Indiana Bill Calc.'!$D$19,-1)</f>
        <v>-1</v>
      </c>
      <c r="C729" s="103">
        <f>MAX(E729,$C$725)</f>
        <v>100</v>
      </c>
      <c r="D729" s="103" t="b">
        <f>IF(AND('AES Indiana Bill Calc.'!$D$17="PH",'AES Indiana Bill Calc.'!$D$18="Yes 100%",'AES Indiana Bill Calc.'!$D$20="No"),'AES Indiana Bill Calc.'!$D$22)</f>
        <v>0</v>
      </c>
      <c r="E729" s="103" t="b">
        <f>IF(AND('AES Indiana Bill Calc.'!$D$17="PH",'AES Indiana Bill Calc.'!$D$18="Yes 100%",'AES Indiana Bill Calc.'!$D$20="No"),'AES Indiana Bill Calc.'!$D$21)</f>
        <v>0</v>
      </c>
      <c r="F729" s="36" t="s">
        <v>63</v>
      </c>
      <c r="G729" s="137" t="e">
        <f>MAX(I729,P728)</f>
        <v>#N/A</v>
      </c>
      <c r="H729" s="19" t="e">
        <f>IF(ISBLANK(B729),0,+#REF!/B729)</f>
        <v>#REF!</v>
      </c>
      <c r="I729" s="115">
        <f>(E729*120*$K$724)+$J$724</f>
        <v>1250</v>
      </c>
      <c r="J729" s="51">
        <f>IF(ISBLANK(B729),0,+J$724)</f>
        <v>1250</v>
      </c>
      <c r="K729" s="16">
        <f>IF($B729&gt;K728,ROUND(K728*K$724,2),ROUND($B729*K$724,2))</f>
        <v>-0.1</v>
      </c>
      <c r="L729" s="17">
        <f>IF($B729&gt;K728,ROUND((B729-K728)*L$724,2),0)</f>
        <v>0</v>
      </c>
      <c r="M729" s="17">
        <f>IF($C729&gt;L$611,ROUND(($C729-L$611)*M$610,2),0)</f>
        <v>0</v>
      </c>
      <c r="N729" s="17">
        <f>SUM(K729:L729)</f>
        <v>-0.1</v>
      </c>
      <c r="O729" s="17"/>
      <c r="P729" s="12"/>
      <c r="Q729" s="17">
        <f>M729</f>
        <v>0</v>
      </c>
      <c r="R729" s="16" t="e">
        <f>ROUND(SUM(K729:M729)*(R728-1),2)</f>
        <v>#N/A</v>
      </c>
      <c r="S729" s="17">
        <f>ROUND($B729*S$724*S728,2)</f>
        <v>0</v>
      </c>
      <c r="T729" s="17">
        <f t="shared" ref="T729:AA729" si="42">ROUND($B729*T$724,2)</f>
        <v>0</v>
      </c>
      <c r="U729" s="17">
        <f t="shared" si="42"/>
        <v>0</v>
      </c>
      <c r="V729" s="17">
        <f t="shared" si="42"/>
        <v>-0.01</v>
      </c>
      <c r="W729" s="17">
        <f t="shared" si="42"/>
        <v>0</v>
      </c>
      <c r="X729" s="17">
        <f t="shared" si="42"/>
        <v>-0.01</v>
      </c>
      <c r="Y729" s="17">
        <f t="shared" si="42"/>
        <v>0</v>
      </c>
      <c r="Z729" s="17">
        <f t="shared" si="42"/>
        <v>0</v>
      </c>
      <c r="AA729" s="17">
        <f t="shared" si="42"/>
        <v>0</v>
      </c>
      <c r="AB729" s="19">
        <f>SUM(U724:AA724)</f>
        <v>2.6734000000000001E-2</v>
      </c>
      <c r="AC729" s="67" t="str">
        <f>+F729</f>
        <v>PH</v>
      </c>
    </row>
    <row r="730" spans="1:29" x14ac:dyDescent="0.2">
      <c r="A730" s="9"/>
      <c r="B730" s="103">
        <v>-1</v>
      </c>
      <c r="D730" s="8"/>
      <c r="E730" s="9"/>
      <c r="F730" s="36"/>
      <c r="H730" s="12"/>
      <c r="I730" s="19"/>
      <c r="J730" s="12"/>
      <c r="K730" s="43">
        <f>ROUND(C731*K$725,0)</f>
        <v>25000</v>
      </c>
      <c r="L730" s="35">
        <f>+B731-K730</f>
        <v>-25001</v>
      </c>
      <c r="M730" s="12"/>
      <c r="N730" s="12"/>
      <c r="O730" s="12"/>
      <c r="P730" s="17" t="e">
        <f>SUM(J731:M731,R731:AA731)</f>
        <v>#N/A</v>
      </c>
      <c r="Q730" s="17">
        <f t="shared" ref="Q730:Q793" si="43">M730</f>
        <v>0</v>
      </c>
      <c r="R730" s="38" t="e">
        <f>VLOOKUP((D731),'Pwr Factor'!$A$1:$B$52,2)</f>
        <v>#N/A</v>
      </c>
      <c r="S730" s="50">
        <v>0.5</v>
      </c>
      <c r="T730" s="12"/>
      <c r="U730" s="12"/>
      <c r="V730" s="12"/>
      <c r="W730" s="12"/>
      <c r="X730" s="12"/>
      <c r="Y730" s="12"/>
      <c r="Z730" s="12"/>
      <c r="AA730" s="12"/>
    </row>
    <row r="731" spans="1:29" x14ac:dyDescent="0.2">
      <c r="A731" s="1" t="s">
        <v>149</v>
      </c>
      <c r="B731" s="103">
        <f>IF(AND('AES Indiana Bill Calc.'!$D$17="PH",'AES Indiana Bill Calc.'!$D$18="Yes 50%",'AES Indiana Bill Calc.'!$D$20="No"),'AES Indiana Bill Calc.'!$D$19,-1)</f>
        <v>-1</v>
      </c>
      <c r="C731" s="103">
        <f>MAX(E731,$C$725)</f>
        <v>100</v>
      </c>
      <c r="D731" s="103" t="b">
        <f>IF(AND('AES Indiana Bill Calc.'!$D$17="PH",'AES Indiana Bill Calc.'!$D$18="Yes 50%",'AES Indiana Bill Calc.'!$D$20="No"),'AES Indiana Bill Calc.'!$D$22)</f>
        <v>0</v>
      </c>
      <c r="E731" s="103" t="b">
        <f>IF(AND('AES Indiana Bill Calc.'!$D$17="PH",'AES Indiana Bill Calc.'!$D$18="Yes 50%",'AES Indiana Bill Calc.'!$D$20="No"),'AES Indiana Bill Calc.'!$D$21)</f>
        <v>0</v>
      </c>
      <c r="F731" s="36" t="s">
        <v>63</v>
      </c>
      <c r="G731" s="137" t="e">
        <f>MAX(I731,P730)</f>
        <v>#N/A</v>
      </c>
      <c r="H731" s="19" t="e">
        <f>IF(ISBLANK(B731),0,+#REF!/B731)</f>
        <v>#REF!</v>
      </c>
      <c r="I731" s="115">
        <f>(E731*120*$K$724)+$J$724</f>
        <v>1250</v>
      </c>
      <c r="J731" s="51">
        <f>IF(ISBLANK(B731),0,+J$724)</f>
        <v>1250</v>
      </c>
      <c r="K731" s="16">
        <f>IF($B731&gt;K730,ROUND(K730*K$724,2),ROUND($B731*K$724,2))</f>
        <v>-0.1</v>
      </c>
      <c r="L731" s="17">
        <f>IF($B731&gt;K730,ROUND((B731-K730)*L$724,2),0)</f>
        <v>0</v>
      </c>
      <c r="M731" s="17">
        <f>IF($C731&gt;L$611,ROUND(($C731-L$611)*M$610,2),0)</f>
        <v>0</v>
      </c>
      <c r="N731" s="17">
        <f>SUM(K731:L731)</f>
        <v>-0.1</v>
      </c>
      <c r="O731" s="17"/>
      <c r="P731" s="12"/>
      <c r="Q731" s="17">
        <f>M731</f>
        <v>0</v>
      </c>
      <c r="R731" s="16" t="e">
        <f>ROUND(SUM(K731:M731)*(R730-1),2)</f>
        <v>#N/A</v>
      </c>
      <c r="S731" s="17">
        <f>ROUND($B731*S$724*S730,2)</f>
        <v>0</v>
      </c>
      <c r="T731" s="17">
        <f t="shared" ref="T731:AA731" si="44">ROUND($B731*T$724,2)</f>
        <v>0</v>
      </c>
      <c r="U731" s="17">
        <f t="shared" si="44"/>
        <v>0</v>
      </c>
      <c r="V731" s="17">
        <f t="shared" si="44"/>
        <v>-0.01</v>
      </c>
      <c r="W731" s="17">
        <f t="shared" si="44"/>
        <v>0</v>
      </c>
      <c r="X731" s="17">
        <f t="shared" si="44"/>
        <v>-0.01</v>
      </c>
      <c r="Y731" s="17">
        <f t="shared" si="44"/>
        <v>0</v>
      </c>
      <c r="Z731" s="17">
        <f t="shared" si="44"/>
        <v>0</v>
      </c>
      <c r="AA731" s="17">
        <f t="shared" si="44"/>
        <v>0</v>
      </c>
      <c r="AB731" s="19">
        <f>SUM(U726:AA726)</f>
        <v>133</v>
      </c>
      <c r="AC731" s="67" t="str">
        <f>+F731</f>
        <v>PH</v>
      </c>
    </row>
    <row r="732" spans="1:29" x14ac:dyDescent="0.2">
      <c r="A732" s="9"/>
      <c r="B732" s="103">
        <v>-1</v>
      </c>
      <c r="D732" s="8"/>
      <c r="E732" s="9"/>
      <c r="F732" s="36"/>
      <c r="H732" s="12"/>
      <c r="I732" s="19"/>
      <c r="J732" s="12"/>
      <c r="K732" s="43">
        <f>ROUND(C733*K$725,0)</f>
        <v>25000</v>
      </c>
      <c r="L732" s="35">
        <f>+B733-K732</f>
        <v>-25001</v>
      </c>
      <c r="M732" s="12"/>
      <c r="N732" s="12"/>
      <c r="O732" s="12"/>
      <c r="P732" s="17" t="e">
        <f>SUM(J733:M733,R733:AA733)</f>
        <v>#N/A</v>
      </c>
      <c r="Q732" s="17">
        <f t="shared" si="43"/>
        <v>0</v>
      </c>
      <c r="R732" s="38" t="e">
        <f>VLOOKUP((D733),'Pwr Factor'!$A$1:$B$52,2)</f>
        <v>#N/A</v>
      </c>
      <c r="S732" s="50">
        <v>0.25</v>
      </c>
      <c r="T732" s="12"/>
      <c r="U732" s="12"/>
      <c r="V732" s="12"/>
      <c r="W732" s="12"/>
      <c r="X732" s="12"/>
      <c r="Y732" s="12"/>
      <c r="Z732" s="12"/>
      <c r="AA732" s="12"/>
    </row>
    <row r="733" spans="1:29" x14ac:dyDescent="0.2">
      <c r="A733" s="1" t="s">
        <v>150</v>
      </c>
      <c r="B733" s="103">
        <f>IF(AND('AES Indiana Bill Calc.'!$D$17="PH",'AES Indiana Bill Calc.'!$D$18="Yes 25%",'AES Indiana Bill Calc.'!$D$20="No"),'AES Indiana Bill Calc.'!$D$19,-1)</f>
        <v>-1</v>
      </c>
      <c r="C733" s="103">
        <f>MAX(E733,$C$725)</f>
        <v>100</v>
      </c>
      <c r="D733" s="103" t="b">
        <f>IF(AND('AES Indiana Bill Calc.'!$D$17="PH",'AES Indiana Bill Calc.'!$D$18="Yes 25%",'AES Indiana Bill Calc.'!$D$20="No"),'AES Indiana Bill Calc.'!$D$22)</f>
        <v>0</v>
      </c>
      <c r="E733" s="103" t="b">
        <f>IF(AND('AES Indiana Bill Calc.'!$D$17="PH",'AES Indiana Bill Calc.'!$D$18="Yes 25%",'AES Indiana Bill Calc.'!$D$20="No"),'AES Indiana Bill Calc.'!$D$21)</f>
        <v>0</v>
      </c>
      <c r="F733" s="36" t="s">
        <v>63</v>
      </c>
      <c r="G733" s="137" t="e">
        <f>MAX(I733,P732)</f>
        <v>#N/A</v>
      </c>
      <c r="H733" s="19" t="e">
        <f>IF(ISBLANK(B733),0,+#REF!/B733)</f>
        <v>#REF!</v>
      </c>
      <c r="I733" s="115">
        <f>(E733*120*$K$724)+$J$724</f>
        <v>1250</v>
      </c>
      <c r="J733" s="51">
        <f>IF(ISBLANK(B733),0,+J$724)</f>
        <v>1250</v>
      </c>
      <c r="K733" s="16">
        <f>IF($B733&gt;K732,ROUND(K732*K$724,2),ROUND($B733*K$724,2))</f>
        <v>-0.1</v>
      </c>
      <c r="L733" s="17">
        <f>IF($B733&gt;K732,ROUND((B733-K732)*L$724,2),0)</f>
        <v>0</v>
      </c>
      <c r="M733" s="17">
        <f>IF($C733&gt;L$611,ROUND(($C733-L$611)*M$610,2),0)</f>
        <v>0</v>
      </c>
      <c r="N733" s="17">
        <f>SUM(K733:L733)</f>
        <v>-0.1</v>
      </c>
      <c r="O733" s="17"/>
      <c r="P733" s="12"/>
      <c r="Q733" s="17">
        <f t="shared" si="43"/>
        <v>0</v>
      </c>
      <c r="R733" s="16" t="e">
        <f>ROUND(SUM(K733:M733)*(R732-1),2)</f>
        <v>#N/A</v>
      </c>
      <c r="S733" s="17">
        <f>ROUND($B733*S$724*S732,2)</f>
        <v>0</v>
      </c>
      <c r="T733" s="17">
        <f t="shared" ref="T733:AA733" si="45">ROUND($B733*T$724,2)</f>
        <v>0</v>
      </c>
      <c r="U733" s="17">
        <f t="shared" si="45"/>
        <v>0</v>
      </c>
      <c r="V733" s="17">
        <f t="shared" si="45"/>
        <v>-0.01</v>
      </c>
      <c r="W733" s="17">
        <f t="shared" si="45"/>
        <v>0</v>
      </c>
      <c r="X733" s="17">
        <f t="shared" si="45"/>
        <v>-0.01</v>
      </c>
      <c r="Y733" s="17">
        <f t="shared" si="45"/>
        <v>0</v>
      </c>
      <c r="Z733" s="17">
        <f t="shared" si="45"/>
        <v>0</v>
      </c>
      <c r="AA733" s="17">
        <f t="shared" si="45"/>
        <v>0</v>
      </c>
      <c r="AB733" s="19">
        <f>SUM(U728:AA728)</f>
        <v>0</v>
      </c>
      <c r="AC733" s="67" t="str">
        <f>+F733</f>
        <v>PH</v>
      </c>
    </row>
    <row r="734" spans="1:29" x14ac:dyDescent="0.2">
      <c r="A734" s="9"/>
      <c r="B734" s="103">
        <v>-1</v>
      </c>
      <c r="D734" s="8"/>
      <c r="E734" s="9"/>
      <c r="F734" s="36"/>
      <c r="H734" s="12"/>
      <c r="I734" s="19"/>
      <c r="J734" s="12"/>
      <c r="K734" s="43">
        <f>ROUND(C735*K$725,0)</f>
        <v>25000</v>
      </c>
      <c r="L734" s="35">
        <f>+B735-K734</f>
        <v>-25001</v>
      </c>
      <c r="M734" s="12"/>
      <c r="N734" s="12"/>
      <c r="O734" s="12"/>
      <c r="P734" s="17" t="e">
        <f>SUM(J735:M735,R735:AA735)</f>
        <v>#N/A</v>
      </c>
      <c r="Q734" s="17">
        <f t="shared" si="43"/>
        <v>0</v>
      </c>
      <c r="R734" s="38" t="e">
        <f>VLOOKUP((D735),'Pwr Factor'!$A$1:$B$52,2)</f>
        <v>#N/A</v>
      </c>
      <c r="S734" s="50">
        <v>0.1</v>
      </c>
      <c r="T734" s="12"/>
      <c r="U734" s="12"/>
      <c r="V734" s="12"/>
      <c r="W734" s="12"/>
      <c r="X734" s="12"/>
      <c r="Y734" s="12"/>
      <c r="Z734" s="12"/>
      <c r="AA734" s="12"/>
    </row>
    <row r="735" spans="1:29" x14ac:dyDescent="0.2">
      <c r="A735" s="1" t="s">
        <v>164</v>
      </c>
      <c r="B735" s="103">
        <f>IF(AND('AES Indiana Bill Calc.'!$D$17="PH",'AES Indiana Bill Calc.'!$D$18="Yes 10%",'AES Indiana Bill Calc.'!$D$20="No"),'AES Indiana Bill Calc.'!$D$19,-1)</f>
        <v>-1</v>
      </c>
      <c r="C735" s="103">
        <f>MAX(E735,$C$725)</f>
        <v>100</v>
      </c>
      <c r="D735" s="103" t="b">
        <f>IF(AND('AES Indiana Bill Calc.'!$D$17="PH",'AES Indiana Bill Calc.'!$D$18="Yes 10%",'AES Indiana Bill Calc.'!$D$20="No"),'AES Indiana Bill Calc.'!$D$22)</f>
        <v>0</v>
      </c>
      <c r="E735" s="103" t="b">
        <f>IF(AND('AES Indiana Bill Calc.'!$D$17="PH",'AES Indiana Bill Calc.'!$D$18="Yes 10%",'AES Indiana Bill Calc.'!$D$20="No"),'AES Indiana Bill Calc.'!$D$21)</f>
        <v>0</v>
      </c>
      <c r="F735" s="36" t="s">
        <v>63</v>
      </c>
      <c r="G735" s="137" t="e">
        <f>MAX(I735,P734)</f>
        <v>#N/A</v>
      </c>
      <c r="H735" s="19" t="e">
        <f>IF(ISBLANK(B735),0,+#REF!/B735)</f>
        <v>#REF!</v>
      </c>
      <c r="I735" s="115">
        <f>(E735*120*$K$724)+$J$724</f>
        <v>1250</v>
      </c>
      <c r="J735" s="51">
        <f>IF(ISBLANK(B735),0,+J$724)</f>
        <v>1250</v>
      </c>
      <c r="K735" s="16">
        <f>IF($B735&gt;K734,ROUND(K734*K$724,2),ROUND($B735*K$724,2))</f>
        <v>-0.1</v>
      </c>
      <c r="L735" s="17">
        <f>IF($B735&gt;K734,ROUND((B735-K734)*L$724,2),0)</f>
        <v>0</v>
      </c>
      <c r="M735" s="17">
        <f>IF($C735&gt;L$611,ROUND(($C735-L$611)*M$610,2),0)</f>
        <v>0</v>
      </c>
      <c r="N735" s="17">
        <f>SUM(K735:L735)</f>
        <v>-0.1</v>
      </c>
      <c r="O735" s="17"/>
      <c r="P735" s="12"/>
      <c r="Q735" s="17">
        <f t="shared" si="43"/>
        <v>0</v>
      </c>
      <c r="R735" s="16" t="e">
        <f>ROUND(SUM(K735:M735)*(R734-1),2)</f>
        <v>#N/A</v>
      </c>
      <c r="S735" s="17">
        <f>ROUND($B735*S$724*S734,2)</f>
        <v>0</v>
      </c>
      <c r="T735" s="17">
        <f t="shared" ref="T735:AA735" si="46">ROUND($B735*T$724,2)</f>
        <v>0</v>
      </c>
      <c r="U735" s="17">
        <f t="shared" si="46"/>
        <v>0</v>
      </c>
      <c r="V735" s="17">
        <f t="shared" si="46"/>
        <v>-0.01</v>
      </c>
      <c r="W735" s="17">
        <f t="shared" si="46"/>
        <v>0</v>
      </c>
      <c r="X735" s="17">
        <f t="shared" si="46"/>
        <v>-0.01</v>
      </c>
      <c r="Y735" s="17">
        <f t="shared" si="46"/>
        <v>0</v>
      </c>
      <c r="Z735" s="17">
        <f t="shared" si="46"/>
        <v>0</v>
      </c>
      <c r="AA735" s="17">
        <f t="shared" si="46"/>
        <v>0</v>
      </c>
      <c r="AB735" s="19">
        <f>SUM(U730:AA730)</f>
        <v>0</v>
      </c>
      <c r="AC735" s="67" t="str">
        <f>+F735</f>
        <v>PH</v>
      </c>
    </row>
    <row r="736" spans="1:29" x14ac:dyDescent="0.2">
      <c r="A736" s="9"/>
      <c r="B736" s="103">
        <v>-1</v>
      </c>
      <c r="D736" s="8"/>
      <c r="E736" s="9"/>
      <c r="F736" s="36"/>
      <c r="H736" s="12"/>
      <c r="I736" s="19"/>
      <c r="J736" s="12"/>
      <c r="K736" s="43">
        <f>ROUND(C737*K$725,0)</f>
        <v>25000</v>
      </c>
      <c r="L736" s="35">
        <f>+B737-K736</f>
        <v>-25001</v>
      </c>
      <c r="M736" s="12"/>
      <c r="N736" s="12"/>
      <c r="O736" s="12"/>
      <c r="P736" s="17" t="e">
        <f>SUM(J737:M737,R737:AA737)</f>
        <v>#N/A</v>
      </c>
      <c r="Q736" s="17">
        <f t="shared" si="43"/>
        <v>0</v>
      </c>
      <c r="R736" s="38" t="e">
        <f>VLOOKUP((D737),'Pwr Factor'!$A$1:$B$52,2)</f>
        <v>#N/A</v>
      </c>
      <c r="S736" s="50">
        <v>0</v>
      </c>
      <c r="T736" s="12"/>
      <c r="U736" s="12"/>
      <c r="V736" s="12"/>
      <c r="W736" s="12"/>
      <c r="X736" s="12"/>
      <c r="Y736" s="12"/>
      <c r="Z736" s="12"/>
      <c r="AA736" s="12"/>
    </row>
    <row r="737" spans="1:29" x14ac:dyDescent="0.2">
      <c r="A737" s="1" t="s">
        <v>147</v>
      </c>
      <c r="B737" s="103">
        <f>IF(AND('AES Indiana Bill Calc.'!$D$17="PH",'AES Indiana Bill Calc.'!$D$18="No",'AES Indiana Bill Calc.'!$D$20="No"),'AES Indiana Bill Calc.'!$D$19,-1)</f>
        <v>-1</v>
      </c>
      <c r="C737" s="103">
        <f>MAX(E737,$C$725)</f>
        <v>100</v>
      </c>
      <c r="D737" s="103" t="b">
        <f>IF(AND('AES Indiana Bill Calc.'!$D$17="PH",'AES Indiana Bill Calc.'!$D$18="No",'AES Indiana Bill Calc.'!$D$20="No"),'AES Indiana Bill Calc.'!$D$22)</f>
        <v>0</v>
      </c>
      <c r="E737" s="103" t="b">
        <f>IF(AND('AES Indiana Bill Calc.'!$D$17="PH",'AES Indiana Bill Calc.'!$D$18="No",'AES Indiana Bill Calc.'!$D$20="No"),'AES Indiana Bill Calc.'!$D$21)</f>
        <v>0</v>
      </c>
      <c r="F737" s="36" t="s">
        <v>63</v>
      </c>
      <c r="G737" s="137" t="e">
        <f>MAX(I737,P736)</f>
        <v>#N/A</v>
      </c>
      <c r="H737" s="19" t="e">
        <f>IF(ISBLANK(B737),0,+#REF!/B737)</f>
        <v>#REF!</v>
      </c>
      <c r="I737" s="115">
        <f>(E737*120*$K$724)+$J$724</f>
        <v>1250</v>
      </c>
      <c r="J737" s="51">
        <f>IF(ISBLANK(B737),0,+J$724)</f>
        <v>1250</v>
      </c>
      <c r="K737" s="16">
        <f>IF($B737&gt;K736,ROUND(K736*K$724,2),ROUND($B737*K$724,2))</f>
        <v>-0.1</v>
      </c>
      <c r="L737" s="17">
        <f>IF($B737&gt;K736,ROUND((B737-K736)*L$724,2),0)</f>
        <v>0</v>
      </c>
      <c r="M737" s="17">
        <f>IF($C737&gt;L$611,ROUND(($C737-L$611)*M$610,2),0)</f>
        <v>0</v>
      </c>
      <c r="N737" s="17">
        <f>SUM(K737:L737)</f>
        <v>-0.1</v>
      </c>
      <c r="O737" s="17"/>
      <c r="P737" s="12"/>
      <c r="Q737" s="17">
        <f t="shared" si="43"/>
        <v>0</v>
      </c>
      <c r="R737" s="16" t="e">
        <f>ROUND(SUM(K737:M737)*(R736-1),2)</f>
        <v>#N/A</v>
      </c>
      <c r="S737" s="17">
        <f>ROUND($B737*S$724*S736,2)</f>
        <v>0</v>
      </c>
      <c r="T737" s="17">
        <f t="shared" ref="T737:AA737" si="47">ROUND($B737*T$724,2)</f>
        <v>0</v>
      </c>
      <c r="U737" s="17">
        <f t="shared" si="47"/>
        <v>0</v>
      </c>
      <c r="V737" s="17">
        <f t="shared" si="47"/>
        <v>-0.01</v>
      </c>
      <c r="W737" s="17">
        <f t="shared" si="47"/>
        <v>0</v>
      </c>
      <c r="X737" s="17">
        <f t="shared" si="47"/>
        <v>-0.01</v>
      </c>
      <c r="Y737" s="17">
        <f t="shared" si="47"/>
        <v>0</v>
      </c>
      <c r="Z737" s="17">
        <f t="shared" si="47"/>
        <v>0</v>
      </c>
      <c r="AA737" s="17">
        <f t="shared" si="47"/>
        <v>0</v>
      </c>
      <c r="AB737" s="19">
        <f>SUM(U732:AA732)</f>
        <v>0</v>
      </c>
      <c r="AC737" s="67" t="str">
        <f>+F737</f>
        <v>PH</v>
      </c>
    </row>
    <row r="738" spans="1:29" x14ac:dyDescent="0.2">
      <c r="A738" s="9"/>
      <c r="B738" s="103">
        <v>-1</v>
      </c>
      <c r="D738" s="8"/>
      <c r="E738" s="9"/>
      <c r="F738" s="36"/>
      <c r="H738" s="12"/>
      <c r="I738" s="19"/>
      <c r="J738" s="12"/>
      <c r="K738" s="43">
        <f>ROUND(C739*K$725,0)</f>
        <v>25000</v>
      </c>
      <c r="L738" s="35">
        <f>+B739-K738</f>
        <v>-25001</v>
      </c>
      <c r="M738" s="12"/>
      <c r="N738" s="12"/>
      <c r="O738" s="12"/>
      <c r="P738" s="17" t="e">
        <f>SUM(J739:M739,R739:AA739)</f>
        <v>#N/A</v>
      </c>
      <c r="Q738" s="17">
        <f t="shared" si="43"/>
        <v>0</v>
      </c>
      <c r="R738" s="38" t="e">
        <f>VLOOKUP((D739),'Pwr Factor'!$A$1:$B$52,2)</f>
        <v>#N/A</v>
      </c>
      <c r="S738" s="50">
        <v>1</v>
      </c>
      <c r="T738" s="12"/>
      <c r="U738" s="12"/>
      <c r="V738" s="12"/>
      <c r="W738" s="12"/>
      <c r="X738" s="12"/>
      <c r="Y738" s="12"/>
      <c r="Z738" s="12"/>
      <c r="AA738" s="12"/>
    </row>
    <row r="739" spans="1:29" x14ac:dyDescent="0.2">
      <c r="A739" s="1" t="s">
        <v>148</v>
      </c>
      <c r="B739" s="103">
        <f>IF(AND('AES Indiana Bill Calc.'!$D$17="PH",'AES Indiana Bill Calc.'!$D$18="Yes 100%",'AES Indiana Bill Calc.'!$D$20="Yes Before 2018"),'AES Indiana Bill Calc.'!$D$19,-1)</f>
        <v>-1</v>
      </c>
      <c r="C739" s="103">
        <f>MAX(E739,$C$725)</f>
        <v>100</v>
      </c>
      <c r="D739" s="103" t="b">
        <f>IF(AND('AES Indiana Bill Calc.'!$D$17="PH",'AES Indiana Bill Calc.'!$D$18="Yes 100%",'AES Indiana Bill Calc.'!$D$20="Yes Before 2018"),'AES Indiana Bill Calc.'!$D$22)</f>
        <v>0</v>
      </c>
      <c r="E739" s="103" t="b">
        <f>IF(AND('AES Indiana Bill Calc.'!$D$17="PH",'AES Indiana Bill Calc.'!$D$18="Yes 100%",'AES Indiana Bill Calc.'!$D$20="Yes Before 2018"),'AES Indiana Bill Calc.'!$D$21)</f>
        <v>0</v>
      </c>
      <c r="F739" s="36" t="s">
        <v>225</v>
      </c>
      <c r="G739" s="137" t="e">
        <f>MAX(I739,P738)</f>
        <v>#N/A</v>
      </c>
      <c r="H739" s="19" t="e">
        <f>IF(ISBLANK(B739),0,+#REF!/B739)</f>
        <v>#REF!</v>
      </c>
      <c r="I739" s="115">
        <f>(E739*120*$K$724)+$J$724</f>
        <v>1250</v>
      </c>
      <c r="J739" s="51">
        <f>IF(ISBLANK(B739),0,+J$724)</f>
        <v>1250</v>
      </c>
      <c r="K739" s="16">
        <f>IF($B739&gt;K738,ROUND(K738*K$724,2),ROUND($B739*K$724,2))</f>
        <v>-0.1</v>
      </c>
      <c r="L739" s="17">
        <f>IF($B739&gt;K738,ROUND((B739-K738)*L$724,2),0)</f>
        <v>0</v>
      </c>
      <c r="M739" s="17">
        <f>IF($C739&gt;L$611,ROUND(($C739-L$611)*M$610,2),0)</f>
        <v>0</v>
      </c>
      <c r="N739" s="17">
        <f>SUM(K739:L739)</f>
        <v>-0.1</v>
      </c>
      <c r="O739" s="17"/>
      <c r="P739" s="12"/>
      <c r="Q739" s="17">
        <f t="shared" si="43"/>
        <v>0</v>
      </c>
      <c r="R739" s="16" t="e">
        <f>ROUND(SUM(K739:M739)*(R738-1),2)</f>
        <v>#N/A</v>
      </c>
      <c r="S739" s="17">
        <f>ROUND($B739*S$724*S738,2)</f>
        <v>0</v>
      </c>
      <c r="T739" s="17">
        <f>ROUND($B739*T$724,2)</f>
        <v>0</v>
      </c>
      <c r="U739" s="17">
        <f>ROUND($B739*U$724,2)</f>
        <v>0</v>
      </c>
      <c r="V739" s="17">
        <f>ROUND($B739*V$715,2)</f>
        <v>0</v>
      </c>
      <c r="W739" s="17">
        <f>ROUND($B739*W$724,2)</f>
        <v>0</v>
      </c>
      <c r="X739" s="17">
        <f>ROUND($B739*X$724,2)</f>
        <v>-0.01</v>
      </c>
      <c r="Y739" s="17">
        <f>ROUND($B739*Y$724,2)</f>
        <v>0</v>
      </c>
      <c r="Z739" s="17">
        <f>ROUND($B739*Z$724,2)</f>
        <v>0</v>
      </c>
      <c r="AA739" s="17">
        <f>ROUND($B739*AA$724,2)</f>
        <v>0</v>
      </c>
      <c r="AB739" s="19">
        <f>SUM(U734:AA734)</f>
        <v>0</v>
      </c>
      <c r="AC739" s="67" t="str">
        <f>+F739</f>
        <v>PH7</v>
      </c>
    </row>
    <row r="740" spans="1:29" x14ac:dyDescent="0.2">
      <c r="A740" s="9"/>
      <c r="B740" s="103">
        <v>-1</v>
      </c>
      <c r="D740" s="8"/>
      <c r="E740" s="9"/>
      <c r="F740" s="36"/>
      <c r="H740" s="12"/>
      <c r="I740" s="19"/>
      <c r="J740" s="12"/>
      <c r="K740" s="43">
        <f>ROUND(C741*K$725,0)</f>
        <v>25000</v>
      </c>
      <c r="L740" s="35">
        <f>+B741-K740</f>
        <v>-25001</v>
      </c>
      <c r="M740" s="12"/>
      <c r="N740" s="12"/>
      <c r="O740" s="12"/>
      <c r="P740" s="17" t="e">
        <f>SUM(J741:M741,R741:AA741)</f>
        <v>#N/A</v>
      </c>
      <c r="Q740" s="17">
        <f t="shared" si="43"/>
        <v>0</v>
      </c>
      <c r="R740" s="38" t="e">
        <f>VLOOKUP((D741),'Pwr Factor'!$A$1:$B$52,2)</f>
        <v>#N/A</v>
      </c>
      <c r="S740" s="50">
        <v>0.5</v>
      </c>
      <c r="T740" s="12"/>
      <c r="U740" s="12"/>
      <c r="V740" s="12"/>
      <c r="W740" s="12"/>
      <c r="X740" s="12"/>
      <c r="Y740" s="12"/>
      <c r="Z740" s="12"/>
      <c r="AA740" s="12"/>
    </row>
    <row r="741" spans="1:29" x14ac:dyDescent="0.2">
      <c r="A741" s="1" t="s">
        <v>149</v>
      </c>
      <c r="B741" s="103">
        <f>IF(AND('AES Indiana Bill Calc.'!$D$17="PH",'AES Indiana Bill Calc.'!$D$18="Yes 50%",'AES Indiana Bill Calc.'!$D$20="Yes Before 2018"),'AES Indiana Bill Calc.'!$D$19,-1)</f>
        <v>-1</v>
      </c>
      <c r="C741" s="103">
        <f>MAX(E741,$C$725)</f>
        <v>100</v>
      </c>
      <c r="D741" s="103" t="b">
        <f>IF(AND('AES Indiana Bill Calc.'!$D$17="PH",'AES Indiana Bill Calc.'!$D$18="Yes 50%",'AES Indiana Bill Calc.'!$D$20="Yes Before 2018"),'AES Indiana Bill Calc.'!$D$22)</f>
        <v>0</v>
      </c>
      <c r="E741" s="103" t="b">
        <f>IF(AND('AES Indiana Bill Calc.'!$D$17="PH",'AES Indiana Bill Calc.'!$D$18="Yes 50%",'AES Indiana Bill Calc.'!$D$20="Yes Before 2018"),'AES Indiana Bill Calc.'!$D$21)</f>
        <v>0</v>
      </c>
      <c r="F741" s="36" t="s">
        <v>225</v>
      </c>
      <c r="G741" s="137" t="e">
        <f>MAX(I741,P740)</f>
        <v>#N/A</v>
      </c>
      <c r="H741" s="19" t="e">
        <f>IF(ISBLANK(B741),0,+#REF!/B741)</f>
        <v>#REF!</v>
      </c>
      <c r="I741" s="115">
        <f>(E741*120*$K$724)+$J$724</f>
        <v>1250</v>
      </c>
      <c r="J741" s="51">
        <f>IF(ISBLANK(B741),0,+J$724)</f>
        <v>1250</v>
      </c>
      <c r="K741" s="16">
        <f>IF($B741&gt;K740,ROUND(K740*K$724,2),ROUND($B741*K$724,2))</f>
        <v>-0.1</v>
      </c>
      <c r="L741" s="17">
        <f>IF($B741&gt;K740,ROUND((B741-K740)*L$724,2),0)</f>
        <v>0</v>
      </c>
      <c r="M741" s="17">
        <f>IF($C741&gt;L$611,ROUND(($C741-L$611)*M$610,2),0)</f>
        <v>0</v>
      </c>
      <c r="N741" s="17">
        <f>SUM(K741:L741)</f>
        <v>-0.1</v>
      </c>
      <c r="O741" s="17"/>
      <c r="P741" s="12"/>
      <c r="Q741" s="17">
        <f t="shared" si="43"/>
        <v>0</v>
      </c>
      <c r="R741" s="16" t="e">
        <f>ROUND(SUM(K741:M741)*(R740-1),2)</f>
        <v>#N/A</v>
      </c>
      <c r="S741" s="17">
        <f>ROUND($B741*S$724*S740,2)</f>
        <v>0</v>
      </c>
      <c r="T741" s="17">
        <f>ROUND($B741*T$724,2)</f>
        <v>0</v>
      </c>
      <c r="U741" s="17">
        <f>ROUND($B741*U$724,2)</f>
        <v>0</v>
      </c>
      <c r="V741" s="17">
        <f>ROUND($B741*V$715,2)</f>
        <v>0</v>
      </c>
      <c r="W741" s="17">
        <f>ROUND($B741*W$724,2)</f>
        <v>0</v>
      </c>
      <c r="X741" s="17">
        <f>ROUND($B741*X$724,2)</f>
        <v>-0.01</v>
      </c>
      <c r="Y741" s="17">
        <f>ROUND($B741*Y$724,2)</f>
        <v>0</v>
      </c>
      <c r="Z741" s="17">
        <f>ROUND($B741*Z$724,2)</f>
        <v>0</v>
      </c>
      <c r="AA741" s="17">
        <f>ROUND($B741*AA$724,2)</f>
        <v>0</v>
      </c>
      <c r="AB741" s="19">
        <f>SUM(U736:AA736)</f>
        <v>0</v>
      </c>
      <c r="AC741" s="67" t="str">
        <f>+F741</f>
        <v>PH7</v>
      </c>
    </row>
    <row r="742" spans="1:29" x14ac:dyDescent="0.2">
      <c r="A742" s="9"/>
      <c r="B742" s="103">
        <v>-1</v>
      </c>
      <c r="D742" s="8"/>
      <c r="E742" s="9"/>
      <c r="F742" s="36"/>
      <c r="H742" s="12"/>
      <c r="I742" s="19"/>
      <c r="J742" s="12"/>
      <c r="K742" s="43">
        <f>ROUND(C743*K$725,0)</f>
        <v>25000</v>
      </c>
      <c r="L742" s="35">
        <f>+B743-K742</f>
        <v>-25001</v>
      </c>
      <c r="M742" s="12"/>
      <c r="N742" s="12"/>
      <c r="O742" s="12"/>
      <c r="P742" s="17" t="e">
        <f>SUM(J743:M743,R743:AA743)</f>
        <v>#N/A</v>
      </c>
      <c r="Q742" s="17">
        <f t="shared" si="43"/>
        <v>0</v>
      </c>
      <c r="R742" s="38" t="e">
        <f>VLOOKUP((D743),'Pwr Factor'!$A$1:$B$52,2)</f>
        <v>#N/A</v>
      </c>
      <c r="S742" s="50">
        <v>0.25</v>
      </c>
      <c r="T742" s="12"/>
      <c r="U742" s="12"/>
      <c r="V742" s="12"/>
      <c r="W742" s="12"/>
      <c r="X742" s="12"/>
      <c r="Y742" s="12"/>
      <c r="Z742" s="12"/>
      <c r="AA742" s="12"/>
    </row>
    <row r="743" spans="1:29" x14ac:dyDescent="0.2">
      <c r="A743" s="1" t="s">
        <v>150</v>
      </c>
      <c r="B743" s="103">
        <f>IF(AND('AES Indiana Bill Calc.'!$D$17="PH",'AES Indiana Bill Calc.'!$D$18="Yes 25%",'AES Indiana Bill Calc.'!$D$20="Yes Before 2018"),'AES Indiana Bill Calc.'!$D$19,-1)</f>
        <v>-1</v>
      </c>
      <c r="C743" s="103">
        <f>MAX(E743,$C$725)</f>
        <v>100</v>
      </c>
      <c r="D743" s="103" t="b">
        <f>IF(AND('AES Indiana Bill Calc.'!$D$17="PH",'AES Indiana Bill Calc.'!$D$18="Yes 25%",'AES Indiana Bill Calc.'!$D$20="Yes Before 2018"),'AES Indiana Bill Calc.'!$D$22)</f>
        <v>0</v>
      </c>
      <c r="E743" s="103" t="b">
        <f>IF(AND('AES Indiana Bill Calc.'!$D$17="PH",'AES Indiana Bill Calc.'!$D$18="Yes 25%",'AES Indiana Bill Calc.'!$D$20="Yes Before 2018"),'AES Indiana Bill Calc.'!$D$21)</f>
        <v>0</v>
      </c>
      <c r="F743" s="36" t="s">
        <v>225</v>
      </c>
      <c r="G743" s="137" t="e">
        <f>MAX(I743,P742)</f>
        <v>#N/A</v>
      </c>
      <c r="H743" s="19" t="e">
        <f>IF(ISBLANK(B743),0,+#REF!/B743)</f>
        <v>#REF!</v>
      </c>
      <c r="I743" s="115">
        <f>(E743*120*$K$724)+$J$724</f>
        <v>1250</v>
      </c>
      <c r="J743" s="51">
        <f>IF(ISBLANK(B743),0,+J$724)</f>
        <v>1250</v>
      </c>
      <c r="K743" s="16">
        <f>IF($B743&gt;K742,ROUND(K742*K$724,2),ROUND($B743*K$724,2))</f>
        <v>-0.1</v>
      </c>
      <c r="L743" s="17">
        <f>IF($B743&gt;K742,ROUND((B743-K742)*L$724,2),0)</f>
        <v>0</v>
      </c>
      <c r="M743" s="17">
        <f>IF($C743&gt;L$611,ROUND(($C743-L$611)*M$610,2),0)</f>
        <v>0</v>
      </c>
      <c r="N743" s="17">
        <f>SUM(K743:L743)</f>
        <v>-0.1</v>
      </c>
      <c r="O743" s="17"/>
      <c r="P743" s="12"/>
      <c r="Q743" s="17">
        <f t="shared" si="43"/>
        <v>0</v>
      </c>
      <c r="R743" s="16" t="e">
        <f>ROUND(SUM(K743:M743)*(R742-1),2)</f>
        <v>#N/A</v>
      </c>
      <c r="S743" s="17">
        <f>ROUND($B743*S$724*S742,2)</f>
        <v>0</v>
      </c>
      <c r="T743" s="17">
        <f>ROUND($B743*T$724,2)</f>
        <v>0</v>
      </c>
      <c r="U743" s="17">
        <f>ROUND($B743*U$724,2)</f>
        <v>0</v>
      </c>
      <c r="V743" s="17">
        <f>ROUND($B743*V$715,2)</f>
        <v>0</v>
      </c>
      <c r="W743" s="17">
        <f>ROUND($B743*W$724,2)</f>
        <v>0</v>
      </c>
      <c r="X743" s="17">
        <f>ROUND($B743*X$724,2)</f>
        <v>-0.01</v>
      </c>
      <c r="Y743" s="17">
        <f>ROUND($B743*Y$724,2)</f>
        <v>0</v>
      </c>
      <c r="Z743" s="17">
        <f>ROUND($B743*Z$724,2)</f>
        <v>0</v>
      </c>
      <c r="AA743" s="17">
        <f>ROUND($B743*AA$724,2)</f>
        <v>0</v>
      </c>
      <c r="AB743" s="19">
        <f>SUM(U738:AA738)</f>
        <v>0</v>
      </c>
      <c r="AC743" s="67" t="str">
        <f>+F743</f>
        <v>PH7</v>
      </c>
    </row>
    <row r="744" spans="1:29" x14ac:dyDescent="0.2">
      <c r="A744" s="9"/>
      <c r="B744" s="103">
        <v>-1</v>
      </c>
      <c r="D744" s="8"/>
      <c r="E744" s="9"/>
      <c r="F744" s="36"/>
      <c r="H744" s="12"/>
      <c r="I744" s="19"/>
      <c r="J744" s="12"/>
      <c r="K744" s="43">
        <f>ROUND(C745*K$725,0)</f>
        <v>25000</v>
      </c>
      <c r="L744" s="35">
        <f>+B745-K744</f>
        <v>-25001</v>
      </c>
      <c r="M744" s="12"/>
      <c r="N744" s="12"/>
      <c r="O744" s="12"/>
      <c r="P744" s="17" t="e">
        <f>SUM(J745:M745,R745:AA745)</f>
        <v>#N/A</v>
      </c>
      <c r="Q744" s="17">
        <f t="shared" si="43"/>
        <v>0</v>
      </c>
      <c r="R744" s="38" t="e">
        <f>VLOOKUP((D745),'Pwr Factor'!$A$1:$B$52,2)</f>
        <v>#N/A</v>
      </c>
      <c r="S744" s="50">
        <v>0.1</v>
      </c>
      <c r="T744" s="12"/>
      <c r="U744" s="12"/>
      <c r="V744" s="12"/>
      <c r="W744" s="12"/>
      <c r="X744" s="12"/>
      <c r="Y744" s="12"/>
      <c r="Z744" s="12"/>
      <c r="AA744" s="12"/>
    </row>
    <row r="745" spans="1:29" x14ac:dyDescent="0.2">
      <c r="A745" s="1" t="s">
        <v>164</v>
      </c>
      <c r="B745" s="103">
        <f>IF(AND('AES Indiana Bill Calc.'!$D$17="PH",'AES Indiana Bill Calc.'!$D$18="Yes 10%",'AES Indiana Bill Calc.'!$D$20="Yes Before 2018"),'AES Indiana Bill Calc.'!$D$19,-1)</f>
        <v>-1</v>
      </c>
      <c r="C745" s="103">
        <f>MAX(E745,$C$725)</f>
        <v>100</v>
      </c>
      <c r="D745" s="103" t="b">
        <f>IF(AND('AES Indiana Bill Calc.'!$D$17="PH",'AES Indiana Bill Calc.'!$D$18="Yes 10%",'AES Indiana Bill Calc.'!$D$20="Yes Before 2018"),'AES Indiana Bill Calc.'!$D$22)</f>
        <v>0</v>
      </c>
      <c r="E745" s="103" t="b">
        <f>IF(AND('AES Indiana Bill Calc.'!$D$17="PH",'AES Indiana Bill Calc.'!$D$18="Yes 10%",'AES Indiana Bill Calc.'!$D$20="Yes Before 2018"),'AES Indiana Bill Calc.'!$D$21)</f>
        <v>0</v>
      </c>
      <c r="F745" s="36" t="s">
        <v>225</v>
      </c>
      <c r="G745" s="137" t="e">
        <f>MAX(I745,P744)</f>
        <v>#N/A</v>
      </c>
      <c r="H745" s="19" t="e">
        <f>IF(ISBLANK(B745),0,+#REF!/B745)</f>
        <v>#REF!</v>
      </c>
      <c r="I745" s="115">
        <f>(E745*120*$K$724)+$J$724</f>
        <v>1250</v>
      </c>
      <c r="J745" s="51">
        <f>IF(ISBLANK(B745),0,+J$724)</f>
        <v>1250</v>
      </c>
      <c r="K745" s="16">
        <f>IF($B745&gt;K744,ROUND(K744*K$724,2),ROUND($B745*K$724,2))</f>
        <v>-0.1</v>
      </c>
      <c r="L745" s="17">
        <f>IF($B745&gt;K744,ROUND((B745-K744)*L$724,2),0)</f>
        <v>0</v>
      </c>
      <c r="M745" s="17">
        <f>IF($C745&gt;L$611,ROUND(($C745-L$611)*M$610,2),0)</f>
        <v>0</v>
      </c>
      <c r="N745" s="17">
        <f>SUM(K745:L745)</f>
        <v>-0.1</v>
      </c>
      <c r="O745" s="17"/>
      <c r="P745" s="12"/>
      <c r="Q745" s="17">
        <f t="shared" si="43"/>
        <v>0</v>
      </c>
      <c r="R745" s="16" t="e">
        <f>ROUND(SUM(K745:M745)*(R744-1),2)</f>
        <v>#N/A</v>
      </c>
      <c r="S745" s="17">
        <f>ROUND($B745*S$724*S744,2)</f>
        <v>0</v>
      </c>
      <c r="T745" s="17">
        <f>ROUND($B745*T$724,2)</f>
        <v>0</v>
      </c>
      <c r="U745" s="17">
        <f>ROUND($B745*U$724,2)</f>
        <v>0</v>
      </c>
      <c r="V745" s="17">
        <f>ROUND($B745*V$715,2)</f>
        <v>0</v>
      </c>
      <c r="W745" s="17">
        <f>ROUND($B745*W$724,2)</f>
        <v>0</v>
      </c>
      <c r="X745" s="17">
        <f>ROUND($B745*X$724,2)</f>
        <v>-0.01</v>
      </c>
      <c r="Y745" s="17">
        <f>ROUND($B745*Y$724,2)</f>
        <v>0</v>
      </c>
      <c r="Z745" s="17">
        <f>ROUND($B745*Z$724,2)</f>
        <v>0</v>
      </c>
      <c r="AA745" s="17">
        <f>ROUND($B745*AA$724,2)</f>
        <v>0</v>
      </c>
      <c r="AB745" s="19">
        <f>SUM(U740:AA740)</f>
        <v>0</v>
      </c>
      <c r="AC745" s="67" t="str">
        <f>+F745</f>
        <v>PH7</v>
      </c>
    </row>
    <row r="746" spans="1:29" x14ac:dyDescent="0.2">
      <c r="A746" s="9"/>
      <c r="B746" s="103">
        <v>-1</v>
      </c>
      <c r="D746" s="8"/>
      <c r="E746" s="9"/>
      <c r="F746" s="36"/>
      <c r="H746" s="12"/>
      <c r="I746" s="19"/>
      <c r="J746" s="12"/>
      <c r="K746" s="43">
        <f>ROUND(C747*K$725,0)</f>
        <v>25000</v>
      </c>
      <c r="L746" s="35">
        <f>+B747-K746</f>
        <v>-25001</v>
      </c>
      <c r="M746" s="12"/>
      <c r="N746" s="12"/>
      <c r="O746" s="12"/>
      <c r="P746" s="17" t="e">
        <f>SUM(J747:M747,R747:AA747)</f>
        <v>#N/A</v>
      </c>
      <c r="Q746" s="17">
        <f t="shared" si="43"/>
        <v>0</v>
      </c>
      <c r="R746" s="38" t="e">
        <f>VLOOKUP((D747),'Pwr Factor'!$A$1:$B$52,2)</f>
        <v>#N/A</v>
      </c>
      <c r="S746" s="50">
        <v>0</v>
      </c>
      <c r="T746" s="12"/>
      <c r="U746" s="12"/>
      <c r="V746" s="12"/>
      <c r="W746" s="12"/>
      <c r="X746" s="12"/>
      <c r="Y746" s="12"/>
      <c r="Z746" s="12"/>
      <c r="AA746" s="12"/>
    </row>
    <row r="747" spans="1:29" x14ac:dyDescent="0.2">
      <c r="A747" s="1" t="s">
        <v>147</v>
      </c>
      <c r="B747" s="103">
        <f>IF(AND('AES Indiana Bill Calc.'!$D$17="PH",'AES Indiana Bill Calc.'!$D$18="No",'AES Indiana Bill Calc.'!$D$20="Yes Before 2018"),'AES Indiana Bill Calc.'!$D$19,-1)</f>
        <v>-1</v>
      </c>
      <c r="C747" s="103">
        <f>MAX(E747,$C$725)</f>
        <v>100</v>
      </c>
      <c r="D747" s="103" t="b">
        <f>IF(AND('AES Indiana Bill Calc.'!$D$17="PH",'AES Indiana Bill Calc.'!$D$18="No",'AES Indiana Bill Calc.'!$D$20="Yes Before 2018"),'AES Indiana Bill Calc.'!$D$22)</f>
        <v>0</v>
      </c>
      <c r="E747" s="103" t="b">
        <f>IF(AND('AES Indiana Bill Calc.'!$D$17="PH",'AES Indiana Bill Calc.'!$D$18="No",'AES Indiana Bill Calc.'!$D$20="Yes Before 2018"),'AES Indiana Bill Calc.'!$D$21)</f>
        <v>0</v>
      </c>
      <c r="F747" s="36" t="s">
        <v>225</v>
      </c>
      <c r="G747" s="137" t="e">
        <f>MAX(I747,P746)</f>
        <v>#N/A</v>
      </c>
      <c r="H747" s="19" t="e">
        <f>IF(ISBLANK(B747),0,+#REF!/B747)</f>
        <v>#REF!</v>
      </c>
      <c r="I747" s="115">
        <f>(E747*120*$K$724)+$J$724</f>
        <v>1250</v>
      </c>
      <c r="J747" s="51">
        <f>IF(ISBLANK(B747),0,+J$724)</f>
        <v>1250</v>
      </c>
      <c r="K747" s="16">
        <f>IF($B747&gt;K746,ROUND(K746*K$724,2),ROUND($B747*K$724,2))</f>
        <v>-0.1</v>
      </c>
      <c r="L747" s="17">
        <f>IF($B747&gt;K746,ROUND((B747-K746)*L$724,2),0)</f>
        <v>0</v>
      </c>
      <c r="M747" s="17">
        <f>IF($C747&gt;L$611,ROUND(($C747-L$611)*M$610,2),0)</f>
        <v>0</v>
      </c>
      <c r="N747" s="17">
        <f>SUM(K747:L747)</f>
        <v>-0.1</v>
      </c>
      <c r="O747" s="17"/>
      <c r="P747" s="12"/>
      <c r="Q747" s="17">
        <f t="shared" si="43"/>
        <v>0</v>
      </c>
      <c r="R747" s="16" t="e">
        <f>ROUND(SUM(K747:M747)*(R746-1),2)</f>
        <v>#N/A</v>
      </c>
      <c r="S747" s="17">
        <f>ROUND($B747*S$724*S746,2)</f>
        <v>0</v>
      </c>
      <c r="T747" s="17">
        <f>ROUND($B747*T$724,2)</f>
        <v>0</v>
      </c>
      <c r="U747" s="17">
        <f>ROUND($B747*U$724,2)</f>
        <v>0</v>
      </c>
      <c r="V747" s="17">
        <f>ROUND($B747*V$715,2)</f>
        <v>0</v>
      </c>
      <c r="W747" s="17">
        <f>ROUND($B747*W$724,2)</f>
        <v>0</v>
      </c>
      <c r="X747" s="17">
        <f>ROUND($B747*X$724,2)</f>
        <v>-0.01</v>
      </c>
      <c r="Y747" s="17">
        <f>ROUND($B747*Y$724,2)</f>
        <v>0</v>
      </c>
      <c r="Z747" s="17">
        <f>ROUND($B747*Z$724,2)</f>
        <v>0</v>
      </c>
      <c r="AA747" s="17">
        <f>ROUND($B747*AA$724,2)</f>
        <v>0</v>
      </c>
      <c r="AB747" s="19">
        <f>SUM(U742:AA742)</f>
        <v>0</v>
      </c>
      <c r="AC747" s="67" t="str">
        <f>+F747</f>
        <v>PH7</v>
      </c>
    </row>
    <row r="748" spans="1:29" x14ac:dyDescent="0.2">
      <c r="A748" s="9"/>
      <c r="B748" s="103">
        <v>-1</v>
      </c>
      <c r="D748" s="8"/>
      <c r="E748" s="9"/>
      <c r="F748" s="36"/>
      <c r="H748" s="12"/>
      <c r="I748" s="19"/>
      <c r="J748" s="12"/>
      <c r="K748" s="43">
        <f>ROUND(C749*K$725,0)</f>
        <v>25000</v>
      </c>
      <c r="L748" s="35">
        <f>+B749-K748</f>
        <v>-25001</v>
      </c>
      <c r="M748" s="12"/>
      <c r="N748" s="12"/>
      <c r="O748" s="12"/>
      <c r="P748" s="17" t="e">
        <f>SUM(J749:M749,R749:AA749)</f>
        <v>#N/A</v>
      </c>
      <c r="Q748" s="17">
        <f t="shared" si="43"/>
        <v>0</v>
      </c>
      <c r="R748" s="38" t="e">
        <f>VLOOKUP((D749),'Pwr Factor'!$A$1:$B$52,2)</f>
        <v>#N/A</v>
      </c>
      <c r="S748" s="50">
        <v>1</v>
      </c>
      <c r="T748" s="12"/>
      <c r="U748" s="12"/>
      <c r="V748" s="12"/>
      <c r="W748" s="12"/>
      <c r="X748" s="12"/>
      <c r="Y748" s="12"/>
      <c r="Z748" s="12"/>
      <c r="AA748" s="12"/>
    </row>
    <row r="749" spans="1:29" x14ac:dyDescent="0.2">
      <c r="A749" s="1" t="s">
        <v>148</v>
      </c>
      <c r="B749" s="103">
        <f>IF(AND('AES Indiana Bill Calc.'!$D$17="PH",'AES Indiana Bill Calc.'!$D$18="Yes 100%",'AES Indiana Bill Calc.'!$D$20="Yes 2018"),'AES Indiana Bill Calc.'!$D$19,-1)</f>
        <v>-1</v>
      </c>
      <c r="C749" s="103">
        <f>MAX(E749,$C$725)</f>
        <v>100</v>
      </c>
      <c r="D749" s="103" t="b">
        <f>IF(AND('AES Indiana Bill Calc.'!$D$17="PH",'AES Indiana Bill Calc.'!$D$18="Yes 100%",'AES Indiana Bill Calc.'!$D$20="Yes 2018"),'AES Indiana Bill Calc.'!$D$22)</f>
        <v>0</v>
      </c>
      <c r="E749" s="103" t="b">
        <f>IF(AND('AES Indiana Bill Calc.'!$D$17="PH",'AES Indiana Bill Calc.'!$D$18="Yes 100%",'AES Indiana Bill Calc.'!$D$20="Yes 2018"),'AES Indiana Bill Calc.'!$D$21)</f>
        <v>0</v>
      </c>
      <c r="F749" s="36" t="s">
        <v>226</v>
      </c>
      <c r="G749" s="137" t="e">
        <f>MAX(I749,P748)</f>
        <v>#N/A</v>
      </c>
      <c r="H749" s="19" t="e">
        <f>IF(ISBLANK(B749),0,+#REF!/B749)</f>
        <v>#REF!</v>
      </c>
      <c r="I749" s="115">
        <f>(E749*120*$K$724)+$J$724</f>
        <v>1250</v>
      </c>
      <c r="J749" s="51">
        <f>IF(ISBLANK(B749),0,+J$724)</f>
        <v>1250</v>
      </c>
      <c r="K749" s="16">
        <f>IF($B749&gt;K748,ROUND(K748*K$724,2),ROUND($B749*K$724,2))</f>
        <v>-0.1</v>
      </c>
      <c r="L749" s="17">
        <f>IF($B749&gt;K748,ROUND((B749-K748)*L$724,2),0)</f>
        <v>0</v>
      </c>
      <c r="M749" s="17">
        <f>IF($C749&gt;L$611,ROUND(($C749-L$611)*M$610,2),0)</f>
        <v>0</v>
      </c>
      <c r="N749" s="17">
        <f>SUM(K749:L749)</f>
        <v>-0.1</v>
      </c>
      <c r="O749" s="17"/>
      <c r="P749" s="12"/>
      <c r="Q749" s="17">
        <f t="shared" si="43"/>
        <v>0</v>
      </c>
      <c r="R749" s="16" t="e">
        <f>ROUND(SUM(K749:M749)*(R748-1),2)</f>
        <v>#N/A</v>
      </c>
      <c r="S749" s="17">
        <f>ROUND($B749*S$724*S748,2)</f>
        <v>0</v>
      </c>
      <c r="T749" s="17">
        <f>ROUND($B749*T$724,2)</f>
        <v>0</v>
      </c>
      <c r="U749" s="17">
        <f>ROUND($B749*U$724,2)</f>
        <v>0</v>
      </c>
      <c r="V749" s="17">
        <f>ROUND($B749*V$716,2)</f>
        <v>0</v>
      </c>
      <c r="W749" s="17">
        <f>ROUND($B749*W$724,2)</f>
        <v>0</v>
      </c>
      <c r="X749" s="17">
        <f>ROUND($B749*X$724,2)</f>
        <v>-0.01</v>
      </c>
      <c r="Y749" s="17">
        <f>ROUND($B749*Y$724,2)</f>
        <v>0</v>
      </c>
      <c r="Z749" s="17">
        <f>ROUND($B749*Z$724,2)</f>
        <v>0</v>
      </c>
      <c r="AA749" s="17">
        <f>ROUND($B749*AA$724,2)</f>
        <v>0</v>
      </c>
      <c r="AB749" s="19">
        <f>SUM(U744:AA744)</f>
        <v>0</v>
      </c>
      <c r="AC749" s="67" t="str">
        <f>+F749</f>
        <v>PH8</v>
      </c>
    </row>
    <row r="750" spans="1:29" x14ac:dyDescent="0.2">
      <c r="A750" s="9"/>
      <c r="B750" s="103">
        <v>-1</v>
      </c>
      <c r="D750" s="8"/>
      <c r="E750" s="9"/>
      <c r="F750" s="36"/>
      <c r="H750" s="12"/>
      <c r="I750" s="19"/>
      <c r="J750" s="12"/>
      <c r="K750" s="43">
        <f>ROUND(C751*K$725,0)</f>
        <v>25000</v>
      </c>
      <c r="L750" s="35">
        <f>+B751-K750</f>
        <v>-25001</v>
      </c>
      <c r="M750" s="12"/>
      <c r="N750" s="12"/>
      <c r="O750" s="12"/>
      <c r="P750" s="17" t="e">
        <f>SUM(J751:M751,R751:AA751)</f>
        <v>#N/A</v>
      </c>
      <c r="Q750" s="17">
        <f t="shared" si="43"/>
        <v>0</v>
      </c>
      <c r="R750" s="38" t="e">
        <f>VLOOKUP((D751),'Pwr Factor'!$A$1:$B$52,2)</f>
        <v>#N/A</v>
      </c>
      <c r="S750" s="50">
        <v>0.5</v>
      </c>
      <c r="T750" s="12"/>
      <c r="U750" s="12"/>
      <c r="V750" s="12"/>
      <c r="W750" s="12"/>
      <c r="X750" s="12"/>
      <c r="Y750" s="12"/>
      <c r="Z750" s="12"/>
      <c r="AA750" s="12"/>
    </row>
    <row r="751" spans="1:29" x14ac:dyDescent="0.2">
      <c r="A751" s="1" t="s">
        <v>149</v>
      </c>
      <c r="B751" s="103">
        <f>IF(AND('AES Indiana Bill Calc.'!$D$17="PH",'AES Indiana Bill Calc.'!$D$18="Yes 50%",'AES Indiana Bill Calc.'!$D$20="Yes 2018"),'AES Indiana Bill Calc.'!$D$19,-1)</f>
        <v>-1</v>
      </c>
      <c r="C751" s="103">
        <f>MAX(E751,$C$725)</f>
        <v>100</v>
      </c>
      <c r="D751" s="103" t="b">
        <f>IF(AND('AES Indiana Bill Calc.'!$D$17="PH",'AES Indiana Bill Calc.'!$D$18="Yes 50%",'AES Indiana Bill Calc.'!$D$20="Yes 2018"),'AES Indiana Bill Calc.'!$D$22)</f>
        <v>0</v>
      </c>
      <c r="E751" s="103" t="b">
        <f>IF(AND('AES Indiana Bill Calc.'!$D$17="PH",'AES Indiana Bill Calc.'!$D$18="Yes 50%",'AES Indiana Bill Calc.'!$D$20="Yes 2018"),'AES Indiana Bill Calc.'!$D$21)</f>
        <v>0</v>
      </c>
      <c r="F751" s="36" t="s">
        <v>226</v>
      </c>
      <c r="G751" s="137" t="e">
        <f>MAX(I751,P750)</f>
        <v>#N/A</v>
      </c>
      <c r="H751" s="19" t="e">
        <f>IF(ISBLANK(B751),0,+#REF!/B751)</f>
        <v>#REF!</v>
      </c>
      <c r="I751" s="115">
        <f>(E751*120*$K$724)+$J$724</f>
        <v>1250</v>
      </c>
      <c r="J751" s="51">
        <f>IF(ISBLANK(B751),0,+J$724)</f>
        <v>1250</v>
      </c>
      <c r="K751" s="16">
        <f>IF($B751&gt;K750,ROUND(K750*K$724,2),ROUND($B751*K$724,2))</f>
        <v>-0.1</v>
      </c>
      <c r="L751" s="17">
        <f>IF($B751&gt;K750,ROUND((B751-K750)*L$724,2),0)</f>
        <v>0</v>
      </c>
      <c r="M751" s="17">
        <f>IF($C751&gt;L$611,ROUND(($C751-L$611)*M$610,2),0)</f>
        <v>0</v>
      </c>
      <c r="N751" s="17">
        <f>SUM(K751:L751)</f>
        <v>-0.1</v>
      </c>
      <c r="O751" s="17"/>
      <c r="P751" s="12"/>
      <c r="Q751" s="17">
        <f t="shared" si="43"/>
        <v>0</v>
      </c>
      <c r="R751" s="16" t="e">
        <f>ROUND(SUM(K751:M751)*(R750-1),2)</f>
        <v>#N/A</v>
      </c>
      <c r="S751" s="17">
        <f>ROUND($B751*S$724*S750,2)</f>
        <v>0</v>
      </c>
      <c r="T751" s="17">
        <f>ROUND($B751*T$724,2)</f>
        <v>0</v>
      </c>
      <c r="U751" s="17">
        <f>ROUND($B751*U$724,2)</f>
        <v>0</v>
      </c>
      <c r="V751" s="17">
        <f>ROUND($B751*V$716,2)</f>
        <v>0</v>
      </c>
      <c r="W751" s="17">
        <f>ROUND($B751*W$724,2)</f>
        <v>0</v>
      </c>
      <c r="X751" s="17">
        <f>ROUND($B751*X$724,2)</f>
        <v>-0.01</v>
      </c>
      <c r="Y751" s="17">
        <f>ROUND($B751*Y$724,2)</f>
        <v>0</v>
      </c>
      <c r="Z751" s="17">
        <f>ROUND($B751*Z$724,2)</f>
        <v>0</v>
      </c>
      <c r="AA751" s="17">
        <f>ROUND($B751*AA$724,2)</f>
        <v>0</v>
      </c>
      <c r="AB751" s="19">
        <f>SUM(U746:AA746)</f>
        <v>0</v>
      </c>
      <c r="AC751" s="67" t="str">
        <f>+F751</f>
        <v>PH8</v>
      </c>
    </row>
    <row r="752" spans="1:29" x14ac:dyDescent="0.2">
      <c r="A752" s="9"/>
      <c r="B752" s="103">
        <v>-1</v>
      </c>
      <c r="D752" s="8"/>
      <c r="E752" s="9"/>
      <c r="F752" s="36"/>
      <c r="H752" s="12"/>
      <c r="I752" s="19"/>
      <c r="J752" s="12"/>
      <c r="K752" s="43">
        <f>ROUND(C753*K$725,0)</f>
        <v>25000</v>
      </c>
      <c r="L752" s="35">
        <f>+B753-K752</f>
        <v>-25001</v>
      </c>
      <c r="M752" s="12"/>
      <c r="N752" s="12"/>
      <c r="O752" s="12"/>
      <c r="P752" s="17" t="e">
        <f>SUM(J753:M753,R753:AA753)</f>
        <v>#N/A</v>
      </c>
      <c r="Q752" s="17">
        <f t="shared" si="43"/>
        <v>0</v>
      </c>
      <c r="R752" s="38" t="e">
        <f>VLOOKUP((D753),'Pwr Factor'!$A$1:$B$52,2)</f>
        <v>#N/A</v>
      </c>
      <c r="S752" s="50">
        <v>0.25</v>
      </c>
      <c r="T752" s="12"/>
      <c r="U752" s="12"/>
      <c r="V752" s="12"/>
      <c r="W752" s="12"/>
      <c r="X752" s="12"/>
      <c r="Y752" s="12"/>
      <c r="Z752" s="12"/>
      <c r="AA752" s="12"/>
    </row>
    <row r="753" spans="1:230" x14ac:dyDescent="0.2">
      <c r="A753" s="1" t="s">
        <v>150</v>
      </c>
      <c r="B753" s="103">
        <f>IF(AND('AES Indiana Bill Calc.'!$D$17="PH",'AES Indiana Bill Calc.'!$D$18="Yes 25%",'AES Indiana Bill Calc.'!$D$20="Yes 2018"),'AES Indiana Bill Calc.'!$D$19,-1)</f>
        <v>-1</v>
      </c>
      <c r="C753" s="103">
        <f>MAX(E753,$C$725)</f>
        <v>100</v>
      </c>
      <c r="D753" s="103" t="b">
        <f>IF(AND('AES Indiana Bill Calc.'!$D$17="PH",'AES Indiana Bill Calc.'!$D$18="Yes 25%",'AES Indiana Bill Calc.'!$D$20="Yes 2018"),'AES Indiana Bill Calc.'!$D$22)</f>
        <v>0</v>
      </c>
      <c r="E753" s="103" t="b">
        <f>IF(AND('AES Indiana Bill Calc.'!$D$17="PH",'AES Indiana Bill Calc.'!$D$18="Yes 25%",'AES Indiana Bill Calc.'!$D$20="Yes 2018"),'AES Indiana Bill Calc.'!$D$21)</f>
        <v>0</v>
      </c>
      <c r="F753" s="36" t="s">
        <v>226</v>
      </c>
      <c r="G753" s="137" t="e">
        <f>MAX(I753,P752)</f>
        <v>#N/A</v>
      </c>
      <c r="H753" s="19" t="e">
        <f>IF(ISBLANK(B753),0,+#REF!/B753)</f>
        <v>#REF!</v>
      </c>
      <c r="I753" s="115">
        <f>(E753*120*$K$724)+$J$724</f>
        <v>1250</v>
      </c>
      <c r="J753" s="51">
        <f>IF(ISBLANK(B753),0,+J$724)</f>
        <v>1250</v>
      </c>
      <c r="K753" s="16">
        <f>IF($B753&gt;K752,ROUND(K752*K$724,2),ROUND($B753*K$724,2))</f>
        <v>-0.1</v>
      </c>
      <c r="L753" s="17">
        <f>IF($B753&gt;K752,ROUND((B753-K752)*L$724,2),0)</f>
        <v>0</v>
      </c>
      <c r="M753" s="17">
        <f>IF($C753&gt;L$611,ROUND(($C753-L$611)*M$610,2),0)</f>
        <v>0</v>
      </c>
      <c r="N753" s="17">
        <f>SUM(K753:L753)</f>
        <v>-0.1</v>
      </c>
      <c r="O753" s="17"/>
      <c r="P753" s="12"/>
      <c r="Q753" s="17">
        <f t="shared" si="43"/>
        <v>0</v>
      </c>
      <c r="R753" s="16" t="e">
        <f>ROUND(SUM(K753:M753)*(R752-1),2)</f>
        <v>#N/A</v>
      </c>
      <c r="S753" s="17">
        <f>ROUND($B753*S$724*S752,2)</f>
        <v>0</v>
      </c>
      <c r="T753" s="17">
        <f>ROUND($B753*T$724,2)</f>
        <v>0</v>
      </c>
      <c r="U753" s="17">
        <f>ROUND($B753*U$724,2)</f>
        <v>0</v>
      </c>
      <c r="V753" s="17">
        <f>ROUND($B753*V$716,2)</f>
        <v>0</v>
      </c>
      <c r="W753" s="17">
        <f>ROUND($B753*W$724,2)</f>
        <v>0</v>
      </c>
      <c r="X753" s="17">
        <f>ROUND($B753*X$724,2)</f>
        <v>-0.01</v>
      </c>
      <c r="Y753" s="17">
        <f>ROUND($B753*Y$724,2)</f>
        <v>0</v>
      </c>
      <c r="Z753" s="17">
        <f>ROUND($B753*Z$724,2)</f>
        <v>0</v>
      </c>
      <c r="AA753" s="17">
        <f>ROUND($B753*AA$724,2)</f>
        <v>0</v>
      </c>
      <c r="AB753" s="19">
        <f>SUM(U748:AA748)</f>
        <v>0</v>
      </c>
      <c r="AC753" s="67" t="str">
        <f>+F753</f>
        <v>PH8</v>
      </c>
    </row>
    <row r="754" spans="1:230" x14ac:dyDescent="0.2">
      <c r="A754" s="9"/>
      <c r="B754" s="103">
        <v>-1</v>
      </c>
      <c r="D754" s="8"/>
      <c r="E754" s="9"/>
      <c r="F754" s="36"/>
      <c r="H754" s="12"/>
      <c r="I754" s="19"/>
      <c r="J754" s="12"/>
      <c r="K754" s="43">
        <f>ROUND(C755*K$725,0)</f>
        <v>25000</v>
      </c>
      <c r="L754" s="35">
        <f>+B755-K754</f>
        <v>-25001</v>
      </c>
      <c r="M754" s="12"/>
      <c r="N754" s="12"/>
      <c r="O754" s="12"/>
      <c r="P754" s="17" t="e">
        <f>SUM(J755:M755,R755:AA755)</f>
        <v>#N/A</v>
      </c>
      <c r="Q754" s="17">
        <f t="shared" si="43"/>
        <v>0</v>
      </c>
      <c r="R754" s="38" t="e">
        <f>VLOOKUP((D755),'Pwr Factor'!$A$1:$B$52,2)</f>
        <v>#N/A</v>
      </c>
      <c r="S754" s="50">
        <v>0.1</v>
      </c>
      <c r="T754" s="12"/>
      <c r="U754" s="12"/>
      <c r="V754" s="12"/>
      <c r="W754" s="12"/>
      <c r="X754" s="12"/>
      <c r="Y754" s="12"/>
      <c r="Z754" s="12"/>
      <c r="AA754" s="12"/>
    </row>
    <row r="755" spans="1:230" x14ac:dyDescent="0.2">
      <c r="A755" s="1" t="s">
        <v>164</v>
      </c>
      <c r="B755" s="103">
        <f>IF(AND('AES Indiana Bill Calc.'!$D$17="PH",'AES Indiana Bill Calc.'!$D$18="Yes 10%",'AES Indiana Bill Calc.'!$D$20="Yes 2018"),'AES Indiana Bill Calc.'!$D$19,-1)</f>
        <v>-1</v>
      </c>
      <c r="C755" s="103">
        <f>MAX(E755,$C$725)</f>
        <v>100</v>
      </c>
      <c r="D755" s="103" t="b">
        <f>IF(AND('AES Indiana Bill Calc.'!$D$17="PH",'AES Indiana Bill Calc.'!$D$18="Yes 10%",'AES Indiana Bill Calc.'!$D$20="Yes 2018"),'AES Indiana Bill Calc.'!$D$22)</f>
        <v>0</v>
      </c>
      <c r="E755" s="103" t="b">
        <f>IF(AND('AES Indiana Bill Calc.'!$D$17="PH",'AES Indiana Bill Calc.'!$D$18="Yes 10%",'AES Indiana Bill Calc.'!$D$20="Yes 2018"),'AES Indiana Bill Calc.'!$D$21)</f>
        <v>0</v>
      </c>
      <c r="F755" s="36" t="s">
        <v>226</v>
      </c>
      <c r="G755" s="137" t="e">
        <f>MAX(I755,P754)</f>
        <v>#N/A</v>
      </c>
      <c r="H755" s="19" t="e">
        <f>IF(ISBLANK(B755),0,+#REF!/B755)</f>
        <v>#REF!</v>
      </c>
      <c r="I755" s="115">
        <f>(E755*120*$K$724)+$J$724</f>
        <v>1250</v>
      </c>
      <c r="J755" s="51">
        <f>IF(ISBLANK(B755),0,+J$724)</f>
        <v>1250</v>
      </c>
      <c r="K755" s="16">
        <f>IF($B755&gt;K754,ROUND(K754*K$724,2),ROUND($B755*K$724,2))</f>
        <v>-0.1</v>
      </c>
      <c r="L755" s="17">
        <f>IF($B755&gt;K754,ROUND((B755-K754)*L$724,2),0)</f>
        <v>0</v>
      </c>
      <c r="M755" s="17">
        <f>IF($C755&gt;L$611,ROUND(($C755-L$611)*M$610,2),0)</f>
        <v>0</v>
      </c>
      <c r="N755" s="17">
        <f>SUM(K755:L755)</f>
        <v>-0.1</v>
      </c>
      <c r="O755" s="17"/>
      <c r="P755" s="12"/>
      <c r="Q755" s="17">
        <f t="shared" si="43"/>
        <v>0</v>
      </c>
      <c r="R755" s="16" t="e">
        <f>ROUND(SUM(K755:M755)*(R754-1),2)</f>
        <v>#N/A</v>
      </c>
      <c r="S755" s="17">
        <f>ROUND($B755*S$724*S754,2)</f>
        <v>0</v>
      </c>
      <c r="T755" s="17">
        <f>ROUND($B755*T$724,2)</f>
        <v>0</v>
      </c>
      <c r="U755" s="17">
        <f>ROUND($B755*U$724,2)</f>
        <v>0</v>
      </c>
      <c r="V755" s="17">
        <f>ROUND($B755*V$716,2)</f>
        <v>0</v>
      </c>
      <c r="W755" s="17">
        <f>ROUND($B755*W$724,2)</f>
        <v>0</v>
      </c>
      <c r="X755" s="17">
        <f>ROUND($B755*X$724,2)</f>
        <v>-0.01</v>
      </c>
      <c r="Y755" s="17">
        <f>ROUND($B755*Y$724,2)</f>
        <v>0</v>
      </c>
      <c r="Z755" s="17">
        <f>ROUND($B755*Z$724,2)</f>
        <v>0</v>
      </c>
      <c r="AA755" s="17">
        <f>ROUND($B755*AA$724,2)</f>
        <v>0</v>
      </c>
      <c r="AB755" s="19">
        <f>SUM(U750:AA750)</f>
        <v>0</v>
      </c>
      <c r="AC755" s="67" t="str">
        <f>+F755</f>
        <v>PH8</v>
      </c>
    </row>
    <row r="756" spans="1:230" x14ac:dyDescent="0.2">
      <c r="A756" s="9"/>
      <c r="B756" s="103">
        <v>-1</v>
      </c>
      <c r="D756" s="8"/>
      <c r="E756" s="9"/>
      <c r="F756" s="36"/>
      <c r="H756" s="12"/>
      <c r="I756" s="19"/>
      <c r="J756" s="12"/>
      <c r="K756" s="43">
        <f>ROUND(C757*K$725,0)</f>
        <v>25000</v>
      </c>
      <c r="L756" s="35">
        <f>+B757-K756</f>
        <v>-25001</v>
      </c>
      <c r="M756" s="12"/>
      <c r="N756" s="12"/>
      <c r="O756" s="12"/>
      <c r="P756" s="17" t="e">
        <f>SUM(J757:M757,R757:AA757)</f>
        <v>#N/A</v>
      </c>
      <c r="Q756" s="17">
        <f t="shared" si="43"/>
        <v>0</v>
      </c>
      <c r="R756" s="38" t="e">
        <f>VLOOKUP((D757),'Pwr Factor'!$A$1:$B$52,2)</f>
        <v>#N/A</v>
      </c>
      <c r="S756" s="50">
        <v>0</v>
      </c>
      <c r="T756" s="12"/>
      <c r="U756" s="12"/>
      <c r="V756" s="12"/>
      <c r="W756" s="12"/>
      <c r="X756" s="12"/>
      <c r="Y756" s="12"/>
      <c r="Z756" s="12"/>
      <c r="AA756" s="12"/>
    </row>
    <row r="757" spans="1:230" x14ac:dyDescent="0.2">
      <c r="A757" s="1" t="s">
        <v>147</v>
      </c>
      <c r="B757" s="103">
        <f>IF(AND('AES Indiana Bill Calc.'!$D$17="PH",'AES Indiana Bill Calc.'!$D$18="No",'AES Indiana Bill Calc.'!$D$20="Yes 2018"),'AES Indiana Bill Calc.'!$D$19,-1)</f>
        <v>-1</v>
      </c>
      <c r="C757" s="103">
        <f>MAX(E757,$C$725)</f>
        <v>100</v>
      </c>
      <c r="D757" s="103" t="b">
        <f>IF(AND('AES Indiana Bill Calc.'!$D$17="PH",'AES Indiana Bill Calc.'!$D$18="No",'AES Indiana Bill Calc.'!$D$20="Yes 2018"),'AES Indiana Bill Calc.'!$D$22)</f>
        <v>0</v>
      </c>
      <c r="E757" s="103" t="b">
        <f>IF(AND('AES Indiana Bill Calc.'!$D$17="PH",'AES Indiana Bill Calc.'!$D$18="No",'AES Indiana Bill Calc.'!$D$20="Yes 2018"),'AES Indiana Bill Calc.'!$D$21)</f>
        <v>0</v>
      </c>
      <c r="F757" s="36" t="s">
        <v>226</v>
      </c>
      <c r="G757" s="137" t="e">
        <f>MAX(I757,P756)</f>
        <v>#N/A</v>
      </c>
      <c r="H757" s="19" t="e">
        <f>IF(ISBLANK(B757),0,+#REF!/B757)</f>
        <v>#REF!</v>
      </c>
      <c r="I757" s="115">
        <f>(E757*120*$K$724)+$J$724</f>
        <v>1250</v>
      </c>
      <c r="J757" s="51">
        <f>IF(ISBLANK(B757),0,+J$724)</f>
        <v>1250</v>
      </c>
      <c r="K757" s="16">
        <f>IF($B757&gt;K756,ROUND(K756*K$724,2),ROUND($B757*K$724,2))</f>
        <v>-0.1</v>
      </c>
      <c r="L757" s="17">
        <f>IF($B757&gt;K756,ROUND((B757-K756)*L$724,2),0)</f>
        <v>0</v>
      </c>
      <c r="M757" s="17">
        <f>IF($C757&gt;L$611,ROUND(($C757-L$611)*M$610,2),0)</f>
        <v>0</v>
      </c>
      <c r="N757" s="17">
        <f>SUM(K757:L757)</f>
        <v>-0.1</v>
      </c>
      <c r="O757" s="17"/>
      <c r="P757" s="12"/>
      <c r="Q757" s="17">
        <f t="shared" si="43"/>
        <v>0</v>
      </c>
      <c r="R757" s="16" t="e">
        <f>ROUND(SUM(K757:M757)*(R756-1),2)</f>
        <v>#N/A</v>
      </c>
      <c r="S757" s="17">
        <f>ROUND($B757*S$724*S756,2)</f>
        <v>0</v>
      </c>
      <c r="T757" s="17">
        <f>ROUND($B757*T$724,2)</f>
        <v>0</v>
      </c>
      <c r="U757" s="17">
        <f>ROUND($B757*U$724,2)</f>
        <v>0</v>
      </c>
      <c r="V757" s="17">
        <f>ROUND($B757*V$716,2)</f>
        <v>0</v>
      </c>
      <c r="W757" s="17">
        <f>ROUND($B757*W$724,2)</f>
        <v>0</v>
      </c>
      <c r="X757" s="17">
        <f>ROUND($B757*X$724,2)</f>
        <v>-0.01</v>
      </c>
      <c r="Y757" s="17">
        <f>ROUND($B757*Y$724,2)</f>
        <v>0</v>
      </c>
      <c r="Z757" s="17">
        <f>ROUND($B757*Z$724,2)</f>
        <v>0</v>
      </c>
      <c r="AA757" s="17">
        <f>ROUND($B757*AA$724,2)</f>
        <v>0</v>
      </c>
      <c r="AB757" s="19">
        <f>SUM(U752:AA752)</f>
        <v>0</v>
      </c>
      <c r="AC757" s="67" t="str">
        <f>+F757</f>
        <v>PH8</v>
      </c>
    </row>
    <row r="758" spans="1:230" x14ac:dyDescent="0.2">
      <c r="A758" s="9"/>
      <c r="B758" s="103">
        <v>-1</v>
      </c>
      <c r="D758" s="8"/>
      <c r="E758" s="9"/>
      <c r="F758" s="36"/>
      <c r="H758" s="12"/>
      <c r="I758" s="19"/>
      <c r="J758" s="12"/>
      <c r="K758" s="43">
        <f>ROUND(C759*K$725,0)</f>
        <v>25000</v>
      </c>
      <c r="L758" s="35">
        <f>+B759-K758</f>
        <v>-25001</v>
      </c>
      <c r="M758" s="12"/>
      <c r="N758" s="12"/>
      <c r="O758" s="12"/>
      <c r="P758" s="17" t="e">
        <f>SUM(J759:M759,R759:AA759)</f>
        <v>#N/A</v>
      </c>
      <c r="Q758" s="17">
        <f t="shared" si="43"/>
        <v>0</v>
      </c>
      <c r="R758" s="38" t="e">
        <f>VLOOKUP((D759),'Pwr Factor'!$A$1:$B$52,2)</f>
        <v>#N/A</v>
      </c>
      <c r="S758" s="50">
        <v>1</v>
      </c>
      <c r="T758" s="12"/>
      <c r="U758" s="12"/>
      <c r="V758" s="12"/>
      <c r="W758" s="12"/>
      <c r="X758" s="12"/>
      <c r="Y758" s="12"/>
      <c r="Z758" s="12"/>
      <c r="AA758" s="12"/>
    </row>
    <row r="759" spans="1:230" s="21" customFormat="1" ht="13.5" thickBot="1" x14ac:dyDescent="0.25">
      <c r="A759" s="1" t="s">
        <v>148</v>
      </c>
      <c r="B759" s="103">
        <f>IF(AND('AES Indiana Bill Calc.'!$D$17="PH",'AES Indiana Bill Calc.'!$D$18="Yes 100%",'AES Indiana Bill Calc.'!$D$20="Yes 2019"),'AES Indiana Bill Calc.'!$D$19,-1)</f>
        <v>-1</v>
      </c>
      <c r="C759" s="103">
        <f>MAX(E759,$C$725)</f>
        <v>100</v>
      </c>
      <c r="D759" s="103" t="b">
        <f>IF(AND('AES Indiana Bill Calc.'!$D$17="PH",'AES Indiana Bill Calc.'!$D$18="Yes 100%",'AES Indiana Bill Calc.'!$D$20="Yes 2019"),'AES Indiana Bill Calc.'!$D$22)</f>
        <v>0</v>
      </c>
      <c r="E759" s="103" t="b">
        <f>IF(AND('AES Indiana Bill Calc.'!$D$17="PH",'AES Indiana Bill Calc.'!$D$18="Yes 100%",'AES Indiana Bill Calc.'!$D$20="Yes 2019"),'AES Indiana Bill Calc.'!$D$21)</f>
        <v>0</v>
      </c>
      <c r="F759" s="36" t="s">
        <v>227</v>
      </c>
      <c r="G759" s="137" t="e">
        <f>MAX(I759,P758)</f>
        <v>#N/A</v>
      </c>
      <c r="H759" s="19" t="e">
        <f>IF(ISBLANK(B759),0,+#REF!/B759)</f>
        <v>#REF!</v>
      </c>
      <c r="I759" s="115">
        <f>(E759*120*$K$724)+$J$724</f>
        <v>1250</v>
      </c>
      <c r="J759" s="51">
        <f>IF(ISBLANK(B759),0,+J$724)</f>
        <v>1250</v>
      </c>
      <c r="K759" s="16">
        <f>IF($B759&gt;K758,ROUND(K758*K$724,2),ROUND($B759*K$724,2))</f>
        <v>-0.1</v>
      </c>
      <c r="L759" s="17">
        <f>IF($B759&gt;K758,ROUND((B759-K758)*L$724,2),0)</f>
        <v>0</v>
      </c>
      <c r="M759" s="17">
        <f>IF($C759&gt;L$611,ROUND(($C759-L$611)*M$610,2),0)</f>
        <v>0</v>
      </c>
      <c r="N759" s="17">
        <f>SUM(K759:L759)</f>
        <v>-0.1</v>
      </c>
      <c r="O759" s="17"/>
      <c r="P759" s="12"/>
      <c r="Q759" s="17">
        <f t="shared" si="43"/>
        <v>0</v>
      </c>
      <c r="R759" s="16" t="e">
        <f>ROUND(SUM(K759:M759)*(R758-1),2)</f>
        <v>#N/A</v>
      </c>
      <c r="S759" s="17">
        <f>ROUND($B759*S$724*S758,2)</f>
        <v>0</v>
      </c>
      <c r="T759" s="17">
        <f>ROUND($B759*T$724,2)</f>
        <v>0</v>
      </c>
      <c r="U759" s="17">
        <f>ROUND($B759*U$724,2)</f>
        <v>0</v>
      </c>
      <c r="V759" s="17">
        <f>ROUND($B759*V$717,2)</f>
        <v>0</v>
      </c>
      <c r="W759" s="17">
        <f>ROUND($B759*W$724,2)</f>
        <v>0</v>
      </c>
      <c r="X759" s="17">
        <f>ROUND($B759*X$724,2)</f>
        <v>-0.01</v>
      </c>
      <c r="Y759" s="17">
        <f>ROUND($B759*Y$724,2)</f>
        <v>0</v>
      </c>
      <c r="Z759" s="17">
        <f>ROUND($B759*Z$724,2)</f>
        <v>0</v>
      </c>
      <c r="AA759" s="17">
        <f>ROUND($B759*AA$724,2)</f>
        <v>0</v>
      </c>
      <c r="AB759" s="19">
        <f>SUM(U754:AA754)</f>
        <v>0</v>
      </c>
      <c r="AC759" s="67" t="str">
        <f>+F759</f>
        <v>PH9</v>
      </c>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row>
    <row r="760" spans="1:230" x14ac:dyDescent="0.2">
      <c r="A760" s="9"/>
      <c r="B760" s="103">
        <v>-1</v>
      </c>
      <c r="D760" s="8"/>
      <c r="E760" s="9"/>
      <c r="F760" s="36"/>
      <c r="H760" s="12"/>
      <c r="I760" s="19"/>
      <c r="J760" s="12"/>
      <c r="K760" s="43">
        <f>ROUND(C761*K$725,0)</f>
        <v>25000</v>
      </c>
      <c r="L760" s="35">
        <f>+B761-K760</f>
        <v>-25001</v>
      </c>
      <c r="M760" s="12"/>
      <c r="N760" s="12"/>
      <c r="O760" s="12"/>
      <c r="P760" s="17" t="e">
        <f>SUM(J761:M761,R761:AA761)</f>
        <v>#N/A</v>
      </c>
      <c r="Q760" s="17">
        <f t="shared" si="43"/>
        <v>0</v>
      </c>
      <c r="R760" s="38" t="e">
        <f>VLOOKUP((D761),'Pwr Factor'!$A$1:$B$52,2)</f>
        <v>#N/A</v>
      </c>
      <c r="S760" s="50">
        <v>0.5</v>
      </c>
      <c r="T760" s="12"/>
      <c r="U760" s="12"/>
      <c r="V760" s="12"/>
      <c r="W760" s="12"/>
      <c r="X760" s="12"/>
      <c r="Y760" s="12"/>
      <c r="Z760" s="12"/>
      <c r="AA760" s="12"/>
    </row>
    <row r="761" spans="1:230" x14ac:dyDescent="0.2">
      <c r="A761" s="1" t="s">
        <v>149</v>
      </c>
      <c r="B761" s="103">
        <f>IF(AND('AES Indiana Bill Calc.'!$D$17="PH",'AES Indiana Bill Calc.'!$D$18="Yes 50%",'AES Indiana Bill Calc.'!$D$20="Yes 2019"),'AES Indiana Bill Calc.'!$D$19,-1)</f>
        <v>-1</v>
      </c>
      <c r="C761" s="103">
        <f>MAX(E761,$C$725)</f>
        <v>100</v>
      </c>
      <c r="D761" s="103" t="b">
        <f>IF(AND('AES Indiana Bill Calc.'!$D$17="PH",'AES Indiana Bill Calc.'!$D$18="Yes 50%",'AES Indiana Bill Calc.'!$D$20="Yes 2019"),'AES Indiana Bill Calc.'!$D$22)</f>
        <v>0</v>
      </c>
      <c r="E761" s="103" t="b">
        <f>IF(AND('AES Indiana Bill Calc.'!$D$17="PH",'AES Indiana Bill Calc.'!$D$18="Yes 50%",'AES Indiana Bill Calc.'!$D$20="Yes 2019"),'AES Indiana Bill Calc.'!$D$21)</f>
        <v>0</v>
      </c>
      <c r="F761" s="36" t="s">
        <v>227</v>
      </c>
      <c r="G761" s="137" t="e">
        <f>MAX(I761,P760)</f>
        <v>#N/A</v>
      </c>
      <c r="H761" s="19" t="e">
        <f>IF(ISBLANK(B761),0,+#REF!/B761)</f>
        <v>#REF!</v>
      </c>
      <c r="I761" s="115">
        <f>(E761*120*$K$724)+$J$724</f>
        <v>1250</v>
      </c>
      <c r="J761" s="51">
        <f>IF(ISBLANK(B761),0,+J$724)</f>
        <v>1250</v>
      </c>
      <c r="K761" s="16">
        <f>IF($B761&gt;K760,ROUND(K760*K$724,2),ROUND($B761*K$724,2))</f>
        <v>-0.1</v>
      </c>
      <c r="L761" s="17">
        <f>IF($B761&gt;K760,ROUND((B761-K760)*L$724,2),0)</f>
        <v>0</v>
      </c>
      <c r="M761" s="17">
        <f>IF($C761&gt;L$611,ROUND(($C761-L$611)*M$610,2),0)</f>
        <v>0</v>
      </c>
      <c r="N761" s="17">
        <f>SUM(K761:L761)</f>
        <v>-0.1</v>
      </c>
      <c r="O761" s="17"/>
      <c r="P761" s="12"/>
      <c r="Q761" s="17">
        <f t="shared" si="43"/>
        <v>0</v>
      </c>
      <c r="R761" s="16" t="e">
        <f>ROUND(SUM(K761:M761)*(R760-1),2)</f>
        <v>#N/A</v>
      </c>
      <c r="S761" s="17">
        <f>ROUND($B761*S$724*S760,2)</f>
        <v>0</v>
      </c>
      <c r="T761" s="17">
        <f>ROUND($B761*T$724,2)</f>
        <v>0</v>
      </c>
      <c r="U761" s="17">
        <f>ROUND($B761*U$724,2)</f>
        <v>0</v>
      </c>
      <c r="V761" s="17">
        <f>ROUND($B761*V$717,2)</f>
        <v>0</v>
      </c>
      <c r="W761" s="17">
        <f>ROUND($B761*W$724,2)</f>
        <v>0</v>
      </c>
      <c r="X761" s="17">
        <f>ROUND($B761*X$724,2)</f>
        <v>-0.01</v>
      </c>
      <c r="Y761" s="17">
        <f>ROUND($B761*Y$724,2)</f>
        <v>0</v>
      </c>
      <c r="Z761" s="17">
        <f>ROUND($B761*Z$724,2)</f>
        <v>0</v>
      </c>
      <c r="AA761" s="17">
        <f>ROUND($B761*AA$724,2)</f>
        <v>0</v>
      </c>
      <c r="AB761" s="19">
        <f>SUM(U756:AA756)</f>
        <v>0</v>
      </c>
      <c r="AC761" s="67" t="str">
        <f>+F761</f>
        <v>PH9</v>
      </c>
    </row>
    <row r="762" spans="1:230" x14ac:dyDescent="0.2">
      <c r="A762" s="9"/>
      <c r="B762" s="103">
        <v>-1</v>
      </c>
      <c r="D762" s="8"/>
      <c r="E762" s="9"/>
      <c r="F762" s="36"/>
      <c r="H762" s="12"/>
      <c r="I762" s="19"/>
      <c r="J762" s="12"/>
      <c r="K762" s="43">
        <f>ROUND(C763*K$725,0)</f>
        <v>25000</v>
      </c>
      <c r="L762" s="35">
        <f>+B763-K762</f>
        <v>-25001</v>
      </c>
      <c r="M762" s="12"/>
      <c r="N762" s="12"/>
      <c r="O762" s="12"/>
      <c r="P762" s="17" t="e">
        <f>SUM(J763:M763,R763:AA763)</f>
        <v>#N/A</v>
      </c>
      <c r="Q762" s="17">
        <f t="shared" si="43"/>
        <v>0</v>
      </c>
      <c r="R762" s="38" t="e">
        <f>VLOOKUP((D763),'Pwr Factor'!$A$1:$B$52,2)</f>
        <v>#N/A</v>
      </c>
      <c r="S762" s="50">
        <v>0.25</v>
      </c>
      <c r="T762" s="12"/>
      <c r="U762" s="12"/>
      <c r="V762" s="12"/>
      <c r="W762" s="12"/>
      <c r="X762" s="12"/>
      <c r="Y762" s="12"/>
      <c r="Z762" s="12"/>
      <c r="AA762" s="12"/>
    </row>
    <row r="763" spans="1:230" x14ac:dyDescent="0.2">
      <c r="A763" s="1" t="s">
        <v>150</v>
      </c>
      <c r="B763" s="103">
        <f>IF(AND('AES Indiana Bill Calc.'!$D$17="PH",'AES Indiana Bill Calc.'!$D$18="Yes 25%",'AES Indiana Bill Calc.'!$D$20="Yes 2019"),'AES Indiana Bill Calc.'!$D$19,-1)</f>
        <v>-1</v>
      </c>
      <c r="C763" s="103">
        <f>MAX(E763,$C$725)</f>
        <v>100</v>
      </c>
      <c r="D763" s="103" t="b">
        <f>IF(AND('AES Indiana Bill Calc.'!$D$17="PH",'AES Indiana Bill Calc.'!$D$18="Yes 25%",'AES Indiana Bill Calc.'!$D$20="Yes 2019"),'AES Indiana Bill Calc.'!$D$22)</f>
        <v>0</v>
      </c>
      <c r="E763" s="103" t="b">
        <f>IF(AND('AES Indiana Bill Calc.'!$D$17="PH",'AES Indiana Bill Calc.'!$D$18="Yes 25%",'AES Indiana Bill Calc.'!$D$20="Yes 2019"),'AES Indiana Bill Calc.'!$D$21)</f>
        <v>0</v>
      </c>
      <c r="F763" s="36" t="s">
        <v>227</v>
      </c>
      <c r="G763" s="137" t="e">
        <f>MAX(I763,P762)</f>
        <v>#N/A</v>
      </c>
      <c r="H763" s="19" t="e">
        <f>IF(ISBLANK(B763),0,+#REF!/B763)</f>
        <v>#REF!</v>
      </c>
      <c r="I763" s="115">
        <f>(E763*120*$K$724)+$J$724</f>
        <v>1250</v>
      </c>
      <c r="J763" s="51">
        <f>IF(ISBLANK(B763),0,+J$724)</f>
        <v>1250</v>
      </c>
      <c r="K763" s="16">
        <f>IF($B763&gt;K762,ROUND(K762*K$724,2),ROUND($B763*K$724,2))</f>
        <v>-0.1</v>
      </c>
      <c r="L763" s="17">
        <f>IF($B763&gt;K762,ROUND((B763-K762)*L$724,2),0)</f>
        <v>0</v>
      </c>
      <c r="M763" s="17">
        <f>IF($C763&gt;L$611,ROUND(($C763-L$611)*M$610,2),0)</f>
        <v>0</v>
      </c>
      <c r="N763" s="17">
        <f>SUM(K763:L763)</f>
        <v>-0.1</v>
      </c>
      <c r="O763" s="17"/>
      <c r="P763" s="12"/>
      <c r="Q763" s="17">
        <f>M763</f>
        <v>0</v>
      </c>
      <c r="R763" s="16" t="e">
        <f>ROUND(SUM(K763:M763)*(R762-1),2)</f>
        <v>#N/A</v>
      </c>
      <c r="S763" s="17">
        <f>ROUND($B763*S$724*S762,2)</f>
        <v>0</v>
      </c>
      <c r="T763" s="17">
        <f>ROUND($B763*T$724,2)</f>
        <v>0</v>
      </c>
      <c r="U763" s="17">
        <f>ROUND($B763*U$724,2)</f>
        <v>0</v>
      </c>
      <c r="V763" s="17">
        <f>ROUND($B763*V$717,2)</f>
        <v>0</v>
      </c>
      <c r="W763" s="17">
        <f>ROUND($B763*W$724,2)</f>
        <v>0</v>
      </c>
      <c r="X763" s="17">
        <f>ROUND($B763*X$724,2)</f>
        <v>-0.01</v>
      </c>
      <c r="Y763" s="17">
        <f>ROUND($B763*Y$724,2)</f>
        <v>0</v>
      </c>
      <c r="Z763" s="17">
        <f>ROUND($B763*Z$724,2)</f>
        <v>0</v>
      </c>
      <c r="AA763" s="17">
        <f>ROUND($B763*AA$724,2)</f>
        <v>0</v>
      </c>
      <c r="AB763" s="19">
        <f>SUM(U758:AA758)</f>
        <v>0</v>
      </c>
      <c r="AC763" s="67" t="str">
        <f>+F763</f>
        <v>PH9</v>
      </c>
    </row>
    <row r="764" spans="1:230" x14ac:dyDescent="0.2">
      <c r="A764" s="9"/>
      <c r="B764" s="103">
        <v>-1</v>
      </c>
      <c r="D764" s="8"/>
      <c r="E764" s="9"/>
      <c r="F764" s="36"/>
      <c r="H764" s="12"/>
      <c r="I764" s="19"/>
      <c r="J764" s="12"/>
      <c r="K764" s="43">
        <f>ROUND(C765*K$725,0)</f>
        <v>25000</v>
      </c>
      <c r="L764" s="35">
        <f>+B765-K764</f>
        <v>-25001</v>
      </c>
      <c r="M764" s="12"/>
      <c r="N764" s="12"/>
      <c r="O764" s="12"/>
      <c r="P764" s="17" t="e">
        <f>SUM(J765:M765,R765:AA765)</f>
        <v>#N/A</v>
      </c>
      <c r="Q764" s="17">
        <f t="shared" si="43"/>
        <v>0</v>
      </c>
      <c r="R764" s="38" t="e">
        <f>VLOOKUP((D765),'Pwr Factor'!$A$1:$B$52,2)</f>
        <v>#N/A</v>
      </c>
      <c r="S764" s="50">
        <v>0.1</v>
      </c>
      <c r="T764" s="12"/>
      <c r="U764" s="12"/>
      <c r="V764" s="12"/>
      <c r="W764" s="12"/>
      <c r="X764" s="12"/>
      <c r="Y764" s="12"/>
      <c r="Z764" s="12"/>
      <c r="AA764" s="12"/>
    </row>
    <row r="765" spans="1:230" x14ac:dyDescent="0.2">
      <c r="A765" s="1" t="s">
        <v>164</v>
      </c>
      <c r="B765" s="103">
        <f>IF(AND('AES Indiana Bill Calc.'!$D$17="PH",'AES Indiana Bill Calc.'!$D$18="Yes 10%",'AES Indiana Bill Calc.'!$D$20="Yes 2019"),'AES Indiana Bill Calc.'!$D$19,-1)</f>
        <v>-1</v>
      </c>
      <c r="C765" s="103">
        <f>MAX(E765,$C$725)</f>
        <v>100</v>
      </c>
      <c r="D765" s="103" t="b">
        <f>IF(AND('AES Indiana Bill Calc.'!$D$17="PH",'AES Indiana Bill Calc.'!$D$18="Yes 10%",'AES Indiana Bill Calc.'!$D$20="Yes 2019"),'AES Indiana Bill Calc.'!$D$22)</f>
        <v>0</v>
      </c>
      <c r="E765" s="103" t="b">
        <f>IF(AND('AES Indiana Bill Calc.'!$D$17="PH",'AES Indiana Bill Calc.'!$D$18="Yes 10%",'AES Indiana Bill Calc.'!$D$20="Yes 2019"),'AES Indiana Bill Calc.'!$D$21)</f>
        <v>0</v>
      </c>
      <c r="F765" s="36" t="s">
        <v>227</v>
      </c>
      <c r="G765" s="137" t="e">
        <f>MAX(I765,P764)</f>
        <v>#N/A</v>
      </c>
      <c r="H765" s="19" t="e">
        <f>IF(ISBLANK(B765),0,+#REF!/B765)</f>
        <v>#REF!</v>
      </c>
      <c r="I765" s="115">
        <f>(E765*120*$K$724)+$J$724</f>
        <v>1250</v>
      </c>
      <c r="J765" s="51">
        <f>IF(ISBLANK(B765),0,+J$724)</f>
        <v>1250</v>
      </c>
      <c r="K765" s="16">
        <f>IF($B765&gt;K764,ROUND(K764*K$724,2),ROUND($B765*K$724,2))</f>
        <v>-0.1</v>
      </c>
      <c r="L765" s="17">
        <f>IF($B765&gt;K764,ROUND((B765-K764)*L$724,2),0)</f>
        <v>0</v>
      </c>
      <c r="M765" s="17">
        <f>IF($C765&gt;L$611,ROUND(($C765-L$611)*M$610,2),0)</f>
        <v>0</v>
      </c>
      <c r="N765" s="17">
        <f>SUM(K765:L765)</f>
        <v>-0.1</v>
      </c>
      <c r="O765" s="17"/>
      <c r="P765" s="12"/>
      <c r="Q765" s="17">
        <f t="shared" si="43"/>
        <v>0</v>
      </c>
      <c r="R765" s="16" t="e">
        <f>ROUND(SUM(K765:M765)*(R764-1),2)</f>
        <v>#N/A</v>
      </c>
      <c r="S765" s="17">
        <f>ROUND($B765*S$724*S764,2)</f>
        <v>0</v>
      </c>
      <c r="T765" s="17">
        <f>ROUND($B765*T$724,2)</f>
        <v>0</v>
      </c>
      <c r="U765" s="17">
        <f>ROUND($B765*U$724,2)</f>
        <v>0</v>
      </c>
      <c r="V765" s="17">
        <f>ROUND($B765*V$717,2)</f>
        <v>0</v>
      </c>
      <c r="W765" s="17">
        <f>ROUND($B765*W$724,2)</f>
        <v>0</v>
      </c>
      <c r="X765" s="17">
        <f>ROUND($B765*X$724,2)</f>
        <v>-0.01</v>
      </c>
      <c r="Y765" s="17">
        <f>ROUND($B765*Y$724,2)</f>
        <v>0</v>
      </c>
      <c r="Z765" s="17">
        <f>ROUND($B765*Z$724,2)</f>
        <v>0</v>
      </c>
      <c r="AA765" s="17">
        <f>ROUND($B765*AA$724,2)</f>
        <v>0</v>
      </c>
      <c r="AB765" s="19">
        <f>SUM(U760:AA760)</f>
        <v>0</v>
      </c>
      <c r="AC765" s="67" t="str">
        <f>+F765</f>
        <v>PH9</v>
      </c>
    </row>
    <row r="766" spans="1:230" x14ac:dyDescent="0.2">
      <c r="A766" s="9"/>
      <c r="B766" s="103">
        <v>-1</v>
      </c>
      <c r="D766" s="8"/>
      <c r="E766" s="9"/>
      <c r="F766" s="36"/>
      <c r="H766" s="12"/>
      <c r="I766" s="19"/>
      <c r="J766" s="12"/>
      <c r="K766" s="43">
        <f>ROUND(C767*K$725,0)</f>
        <v>25000</v>
      </c>
      <c r="L766" s="35">
        <f>+B767-K766</f>
        <v>-25001</v>
      </c>
      <c r="M766" s="12"/>
      <c r="N766" s="12"/>
      <c r="O766" s="12"/>
      <c r="P766" s="17" t="e">
        <f>SUM(J767:M767,R767:AA767)</f>
        <v>#N/A</v>
      </c>
      <c r="Q766" s="17">
        <f t="shared" si="43"/>
        <v>0</v>
      </c>
      <c r="R766" s="38" t="e">
        <f>VLOOKUP((D767),'Pwr Factor'!$A$1:$B$52,2)</f>
        <v>#N/A</v>
      </c>
      <c r="S766" s="50">
        <v>0</v>
      </c>
      <c r="T766" s="12"/>
      <c r="U766" s="12"/>
      <c r="V766" s="12"/>
      <c r="W766" s="12"/>
      <c r="X766" s="12"/>
      <c r="Y766" s="12"/>
      <c r="Z766" s="12"/>
      <c r="AA766" s="12"/>
    </row>
    <row r="767" spans="1:230" x14ac:dyDescent="0.2">
      <c r="A767" s="1" t="s">
        <v>147</v>
      </c>
      <c r="B767" s="103">
        <f>IF(AND('AES Indiana Bill Calc.'!$D$17="PH",'AES Indiana Bill Calc.'!$D$18="Yes 100%",'AES Indiana Bill Calc.'!$D$20="Yes 2019"),'AES Indiana Bill Calc.'!$D$19,-1)</f>
        <v>-1</v>
      </c>
      <c r="C767" s="103">
        <f>MAX(E767,$C$725)</f>
        <v>100</v>
      </c>
      <c r="D767" s="103" t="b">
        <f>IF(AND('AES Indiana Bill Calc.'!$D$17="PH",'AES Indiana Bill Calc.'!$D$18="Yes 100%",'AES Indiana Bill Calc.'!$D$20="Yes 2019"),'AES Indiana Bill Calc.'!$D$22)</f>
        <v>0</v>
      </c>
      <c r="E767" s="103" t="b">
        <f>IF(AND('AES Indiana Bill Calc.'!$D$17="PH",'AES Indiana Bill Calc.'!$D$18="Yes 100%",'AES Indiana Bill Calc.'!$D$20="Yes 2019"),'AES Indiana Bill Calc.'!$D$21)</f>
        <v>0</v>
      </c>
      <c r="F767" s="36" t="s">
        <v>227</v>
      </c>
      <c r="G767" s="137" t="e">
        <f>MAX(I767,P766)</f>
        <v>#N/A</v>
      </c>
      <c r="H767" s="19" t="e">
        <f>IF(ISBLANK(B767),0,+#REF!/B767)</f>
        <v>#REF!</v>
      </c>
      <c r="I767" s="115">
        <f>(E767*120*$K$724)+$J$724</f>
        <v>1250</v>
      </c>
      <c r="J767" s="51">
        <f>IF(ISBLANK(B767),0,+J$724)</f>
        <v>1250</v>
      </c>
      <c r="K767" s="16">
        <f>IF($B767&gt;K766,ROUND(K766*K$724,2),ROUND($B767*K$724,2))</f>
        <v>-0.1</v>
      </c>
      <c r="L767" s="17">
        <f>IF($B767&gt;K766,ROUND((B767-K766)*L$724,2),0)</f>
        <v>0</v>
      </c>
      <c r="M767" s="17">
        <f>IF($C767&gt;L$611,ROUND(($C767-L$611)*M$610,2),0)</f>
        <v>0</v>
      </c>
      <c r="N767" s="17">
        <f>SUM(K767:L767)</f>
        <v>-0.1</v>
      </c>
      <c r="O767" s="17"/>
      <c r="P767" s="12"/>
      <c r="Q767" s="17">
        <f t="shared" si="43"/>
        <v>0</v>
      </c>
      <c r="R767" s="16" t="e">
        <f>ROUND(SUM(K767:M767)*(R766-1),2)</f>
        <v>#N/A</v>
      </c>
      <c r="S767" s="17">
        <f>ROUND($B767*S$724*S766,2)</f>
        <v>0</v>
      </c>
      <c r="T767" s="17">
        <f>ROUND($B767*T$724,2)</f>
        <v>0</v>
      </c>
      <c r="U767" s="17">
        <f>ROUND($B767*U$724,2)</f>
        <v>0</v>
      </c>
      <c r="V767" s="17">
        <f>ROUND($B767*V$717,2)</f>
        <v>0</v>
      </c>
      <c r="W767" s="17">
        <f>ROUND($B767*W$724,2)</f>
        <v>0</v>
      </c>
      <c r="X767" s="17">
        <f>ROUND($B767*X$724,2)</f>
        <v>-0.01</v>
      </c>
      <c r="Y767" s="17">
        <f>ROUND($B767*Y$724,2)</f>
        <v>0</v>
      </c>
      <c r="Z767" s="17">
        <f>ROUND($B767*Z$724,2)</f>
        <v>0</v>
      </c>
      <c r="AA767" s="17">
        <f>ROUND($B767*AA$724,2)</f>
        <v>0</v>
      </c>
      <c r="AB767" s="19">
        <f>SUM(U762:AA762)</f>
        <v>0</v>
      </c>
      <c r="AC767" s="67" t="str">
        <f>+F767</f>
        <v>PH9</v>
      </c>
    </row>
    <row r="768" spans="1:230" x14ac:dyDescent="0.2">
      <c r="A768" s="9"/>
      <c r="B768" s="103">
        <v>-1</v>
      </c>
      <c r="D768" s="8"/>
      <c r="E768" s="9"/>
      <c r="F768" s="36"/>
      <c r="H768" s="12"/>
      <c r="I768" s="19"/>
      <c r="J768" s="12"/>
      <c r="K768" s="43">
        <f>ROUND(C769*K$725,0)</f>
        <v>25000</v>
      </c>
      <c r="L768" s="35">
        <f>+B769-K768</f>
        <v>-25001</v>
      </c>
      <c r="M768" s="12"/>
      <c r="N768" s="12"/>
      <c r="O768" s="12"/>
      <c r="P768" s="17" t="e">
        <f>SUM(J769:M769,R769:AA769)</f>
        <v>#N/A</v>
      </c>
      <c r="Q768" s="17">
        <f t="shared" si="43"/>
        <v>0</v>
      </c>
      <c r="R768" s="38" t="e">
        <f>VLOOKUP((D769),'Pwr Factor'!$A$1:$B$52,2)</f>
        <v>#N/A</v>
      </c>
      <c r="S768" s="50">
        <v>1</v>
      </c>
      <c r="T768" s="12"/>
      <c r="U768" s="12"/>
      <c r="V768" s="12"/>
      <c r="W768" s="12"/>
      <c r="X768" s="12"/>
      <c r="Y768" s="12"/>
      <c r="Z768" s="12"/>
      <c r="AA768" s="12"/>
    </row>
    <row r="769" spans="1:29" x14ac:dyDescent="0.2">
      <c r="A769" s="1" t="s">
        <v>148</v>
      </c>
      <c r="B769" s="103">
        <f>IF(AND('AES Indiana Bill Calc.'!$D$17="PH",'AES Indiana Bill Calc.'!$D$18="Yes 100%",'AES Indiana Bill Calc.'!$D$20="Yes 2020"),'AES Indiana Bill Calc.'!$D$19,-1)</f>
        <v>-1</v>
      </c>
      <c r="C769" s="103">
        <f>MAX(E769,$C$725)</f>
        <v>100</v>
      </c>
      <c r="D769" s="103" t="b">
        <f>IF(AND('AES Indiana Bill Calc.'!$D$17="PH",'AES Indiana Bill Calc.'!$D$18="Yes 100%",'AES Indiana Bill Calc.'!$D$20="Yes 2020"),'AES Indiana Bill Calc.'!$D$22)</f>
        <v>0</v>
      </c>
      <c r="E769" s="103" t="b">
        <f>IF(AND('AES Indiana Bill Calc.'!$D$17="PH",'AES Indiana Bill Calc.'!$D$18="Yes 100%",'AES Indiana Bill Calc.'!$D$20="Yes 2020"),'AES Indiana Bill Calc.'!$D$21)</f>
        <v>0</v>
      </c>
      <c r="F769" s="36" t="s">
        <v>228</v>
      </c>
      <c r="G769" s="137" t="e">
        <f>MAX(I769,P768)</f>
        <v>#N/A</v>
      </c>
      <c r="H769" s="19" t="e">
        <f>IF(ISBLANK(B769),0,+#REF!/B769)</f>
        <v>#REF!</v>
      </c>
      <c r="I769" s="115">
        <f>(E769*120*$K$724)+$J$724</f>
        <v>1250</v>
      </c>
      <c r="J769" s="51">
        <f>IF(ISBLANK(B769),0,+J$724)</f>
        <v>1250</v>
      </c>
      <c r="K769" s="16">
        <f>IF($B769&gt;K768,ROUND(K768*K$724,2),ROUND($B769*K$724,2))</f>
        <v>-0.1</v>
      </c>
      <c r="L769" s="17">
        <f>IF($B769&gt;K768,ROUND((B769-K768)*L$724,2),0)</f>
        <v>0</v>
      </c>
      <c r="M769" s="17">
        <f>IF($C769&gt;L$611,ROUND(($C769-L$611)*M$610,2),0)</f>
        <v>0</v>
      </c>
      <c r="N769" s="17">
        <f>SUM(K769:L769)</f>
        <v>-0.1</v>
      </c>
      <c r="O769" s="17"/>
      <c r="P769" s="12"/>
      <c r="Q769" s="17">
        <f t="shared" si="43"/>
        <v>0</v>
      </c>
      <c r="R769" s="16" t="e">
        <f>ROUND(SUM(K769:M769)*(R768-1),2)</f>
        <v>#N/A</v>
      </c>
      <c r="S769" s="17">
        <f>ROUND($B769*S$724*S768,2)</f>
        <v>0</v>
      </c>
      <c r="T769" s="17">
        <f>ROUND($B769*T$724,2)</f>
        <v>0</v>
      </c>
      <c r="U769" s="17">
        <f>ROUND($B769*U$724,2)</f>
        <v>0</v>
      </c>
      <c r="V769" s="17">
        <f>ROUND($B769*V$718,2)</f>
        <v>0</v>
      </c>
      <c r="W769" s="17">
        <f>ROUND($B769*W$724,2)</f>
        <v>0</v>
      </c>
      <c r="X769" s="17">
        <f>ROUND($B769*X$724,2)</f>
        <v>-0.01</v>
      </c>
      <c r="Y769" s="17">
        <f>ROUND($B769*Y$724,2)</f>
        <v>0</v>
      </c>
      <c r="Z769" s="17">
        <f>ROUND($B769*Z$724,2)</f>
        <v>0</v>
      </c>
      <c r="AA769" s="17">
        <f>ROUND($B769*AA$724,2)</f>
        <v>0</v>
      </c>
      <c r="AB769" s="19">
        <f>SUM(U764:AA764)</f>
        <v>0</v>
      </c>
      <c r="AC769" s="67" t="str">
        <f>+F769</f>
        <v>PH0</v>
      </c>
    </row>
    <row r="770" spans="1:29" x14ac:dyDescent="0.2">
      <c r="A770" s="9"/>
      <c r="B770" s="103">
        <v>-1</v>
      </c>
      <c r="D770" s="8"/>
      <c r="E770" s="9"/>
      <c r="F770" s="36"/>
      <c r="H770" s="12"/>
      <c r="I770" s="19"/>
      <c r="J770" s="12"/>
      <c r="K770" s="43">
        <f>ROUND(C771*K$725,0)</f>
        <v>25000</v>
      </c>
      <c r="L770" s="35">
        <f>+B771-K770</f>
        <v>-25001</v>
      </c>
      <c r="M770" s="12"/>
      <c r="N770" s="12"/>
      <c r="O770" s="12"/>
      <c r="P770" s="17" t="e">
        <f>SUM(J771:M771,R771:AA771)</f>
        <v>#N/A</v>
      </c>
      <c r="Q770" s="17">
        <f t="shared" si="43"/>
        <v>0</v>
      </c>
      <c r="R770" s="38" t="e">
        <f>VLOOKUP((D771),'Pwr Factor'!$A$1:$B$52,2)</f>
        <v>#N/A</v>
      </c>
      <c r="S770" s="50">
        <v>0.5</v>
      </c>
      <c r="T770" s="12"/>
      <c r="U770" s="12"/>
      <c r="V770" s="12"/>
      <c r="W770" s="12"/>
      <c r="X770" s="12"/>
      <c r="Y770" s="12"/>
      <c r="Z770" s="12"/>
      <c r="AA770" s="12"/>
    </row>
    <row r="771" spans="1:29" x14ac:dyDescent="0.2">
      <c r="A771" s="1" t="s">
        <v>149</v>
      </c>
      <c r="B771" s="103">
        <f>IF(AND('AES Indiana Bill Calc.'!$D$17="PH",'AES Indiana Bill Calc.'!$D$18="Yes 50%",'AES Indiana Bill Calc.'!$D$20="Yes 2020"),'AES Indiana Bill Calc.'!$D$19,-1)</f>
        <v>-1</v>
      </c>
      <c r="C771" s="103">
        <f>MAX(E771,$C$725)</f>
        <v>100</v>
      </c>
      <c r="D771" s="103" t="b">
        <f>IF(AND('AES Indiana Bill Calc.'!$D$17="PH",'AES Indiana Bill Calc.'!$D$18="Yes 50%",'AES Indiana Bill Calc.'!$D$20="Yes 2020"),'AES Indiana Bill Calc.'!$D$22)</f>
        <v>0</v>
      </c>
      <c r="E771" s="103" t="b">
        <f>IF(AND('AES Indiana Bill Calc.'!$D$17="PH",'AES Indiana Bill Calc.'!$D$18="Yes 50%",'AES Indiana Bill Calc.'!$D$20="Yes 2020"),'AES Indiana Bill Calc.'!$D$21)</f>
        <v>0</v>
      </c>
      <c r="F771" s="36" t="s">
        <v>228</v>
      </c>
      <c r="G771" s="137" t="e">
        <f>MAX(I771,P770)</f>
        <v>#N/A</v>
      </c>
      <c r="H771" s="19" t="e">
        <f>IF(ISBLANK(B771),0,+#REF!/B771)</f>
        <v>#REF!</v>
      </c>
      <c r="I771" s="115">
        <f>(E771*120*$K$724)+$J$724</f>
        <v>1250</v>
      </c>
      <c r="J771" s="51">
        <f>IF(ISBLANK(B771),0,+J$724)</f>
        <v>1250</v>
      </c>
      <c r="K771" s="16">
        <f>IF($B771&gt;K770,ROUND(K770*K$724,2),ROUND($B771*K$724,2))</f>
        <v>-0.1</v>
      </c>
      <c r="L771" s="17">
        <f>IF($B771&gt;K770,ROUND((B771-K770)*L$724,2),0)</f>
        <v>0</v>
      </c>
      <c r="M771" s="17">
        <f>IF($C771&gt;L$611,ROUND(($C771-L$611)*M$610,2),0)</f>
        <v>0</v>
      </c>
      <c r="N771" s="17">
        <v>0</v>
      </c>
      <c r="O771" s="17"/>
      <c r="P771" s="12"/>
      <c r="Q771" s="17">
        <f t="shared" si="43"/>
        <v>0</v>
      </c>
      <c r="R771" s="16" t="e">
        <f>ROUND(SUM(K771:M771)*(R770-1),2)</f>
        <v>#N/A</v>
      </c>
      <c r="S771" s="17">
        <f>ROUND($B771*S$724*S770,2)</f>
        <v>0</v>
      </c>
      <c r="T771" s="17">
        <f>ROUND($B771*T$724,2)</f>
        <v>0</v>
      </c>
      <c r="U771" s="17">
        <f>ROUND($B771*U$724,2)</f>
        <v>0</v>
      </c>
      <c r="V771" s="17">
        <f>ROUND($B771*V$718,2)</f>
        <v>0</v>
      </c>
      <c r="W771" s="17">
        <f>ROUND($B771*W$724,2)</f>
        <v>0</v>
      </c>
      <c r="X771" s="17">
        <f>ROUND($B771*X$724,2)</f>
        <v>-0.01</v>
      </c>
      <c r="Y771" s="17">
        <f>ROUND($B771*Y$724,2)</f>
        <v>0</v>
      </c>
      <c r="Z771" s="17">
        <f>ROUND($B771*Z$724,2)</f>
        <v>0</v>
      </c>
      <c r="AA771" s="17">
        <f>ROUND($B771*AA$724,2)</f>
        <v>0</v>
      </c>
      <c r="AB771" s="19">
        <f>SUM(U766:AA766)</f>
        <v>0</v>
      </c>
      <c r="AC771" s="67" t="str">
        <f>+F771</f>
        <v>PH0</v>
      </c>
    </row>
    <row r="772" spans="1:29" x14ac:dyDescent="0.2">
      <c r="A772" s="9"/>
      <c r="B772" s="103">
        <v>-1</v>
      </c>
      <c r="D772" s="8"/>
      <c r="E772" s="9"/>
      <c r="F772" s="36"/>
      <c r="H772" s="12"/>
      <c r="I772" s="19"/>
      <c r="J772" s="12"/>
      <c r="K772" s="43">
        <f>ROUND(C773*K$725,0)</f>
        <v>25000</v>
      </c>
      <c r="L772" s="35">
        <f>+B773-K772</f>
        <v>-25001</v>
      </c>
      <c r="M772" s="12"/>
      <c r="N772" s="12"/>
      <c r="O772" s="12"/>
      <c r="P772" s="17" t="e">
        <f>SUM(J773:M773,R773:AA773)</f>
        <v>#N/A</v>
      </c>
      <c r="Q772" s="17">
        <f t="shared" si="43"/>
        <v>0</v>
      </c>
      <c r="R772" s="38" t="e">
        <f>VLOOKUP((D773),'Pwr Factor'!$A$1:$B$52,2)</f>
        <v>#N/A</v>
      </c>
      <c r="S772" s="50">
        <v>0.25</v>
      </c>
      <c r="T772" s="12"/>
      <c r="U772" s="12"/>
      <c r="V772" s="12"/>
      <c r="W772" s="12"/>
      <c r="X772" s="12"/>
      <c r="Y772" s="12"/>
      <c r="Z772" s="12"/>
      <c r="AA772" s="12"/>
    </row>
    <row r="773" spans="1:29" x14ac:dyDescent="0.2">
      <c r="A773" s="1" t="s">
        <v>150</v>
      </c>
      <c r="B773" s="103">
        <f>IF(AND('AES Indiana Bill Calc.'!$D$17="PH",'AES Indiana Bill Calc.'!$D$18="Yes 25%",'AES Indiana Bill Calc.'!$D$20="Yes 2020"),'AES Indiana Bill Calc.'!$D$19,-1)</f>
        <v>-1</v>
      </c>
      <c r="C773" s="103">
        <f>MAX(E773,$C$725)</f>
        <v>100</v>
      </c>
      <c r="D773" s="103" t="b">
        <f>IF(AND('AES Indiana Bill Calc.'!$D$17="PH",'AES Indiana Bill Calc.'!$D$18="Yes 25%",'AES Indiana Bill Calc.'!$D$20="Yes 2020"),'AES Indiana Bill Calc.'!$D$22)</f>
        <v>0</v>
      </c>
      <c r="E773" s="103" t="b">
        <f>IF(AND('AES Indiana Bill Calc.'!$D$17="PH",'AES Indiana Bill Calc.'!$D$18="Yes 25%",'AES Indiana Bill Calc.'!$D$20="Yes 2020"),'AES Indiana Bill Calc.'!$D$21)</f>
        <v>0</v>
      </c>
      <c r="F773" s="36" t="s">
        <v>228</v>
      </c>
      <c r="G773" s="137" t="e">
        <f>MAX(I773,P772)</f>
        <v>#N/A</v>
      </c>
      <c r="H773" s="19" t="e">
        <f>IF(ISBLANK(B773),0,+#REF!/B773)</f>
        <v>#REF!</v>
      </c>
      <c r="I773" s="115">
        <f>(E773*120*$K$724)+$J$724</f>
        <v>1250</v>
      </c>
      <c r="J773" s="51">
        <f>IF(ISBLANK(B773),0,+J$724)</f>
        <v>1250</v>
      </c>
      <c r="K773" s="16">
        <f>IF($B773&gt;K772,ROUND(K772*K$724,2),ROUND($B773*K$724,2))</f>
        <v>-0.1</v>
      </c>
      <c r="L773" s="17">
        <f>IF($B773&gt;K772,ROUND((B773-K772)*L$724,2),0)</f>
        <v>0</v>
      </c>
      <c r="M773" s="17">
        <f>IF($C773&gt;L$611,ROUND(($C773-L$611)*M$610,2),0)</f>
        <v>0</v>
      </c>
      <c r="N773" s="17">
        <f>SUM(K773:L773)</f>
        <v>-0.1</v>
      </c>
      <c r="O773" s="17"/>
      <c r="P773" s="12"/>
      <c r="Q773" s="17">
        <f t="shared" si="43"/>
        <v>0</v>
      </c>
      <c r="R773" s="16" t="e">
        <f>ROUND(SUM(K773:M773)*(R772-1),2)</f>
        <v>#N/A</v>
      </c>
      <c r="S773" s="17">
        <f>ROUND($B773*S$724*S772,2)</f>
        <v>0</v>
      </c>
      <c r="T773" s="17">
        <f>ROUND($B773*T$724,2)</f>
        <v>0</v>
      </c>
      <c r="U773" s="17">
        <f>ROUND($B773*U$724,2)</f>
        <v>0</v>
      </c>
      <c r="V773" s="17">
        <f>ROUND($B773*V$718,2)</f>
        <v>0</v>
      </c>
      <c r="W773" s="17">
        <f>ROUND($B773*W$724,2)</f>
        <v>0</v>
      </c>
      <c r="X773" s="17">
        <f>ROUND($B773*X$724,2)</f>
        <v>-0.01</v>
      </c>
      <c r="Y773" s="17">
        <f>ROUND($B773*Y$724,2)</f>
        <v>0</v>
      </c>
      <c r="Z773" s="17">
        <f>ROUND($B773*Z$724,2)</f>
        <v>0</v>
      </c>
      <c r="AA773" s="17">
        <f>ROUND($B773*AA$724,2)</f>
        <v>0</v>
      </c>
      <c r="AB773" s="19">
        <f>SUM(U768:AA768)</f>
        <v>0</v>
      </c>
      <c r="AC773" s="67" t="str">
        <f>+F773</f>
        <v>PH0</v>
      </c>
    </row>
    <row r="774" spans="1:29" x14ac:dyDescent="0.2">
      <c r="A774" s="9"/>
      <c r="B774" s="103">
        <v>-1</v>
      </c>
      <c r="D774" s="8"/>
      <c r="E774" s="9"/>
      <c r="F774" s="36"/>
      <c r="H774" s="12"/>
      <c r="I774" s="19"/>
      <c r="J774" s="12"/>
      <c r="K774" s="43">
        <f>ROUND(C775*K$725,0)</f>
        <v>25000</v>
      </c>
      <c r="L774" s="35">
        <f>+B775-K774</f>
        <v>-25001</v>
      </c>
      <c r="M774" s="12"/>
      <c r="N774" s="12"/>
      <c r="O774" s="12"/>
      <c r="P774" s="17" t="e">
        <f>SUM(J775:M775,R775:AA775)</f>
        <v>#N/A</v>
      </c>
      <c r="Q774" s="17">
        <f t="shared" si="43"/>
        <v>0</v>
      </c>
      <c r="R774" s="38" t="e">
        <f>VLOOKUP((D775),'Pwr Factor'!$A$1:$B$52,2)</f>
        <v>#N/A</v>
      </c>
      <c r="S774" s="50">
        <v>0.1</v>
      </c>
      <c r="T774" s="12"/>
      <c r="U774" s="12"/>
      <c r="V774" s="12"/>
      <c r="W774" s="12"/>
      <c r="X774" s="12"/>
      <c r="Y774" s="12"/>
      <c r="Z774" s="12"/>
      <c r="AA774" s="12"/>
    </row>
    <row r="775" spans="1:29" x14ac:dyDescent="0.2">
      <c r="A775" s="1" t="s">
        <v>164</v>
      </c>
      <c r="B775" s="103">
        <f>IF(AND('AES Indiana Bill Calc.'!$D$17="PH",'AES Indiana Bill Calc.'!$D$18="Yes 10%",'AES Indiana Bill Calc.'!$D$20="Yes 2020"),'AES Indiana Bill Calc.'!$D$19,-1)</f>
        <v>-1</v>
      </c>
      <c r="C775" s="103">
        <f>MAX(E775,$C$725)</f>
        <v>100</v>
      </c>
      <c r="D775" s="103" t="b">
        <f>IF(AND('AES Indiana Bill Calc.'!$D$17="PH",'AES Indiana Bill Calc.'!$D$18="Yes 10%",'AES Indiana Bill Calc.'!$D$20="Yes 2020"),'AES Indiana Bill Calc.'!$D$22)</f>
        <v>0</v>
      </c>
      <c r="E775" s="103" t="b">
        <f>IF(AND('AES Indiana Bill Calc.'!$D$17="PH",'AES Indiana Bill Calc.'!$D$18="Yes 10%",'AES Indiana Bill Calc.'!$D$20="Yes 2020"),'AES Indiana Bill Calc.'!$D$21)</f>
        <v>0</v>
      </c>
      <c r="F775" s="36" t="s">
        <v>228</v>
      </c>
      <c r="G775" s="137" t="e">
        <f>MAX(I775,P774)</f>
        <v>#N/A</v>
      </c>
      <c r="H775" s="19" t="e">
        <f>IF(ISBLANK(B775),0,+#REF!/B775)</f>
        <v>#REF!</v>
      </c>
      <c r="I775" s="115">
        <f>(E775*120*$K$724)+$J$724</f>
        <v>1250</v>
      </c>
      <c r="J775" s="51">
        <f>IF(ISBLANK(B775),0,+J$724)</f>
        <v>1250</v>
      </c>
      <c r="K775" s="16">
        <f>IF($B775&gt;K774,ROUND(K774*K$724,2),ROUND($B775*K$724,2))</f>
        <v>-0.1</v>
      </c>
      <c r="L775" s="17">
        <f>IF($B775&gt;K774,ROUND((B775-K774)*L$724,2),0)</f>
        <v>0</v>
      </c>
      <c r="M775" s="17">
        <f>IF($C775&gt;L$611,ROUND(($C775-L$611)*M$610,2),0)</f>
        <v>0</v>
      </c>
      <c r="N775" s="17">
        <f>SUM(K775:L775)</f>
        <v>-0.1</v>
      </c>
      <c r="O775" s="17"/>
      <c r="P775" s="12"/>
      <c r="Q775" s="17">
        <f t="shared" si="43"/>
        <v>0</v>
      </c>
      <c r="R775" s="16" t="e">
        <f>ROUND(SUM(K775:M775)*(R774-1),2)</f>
        <v>#N/A</v>
      </c>
      <c r="S775" s="17">
        <f>ROUND($B775*S$724*S774,2)</f>
        <v>0</v>
      </c>
      <c r="T775" s="17">
        <f>ROUND($B775*T$724,2)</f>
        <v>0</v>
      </c>
      <c r="U775" s="17">
        <f>ROUND($B775*U$724,2)</f>
        <v>0</v>
      </c>
      <c r="V775" s="17">
        <f>ROUND($B775*V$718,2)</f>
        <v>0</v>
      </c>
      <c r="W775" s="17">
        <f>ROUND($B775*W$724,2)</f>
        <v>0</v>
      </c>
      <c r="X775" s="17">
        <f>ROUND($B775*X$724,2)</f>
        <v>-0.01</v>
      </c>
      <c r="Y775" s="17">
        <f>ROUND($B775*Y$724,2)</f>
        <v>0</v>
      </c>
      <c r="Z775" s="17">
        <f>ROUND($B775*Z$724,2)</f>
        <v>0</v>
      </c>
      <c r="AA775" s="17">
        <f>ROUND($B775*AA$724,2)</f>
        <v>0</v>
      </c>
      <c r="AB775" s="19">
        <f>SUM(U770:AA770)</f>
        <v>0</v>
      </c>
      <c r="AC775" s="67" t="str">
        <f>+F775</f>
        <v>PH0</v>
      </c>
    </row>
    <row r="776" spans="1:29" x14ac:dyDescent="0.2">
      <c r="A776" s="9"/>
      <c r="B776" s="103">
        <v>-1</v>
      </c>
      <c r="D776" s="8"/>
      <c r="E776" s="9"/>
      <c r="F776" s="36"/>
      <c r="H776" s="12"/>
      <c r="I776" s="19"/>
      <c r="J776" s="12"/>
      <c r="K776" s="43">
        <f>ROUND(C777*K$725,0)</f>
        <v>25000</v>
      </c>
      <c r="L776" s="35">
        <f>+B777-K776</f>
        <v>-25001</v>
      </c>
      <c r="M776" s="12"/>
      <c r="N776" s="12"/>
      <c r="O776" s="12"/>
      <c r="P776" s="17" t="e">
        <f>SUM(J777:M777,R777:AA777)</f>
        <v>#N/A</v>
      </c>
      <c r="Q776" s="17">
        <f t="shared" si="43"/>
        <v>0</v>
      </c>
      <c r="R776" s="38" t="e">
        <f>VLOOKUP((D777),'Pwr Factor'!$A$1:$B$52,2)</f>
        <v>#N/A</v>
      </c>
      <c r="S776" s="50">
        <v>0</v>
      </c>
      <c r="T776" s="12"/>
      <c r="U776" s="12"/>
      <c r="V776" s="12"/>
      <c r="W776" s="12"/>
      <c r="X776" s="12"/>
      <c r="Y776" s="12"/>
      <c r="Z776" s="12"/>
      <c r="AA776" s="12"/>
    </row>
    <row r="777" spans="1:29" x14ac:dyDescent="0.2">
      <c r="A777" s="1" t="s">
        <v>147</v>
      </c>
      <c r="B777" s="103">
        <f>IF(AND('AES Indiana Bill Calc.'!$D$17="PH",'AES Indiana Bill Calc.'!$D$18="No",'AES Indiana Bill Calc.'!$D$20="Yes 2020"),'AES Indiana Bill Calc.'!$D$19,-1)</f>
        <v>-1</v>
      </c>
      <c r="C777" s="103">
        <f>MAX(E777,$C$725)</f>
        <v>100</v>
      </c>
      <c r="D777" s="103" t="b">
        <f>IF(AND('AES Indiana Bill Calc.'!$D$17="PH",'AES Indiana Bill Calc.'!$D$18="No",'AES Indiana Bill Calc.'!$D$20="Yes 2020"),'AES Indiana Bill Calc.'!$D$22)</f>
        <v>0</v>
      </c>
      <c r="E777" s="103" t="b">
        <f>IF(AND('AES Indiana Bill Calc.'!$D$17="PH",'AES Indiana Bill Calc.'!$D$18="No",'AES Indiana Bill Calc.'!$D$20="Yes 2020"),'AES Indiana Bill Calc.'!$D$21)</f>
        <v>0</v>
      </c>
      <c r="F777" s="36" t="s">
        <v>228</v>
      </c>
      <c r="G777" s="137" t="e">
        <f>MAX(I777,P776)</f>
        <v>#N/A</v>
      </c>
      <c r="H777" s="19" t="e">
        <f>IF(ISBLANK(B777),0,+#REF!/B777)</f>
        <v>#REF!</v>
      </c>
      <c r="I777" s="115">
        <f>(E777*120*$K$724)+$J$724</f>
        <v>1250</v>
      </c>
      <c r="J777" s="51">
        <f>IF(ISBLANK(B777),0,+J$724)</f>
        <v>1250</v>
      </c>
      <c r="K777" s="16">
        <f>IF($B777&gt;K776,ROUND(K776*K$724,2),ROUND($B777*K$724,2))</f>
        <v>-0.1</v>
      </c>
      <c r="L777" s="17">
        <f>IF($B777&gt;K776,ROUND((B777-K776)*L$724,2),0)</f>
        <v>0</v>
      </c>
      <c r="M777" s="17">
        <f>IF($C777&gt;L$611,ROUND(($C777-L$611)*M$610,2),0)</f>
        <v>0</v>
      </c>
      <c r="N777" s="17">
        <f>SUM(K777:L777)</f>
        <v>-0.1</v>
      </c>
      <c r="O777" s="17"/>
      <c r="P777" s="12"/>
      <c r="Q777" s="17">
        <f t="shared" si="43"/>
        <v>0</v>
      </c>
      <c r="R777" s="16" t="e">
        <f>ROUND(SUM(K777:M777)*(R776-1),2)</f>
        <v>#N/A</v>
      </c>
      <c r="S777" s="17">
        <f>ROUND($B777*S$724*S776,2)</f>
        <v>0</v>
      </c>
      <c r="T777" s="17">
        <f>ROUND($B777*T$724,2)</f>
        <v>0</v>
      </c>
      <c r="U777" s="17">
        <f>ROUND($B777*U$724,2)</f>
        <v>0</v>
      </c>
      <c r="V777" s="17">
        <f>ROUND($B777*V$718,2)</f>
        <v>0</v>
      </c>
      <c r="W777" s="17">
        <f>ROUND($B777*W$724,2)</f>
        <v>0</v>
      </c>
      <c r="X777" s="17">
        <f>ROUND($B777*X$724,2)</f>
        <v>-0.01</v>
      </c>
      <c r="Y777" s="17">
        <f>ROUND($B777*Y$724,2)</f>
        <v>0</v>
      </c>
      <c r="Z777" s="17">
        <f>ROUND($B777*Z$724,2)</f>
        <v>0</v>
      </c>
      <c r="AA777" s="17">
        <f>ROUND($B777*AA$724,2)</f>
        <v>0</v>
      </c>
      <c r="AB777" s="19">
        <f>SUM(U772:AA772)</f>
        <v>0</v>
      </c>
      <c r="AC777" s="67" t="str">
        <f>+F777</f>
        <v>PH0</v>
      </c>
    </row>
    <row r="778" spans="1:29" x14ac:dyDescent="0.2">
      <c r="A778" s="9"/>
      <c r="B778" s="103">
        <v>-1</v>
      </c>
      <c r="D778" s="8"/>
      <c r="E778" s="9"/>
      <c r="F778" s="36"/>
      <c r="H778" s="12"/>
      <c r="I778" s="19"/>
      <c r="J778" s="12"/>
      <c r="K778" s="43">
        <f>ROUND(C779*K$725,0)</f>
        <v>25000</v>
      </c>
      <c r="L778" s="35">
        <f>+B779-K778</f>
        <v>-25001</v>
      </c>
      <c r="M778" s="12"/>
      <c r="N778" s="12"/>
      <c r="O778" s="12"/>
      <c r="P778" s="17" t="e">
        <f>SUM(J779:M779,R779:AA779)</f>
        <v>#N/A</v>
      </c>
      <c r="Q778" s="17">
        <f t="shared" si="43"/>
        <v>0</v>
      </c>
      <c r="R778" s="38" t="e">
        <f>VLOOKUP((D779),'Pwr Factor'!$A$1:$B$52,2)</f>
        <v>#N/A</v>
      </c>
      <c r="S778" s="50">
        <v>1</v>
      </c>
      <c r="T778" s="12"/>
      <c r="U778" s="12"/>
      <c r="V778" s="12"/>
      <c r="W778" s="12"/>
      <c r="X778" s="12"/>
      <c r="Y778" s="12"/>
      <c r="Z778" s="12"/>
      <c r="AA778" s="12"/>
    </row>
    <row r="779" spans="1:29" x14ac:dyDescent="0.2">
      <c r="A779" s="1" t="s">
        <v>148</v>
      </c>
      <c r="B779" s="103">
        <f>IF(AND('AES Indiana Bill Calc.'!$D$17="PH",'AES Indiana Bill Calc.'!$D$18="Yes 100%",'AES Indiana Bill Calc.'!$D$20="Yes 2021"),'AES Indiana Bill Calc.'!$D$19,-1)</f>
        <v>-1</v>
      </c>
      <c r="C779" s="103">
        <f>MAX(E779,$C$725)</f>
        <v>100</v>
      </c>
      <c r="D779" s="103" t="b">
        <f>IF(AND('AES Indiana Bill Calc.'!$D$17="PH",'AES Indiana Bill Calc.'!$D$18="Yes 100%",'AES Indiana Bill Calc.'!$D$20="Yes 2021"),'AES Indiana Bill Calc.'!$D$22)</f>
        <v>0</v>
      </c>
      <c r="E779" s="103" t="b">
        <f>IF(AND('AES Indiana Bill Calc.'!$D$17="PH",'AES Indiana Bill Calc.'!$D$18="Yes 100%",'AES Indiana Bill Calc.'!$D$20="Yes 2021"),'AES Indiana Bill Calc.'!$D$21)</f>
        <v>0</v>
      </c>
      <c r="F779" s="36" t="s">
        <v>229</v>
      </c>
      <c r="G779" s="137" t="e">
        <f>MAX(I779,P778)</f>
        <v>#N/A</v>
      </c>
      <c r="H779" s="19" t="e">
        <f>IF(ISBLANK(B779),0,+#REF!/B779)</f>
        <v>#REF!</v>
      </c>
      <c r="I779" s="115">
        <f>(E779*120*$K$724)+$J$724</f>
        <v>1250</v>
      </c>
      <c r="J779" s="51">
        <f>IF(ISBLANK(B779),0,+J$724)</f>
        <v>1250</v>
      </c>
      <c r="K779" s="16">
        <f>IF($B779&gt;K778,ROUND(K778*K$724,2),ROUND($B779*K$724,2))</f>
        <v>-0.1</v>
      </c>
      <c r="L779" s="17">
        <f>IF($B779&gt;K778,ROUND((B779-K778)*L$724,2),0)</f>
        <v>0</v>
      </c>
      <c r="M779" s="17">
        <f>IF($C779&gt;L$611,ROUND(($C779-L$611)*M$610,2),0)</f>
        <v>0</v>
      </c>
      <c r="N779" s="17">
        <f>SUM(K779:L779)</f>
        <v>-0.1</v>
      </c>
      <c r="O779" s="17"/>
      <c r="P779" s="12"/>
      <c r="Q779" s="17">
        <f t="shared" si="43"/>
        <v>0</v>
      </c>
      <c r="R779" s="16" t="e">
        <f>ROUND(SUM(K779:M779)*(R778-1),2)</f>
        <v>#N/A</v>
      </c>
      <c r="S779" s="17">
        <f>ROUND($B779*S$724*S778,2)</f>
        <v>0</v>
      </c>
      <c r="T779" s="17">
        <f>ROUND($B779*T$724,2)</f>
        <v>0</v>
      </c>
      <c r="U779" s="17">
        <f>ROUND($B779*U$724,2)</f>
        <v>0</v>
      </c>
      <c r="V779" s="17">
        <f>ROUND($B779*V$719,2)</f>
        <v>0</v>
      </c>
      <c r="W779" s="17">
        <f>ROUND($B779*W$724,2)</f>
        <v>0</v>
      </c>
      <c r="X779" s="17">
        <f>ROUND($B779*X$724,2)</f>
        <v>-0.01</v>
      </c>
      <c r="Y779" s="17">
        <f>ROUND($B779*Y$724,2)</f>
        <v>0</v>
      </c>
      <c r="Z779" s="17">
        <f>ROUND($B779*Z$724,2)</f>
        <v>0</v>
      </c>
      <c r="AA779" s="17">
        <f>ROUND($B779*AA$724,2)</f>
        <v>0</v>
      </c>
      <c r="AB779" s="19">
        <f>SUM(U774:AA774)</f>
        <v>0</v>
      </c>
      <c r="AC779" s="67" t="str">
        <f>+F779</f>
        <v>PH1</v>
      </c>
    </row>
    <row r="780" spans="1:29" x14ac:dyDescent="0.2">
      <c r="A780" s="9"/>
      <c r="B780" s="103">
        <v>-1</v>
      </c>
      <c r="D780" s="8"/>
      <c r="E780" s="9"/>
      <c r="F780" s="36"/>
      <c r="H780" s="12"/>
      <c r="I780" s="19"/>
      <c r="J780" s="12"/>
      <c r="K780" s="43">
        <f>ROUND(C781*K$725,0)</f>
        <v>25000</v>
      </c>
      <c r="L780" s="35">
        <f>+B781-K780</f>
        <v>-25001</v>
      </c>
      <c r="M780" s="12"/>
      <c r="N780" s="12"/>
      <c r="O780" s="12"/>
      <c r="P780" s="17" t="e">
        <f>SUM(J781:M781,R781:AA781)</f>
        <v>#N/A</v>
      </c>
      <c r="Q780" s="17">
        <f t="shared" si="43"/>
        <v>0</v>
      </c>
      <c r="R780" s="38" t="e">
        <f>VLOOKUP((D781),'Pwr Factor'!$A$1:$B$52,2)</f>
        <v>#N/A</v>
      </c>
      <c r="S780" s="50">
        <v>0.5</v>
      </c>
      <c r="T780" s="12"/>
      <c r="U780" s="12"/>
      <c r="V780" s="12"/>
      <c r="W780" s="12"/>
      <c r="X780" s="12"/>
      <c r="Y780" s="12"/>
      <c r="Z780" s="12"/>
      <c r="AA780" s="12"/>
    </row>
    <row r="781" spans="1:29" x14ac:dyDescent="0.2">
      <c r="A781" s="1" t="s">
        <v>149</v>
      </c>
      <c r="B781" s="103">
        <f>IF(AND('AES Indiana Bill Calc.'!$D$17="PH",'AES Indiana Bill Calc.'!$D$18="Yes 50%",'AES Indiana Bill Calc.'!$D$20="Yes 2021"),'AES Indiana Bill Calc.'!$D$19,-1)</f>
        <v>-1</v>
      </c>
      <c r="C781" s="103">
        <f>MAX(E781,$C$725)</f>
        <v>100</v>
      </c>
      <c r="D781" s="103" t="b">
        <f>IF(AND('AES Indiana Bill Calc.'!$D$17="PH",'AES Indiana Bill Calc.'!$D$18="Yes 50%",'AES Indiana Bill Calc.'!$D$20="Yes 2021"),'AES Indiana Bill Calc.'!$D$22)</f>
        <v>0</v>
      </c>
      <c r="E781" s="103" t="b">
        <f>IF(AND('AES Indiana Bill Calc.'!$D$17="PH",'AES Indiana Bill Calc.'!$D$18="Yes 50%",'AES Indiana Bill Calc.'!$D$20="Yes 2021"),'AES Indiana Bill Calc.'!$D$21)</f>
        <v>0</v>
      </c>
      <c r="F781" s="36" t="s">
        <v>229</v>
      </c>
      <c r="G781" s="137" t="e">
        <f>MAX(I781,P780)</f>
        <v>#N/A</v>
      </c>
      <c r="H781" s="19" t="e">
        <f>IF(ISBLANK(B781),0,+#REF!/B781)</f>
        <v>#REF!</v>
      </c>
      <c r="I781" s="115">
        <f>(E781*120*$K$724)+$J$724</f>
        <v>1250</v>
      </c>
      <c r="J781" s="51">
        <f>IF(ISBLANK(B781),0,+J$724)</f>
        <v>1250</v>
      </c>
      <c r="K781" s="16">
        <f>IF($B781&gt;K780,ROUND(K780*K$724,2),ROUND($B781*K$724,2))</f>
        <v>-0.1</v>
      </c>
      <c r="L781" s="17">
        <f>IF($B781&gt;K780,ROUND((B781-K780)*L$724,2),0)</f>
        <v>0</v>
      </c>
      <c r="M781" s="17">
        <f>IF($C781&gt;L$611,ROUND(($C781-L$611)*M$610,2),0)</f>
        <v>0</v>
      </c>
      <c r="N781" s="17">
        <f>SUM(K781:L781)</f>
        <v>-0.1</v>
      </c>
      <c r="O781" s="17"/>
      <c r="P781" s="12"/>
      <c r="Q781" s="17">
        <f t="shared" si="43"/>
        <v>0</v>
      </c>
      <c r="R781" s="16" t="e">
        <f>ROUND(SUM(K781:M781)*(R780-1),2)</f>
        <v>#N/A</v>
      </c>
      <c r="S781" s="17">
        <f>ROUND($B781*S$724*S780,2)</f>
        <v>0</v>
      </c>
      <c r="T781" s="17">
        <f>ROUND($B781*T$724,2)</f>
        <v>0</v>
      </c>
      <c r="U781" s="17">
        <f>ROUND($B781*U$724,2)</f>
        <v>0</v>
      </c>
      <c r="V781" s="17">
        <f>ROUND($B781*V$719,2)</f>
        <v>0</v>
      </c>
      <c r="W781" s="17">
        <f>ROUND($B781*W$724,2)</f>
        <v>0</v>
      </c>
      <c r="X781" s="17">
        <f>ROUND($B781*X$724,2)</f>
        <v>-0.01</v>
      </c>
      <c r="Y781" s="17">
        <f>ROUND($B781*Y$724,2)</f>
        <v>0</v>
      </c>
      <c r="Z781" s="17">
        <f>ROUND($B781*Z$724,2)</f>
        <v>0</v>
      </c>
      <c r="AA781" s="17">
        <f>ROUND($B781*AA$724,2)</f>
        <v>0</v>
      </c>
      <c r="AB781" s="19">
        <f>SUM(U776:AA776)</f>
        <v>0</v>
      </c>
      <c r="AC781" s="67" t="str">
        <f>+F781</f>
        <v>PH1</v>
      </c>
    </row>
    <row r="782" spans="1:29" x14ac:dyDescent="0.2">
      <c r="A782" s="9"/>
      <c r="B782" s="103">
        <v>-1</v>
      </c>
      <c r="D782" s="8"/>
      <c r="E782" s="9"/>
      <c r="F782" s="36"/>
      <c r="H782" s="12"/>
      <c r="I782" s="19"/>
      <c r="J782" s="12"/>
      <c r="K782" s="43">
        <f>ROUND(C783*K$725,0)</f>
        <v>25000</v>
      </c>
      <c r="L782" s="35">
        <f>+B783-K782</f>
        <v>-25001</v>
      </c>
      <c r="M782" s="12"/>
      <c r="N782" s="12"/>
      <c r="O782" s="12"/>
      <c r="P782" s="17" t="e">
        <f>SUM(J783:M783,R783:AA783)</f>
        <v>#N/A</v>
      </c>
      <c r="Q782" s="17">
        <f t="shared" si="43"/>
        <v>0</v>
      </c>
      <c r="R782" s="38" t="e">
        <f>VLOOKUP((D783),'Pwr Factor'!$A$1:$B$52,2)</f>
        <v>#N/A</v>
      </c>
      <c r="S782" s="50">
        <v>0.25</v>
      </c>
      <c r="T782" s="12"/>
      <c r="U782" s="12"/>
      <c r="V782" s="12"/>
      <c r="W782" s="12"/>
      <c r="X782" s="12"/>
      <c r="Y782" s="12"/>
      <c r="Z782" s="12"/>
      <c r="AA782" s="12"/>
    </row>
    <row r="783" spans="1:29" x14ac:dyDescent="0.2">
      <c r="A783" s="1" t="s">
        <v>150</v>
      </c>
      <c r="B783" s="103">
        <f>IF(AND('AES Indiana Bill Calc.'!$D$17="PH",'AES Indiana Bill Calc.'!$D$18="Yes 25%",'AES Indiana Bill Calc.'!$D$20="Yes 2021"),'AES Indiana Bill Calc.'!$D$19,-1)</f>
        <v>-1</v>
      </c>
      <c r="C783" s="103">
        <f>MAX(E783,$C$725)</f>
        <v>100</v>
      </c>
      <c r="D783" s="103" t="b">
        <f>IF(AND('AES Indiana Bill Calc.'!$D$17="PH",'AES Indiana Bill Calc.'!$D$18="Yes 25%",'AES Indiana Bill Calc.'!$D$20="Yes 2021"),'AES Indiana Bill Calc.'!$D$22)</f>
        <v>0</v>
      </c>
      <c r="E783" s="103" t="b">
        <f>IF(AND('AES Indiana Bill Calc.'!$D$17="PH",'AES Indiana Bill Calc.'!$D$18="Yes 25%",'AES Indiana Bill Calc.'!$D$20="Yes 2021"),'AES Indiana Bill Calc.'!$D$21)</f>
        <v>0</v>
      </c>
      <c r="F783" s="36" t="s">
        <v>229</v>
      </c>
      <c r="G783" s="137" t="e">
        <f>MAX(I783,P782)</f>
        <v>#N/A</v>
      </c>
      <c r="H783" s="19" t="e">
        <f>IF(ISBLANK(B783),0,+#REF!/B783)</f>
        <v>#REF!</v>
      </c>
      <c r="I783" s="115">
        <f>(E783*120*$K$724)+$J$724</f>
        <v>1250</v>
      </c>
      <c r="J783" s="51">
        <f>IF(ISBLANK(B783),0,+J$724)</f>
        <v>1250</v>
      </c>
      <c r="K783" s="16">
        <f>IF($B783&gt;K782,ROUND(K782*K$724,2),ROUND($B783*K$724,2))</f>
        <v>-0.1</v>
      </c>
      <c r="L783" s="17">
        <f>IF($B783&gt;K782,ROUND((B783-K782)*L$724,2),0)</f>
        <v>0</v>
      </c>
      <c r="M783" s="17">
        <f>IF($C783&gt;L$611,ROUND(($C783-L$611)*M$610,2),0)</f>
        <v>0</v>
      </c>
      <c r="N783" s="17">
        <f>SUM(K783:L783)</f>
        <v>-0.1</v>
      </c>
      <c r="O783" s="17"/>
      <c r="P783" s="12"/>
      <c r="Q783" s="17">
        <f t="shared" si="43"/>
        <v>0</v>
      </c>
      <c r="R783" s="16" t="e">
        <f>ROUND(SUM(K783:M783)*(R782-1),2)</f>
        <v>#N/A</v>
      </c>
      <c r="S783" s="17">
        <f>ROUND($B783*S$724*S782,2)</f>
        <v>0</v>
      </c>
      <c r="T783" s="17">
        <f>ROUND($B783*T$724,2)</f>
        <v>0</v>
      </c>
      <c r="U783" s="17">
        <f>ROUND($B783*U$724,2)</f>
        <v>0</v>
      </c>
      <c r="V783" s="17">
        <f>ROUND($B783*V$719,2)</f>
        <v>0</v>
      </c>
      <c r="W783" s="17">
        <f>ROUND($B783*W$724,2)</f>
        <v>0</v>
      </c>
      <c r="X783" s="17">
        <f>ROUND($B783*X$724,2)</f>
        <v>-0.01</v>
      </c>
      <c r="Y783" s="17">
        <f>ROUND($B783*Y$724,2)</f>
        <v>0</v>
      </c>
      <c r="Z783" s="17">
        <f>ROUND($B783*Z$724,2)</f>
        <v>0</v>
      </c>
      <c r="AA783" s="17">
        <f>ROUND($B783*AA$724,2)</f>
        <v>0</v>
      </c>
      <c r="AB783" s="19">
        <f>SUM(U778:AA778)</f>
        <v>0</v>
      </c>
      <c r="AC783" s="67" t="str">
        <f>+F783</f>
        <v>PH1</v>
      </c>
    </row>
    <row r="784" spans="1:29" x14ac:dyDescent="0.2">
      <c r="A784" s="9"/>
      <c r="B784" s="103">
        <v>-1</v>
      </c>
      <c r="D784" s="8"/>
      <c r="E784" s="9"/>
      <c r="F784" s="36"/>
      <c r="H784" s="12"/>
      <c r="I784" s="19"/>
      <c r="J784" s="12"/>
      <c r="K784" s="43">
        <f>ROUND(C785*K$725,0)</f>
        <v>25000</v>
      </c>
      <c r="L784" s="35">
        <f>+B785-K784</f>
        <v>-25001</v>
      </c>
      <c r="M784" s="12"/>
      <c r="N784" s="12"/>
      <c r="O784" s="12"/>
      <c r="P784" s="17" t="e">
        <f>SUM(J785:M785,R785:AA785)</f>
        <v>#N/A</v>
      </c>
      <c r="Q784" s="17">
        <f t="shared" si="43"/>
        <v>0</v>
      </c>
      <c r="R784" s="38" t="e">
        <f>VLOOKUP((D785),'Pwr Factor'!$A$1:$B$52,2)</f>
        <v>#N/A</v>
      </c>
      <c r="S784" s="50">
        <v>0.1</v>
      </c>
      <c r="T784" s="12"/>
      <c r="U784" s="12"/>
      <c r="V784" s="12"/>
      <c r="W784" s="12"/>
      <c r="X784" s="12"/>
      <c r="Y784" s="12"/>
      <c r="Z784" s="12"/>
      <c r="AA784" s="12"/>
    </row>
    <row r="785" spans="1:29" x14ac:dyDescent="0.2">
      <c r="A785" s="1" t="s">
        <v>164</v>
      </c>
      <c r="B785" s="103">
        <f>IF(AND('AES Indiana Bill Calc.'!$D$17="PH",'AES Indiana Bill Calc.'!$D$18="Yes 10%",'AES Indiana Bill Calc.'!$D$20="Yes 2021"),'AES Indiana Bill Calc.'!$D$19,-1)</f>
        <v>-1</v>
      </c>
      <c r="C785" s="103">
        <f>MAX(E785,$C$725)</f>
        <v>100</v>
      </c>
      <c r="D785" s="103" t="b">
        <f>IF(AND('AES Indiana Bill Calc.'!$D$17="PH",'AES Indiana Bill Calc.'!$D$18="Yes 10%",'AES Indiana Bill Calc.'!$D$20="Yes 2021"),'AES Indiana Bill Calc.'!$D$22)</f>
        <v>0</v>
      </c>
      <c r="E785" s="103" t="b">
        <f>IF(AND('AES Indiana Bill Calc.'!$D$17="PH",'AES Indiana Bill Calc.'!$D$18="Yes 10%",'AES Indiana Bill Calc.'!$D$20="Yes 2021"),'AES Indiana Bill Calc.'!$D$21)</f>
        <v>0</v>
      </c>
      <c r="F785" s="36" t="s">
        <v>229</v>
      </c>
      <c r="G785" s="137" t="e">
        <f>MAX(I785,P784)</f>
        <v>#N/A</v>
      </c>
      <c r="H785" s="19" t="e">
        <f>IF(ISBLANK(B785),0,+#REF!/B785)</f>
        <v>#REF!</v>
      </c>
      <c r="I785" s="115">
        <f>(E785*120*$K$724)+$J$724</f>
        <v>1250</v>
      </c>
      <c r="J785" s="51">
        <f>IF(ISBLANK(B785),0,+J$724)</f>
        <v>1250</v>
      </c>
      <c r="K785" s="16">
        <f>IF($B785&gt;K784,ROUND(K784*K$724,2),ROUND($B785*K$724,2))</f>
        <v>-0.1</v>
      </c>
      <c r="L785" s="17">
        <f>IF($B785&gt;K784,ROUND((B785-K784)*L$724,2),0)</f>
        <v>0</v>
      </c>
      <c r="M785" s="17">
        <f>IF($C785&gt;L$611,ROUND(($C785-L$611)*M$610,2),0)</f>
        <v>0</v>
      </c>
      <c r="N785" s="17">
        <f>SUM(K785:L785)</f>
        <v>-0.1</v>
      </c>
      <c r="O785" s="17"/>
      <c r="P785" s="12"/>
      <c r="Q785" s="17">
        <f t="shared" si="43"/>
        <v>0</v>
      </c>
      <c r="R785" s="16" t="e">
        <f>ROUND(SUM(K785:M785)*(R784-1),2)</f>
        <v>#N/A</v>
      </c>
      <c r="S785" s="17">
        <f>ROUND($B785*S$724*S784,2)</f>
        <v>0</v>
      </c>
      <c r="T785" s="17">
        <f>ROUND($B785*T$724,2)</f>
        <v>0</v>
      </c>
      <c r="U785" s="17">
        <f>ROUND($B785*U$724,2)</f>
        <v>0</v>
      </c>
      <c r="V785" s="17">
        <f>ROUND($B785*V$719,2)</f>
        <v>0</v>
      </c>
      <c r="W785" s="17">
        <f>ROUND($B785*W$724,2)</f>
        <v>0</v>
      </c>
      <c r="X785" s="17">
        <f>ROUND($B785*X$724,2)</f>
        <v>-0.01</v>
      </c>
      <c r="Y785" s="17">
        <f>ROUND($B785*Y$724,2)</f>
        <v>0</v>
      </c>
      <c r="Z785" s="17">
        <f>ROUND($B785*Z$724,2)</f>
        <v>0</v>
      </c>
      <c r="AA785" s="17">
        <f>ROUND($B785*AA$724,2)</f>
        <v>0</v>
      </c>
      <c r="AB785" s="19">
        <f>SUM(U780:AA780)</f>
        <v>0</v>
      </c>
      <c r="AC785" s="67" t="str">
        <f>+F785</f>
        <v>PH1</v>
      </c>
    </row>
    <row r="786" spans="1:29" x14ac:dyDescent="0.2">
      <c r="A786" s="9"/>
      <c r="B786" s="103">
        <v>-1</v>
      </c>
      <c r="D786" s="8"/>
      <c r="E786" s="9"/>
      <c r="F786" s="36"/>
      <c r="H786" s="12"/>
      <c r="I786" s="19"/>
      <c r="J786" s="12"/>
      <c r="K786" s="43">
        <f>ROUND(C787*K$725,0)</f>
        <v>25000</v>
      </c>
      <c r="L786" s="35">
        <f>+B787-K786</f>
        <v>-25001</v>
      </c>
      <c r="M786" s="12"/>
      <c r="N786" s="12"/>
      <c r="O786" s="12"/>
      <c r="P786" s="17" t="e">
        <f>SUM(J787:M787,R787:AA787)</f>
        <v>#N/A</v>
      </c>
      <c r="Q786" s="17">
        <f t="shared" si="43"/>
        <v>0</v>
      </c>
      <c r="R786" s="38" t="e">
        <f>VLOOKUP((D787),'Pwr Factor'!$A$1:$B$52,2)</f>
        <v>#N/A</v>
      </c>
      <c r="S786" s="50">
        <v>0</v>
      </c>
      <c r="T786" s="12"/>
      <c r="U786" s="12"/>
      <c r="V786" s="12"/>
      <c r="W786" s="12"/>
      <c r="X786" s="12"/>
      <c r="Y786" s="12"/>
      <c r="Z786" s="12"/>
      <c r="AA786" s="12"/>
    </row>
    <row r="787" spans="1:29" x14ac:dyDescent="0.2">
      <c r="A787" s="1" t="s">
        <v>147</v>
      </c>
      <c r="B787" s="103">
        <f>IF(AND('AES Indiana Bill Calc.'!$D$17="PH",'AES Indiana Bill Calc.'!$D$18="No",'AES Indiana Bill Calc.'!$D$20="Yes 2021"),'AES Indiana Bill Calc.'!$D$19,-1)</f>
        <v>-1</v>
      </c>
      <c r="C787" s="103">
        <f>MAX(E787,$C$725)</f>
        <v>100</v>
      </c>
      <c r="D787" s="103" t="b">
        <f>IF(AND('AES Indiana Bill Calc.'!$D$17="PH",'AES Indiana Bill Calc.'!$D$18="No",'AES Indiana Bill Calc.'!$D$20="Yes 2021"),'AES Indiana Bill Calc.'!$D$22)</f>
        <v>0</v>
      </c>
      <c r="E787" s="103" t="b">
        <f>IF(AND('AES Indiana Bill Calc.'!$D$17="PH",'AES Indiana Bill Calc.'!$D$18="No",'AES Indiana Bill Calc.'!$D$20="Yes 2021"),'AES Indiana Bill Calc.'!$D$21)</f>
        <v>0</v>
      </c>
      <c r="F787" s="36" t="s">
        <v>229</v>
      </c>
      <c r="G787" s="137" t="e">
        <f>MAX(I787,P786)</f>
        <v>#N/A</v>
      </c>
      <c r="H787" s="19" t="e">
        <f>IF(ISBLANK(B787),0,+#REF!/B787)</f>
        <v>#REF!</v>
      </c>
      <c r="I787" s="115">
        <f>(E787*120*$K$724)+$J$724</f>
        <v>1250</v>
      </c>
      <c r="J787" s="51">
        <f>IF(ISBLANK(B787),0,+J$724)</f>
        <v>1250</v>
      </c>
      <c r="K787" s="16">
        <f>IF($B787&gt;K786,ROUND(K786*K$724,2),ROUND($B787*K$724,2))</f>
        <v>-0.1</v>
      </c>
      <c r="L787" s="17">
        <f>IF($B787&gt;K786,ROUND((B787-K786)*L$724,2),0)</f>
        <v>0</v>
      </c>
      <c r="M787" s="17">
        <f>IF($C787&gt;L$611,ROUND(($C787-L$611)*M$610,2),0)</f>
        <v>0</v>
      </c>
      <c r="N787" s="17">
        <f>SUM(K787:L787)</f>
        <v>-0.1</v>
      </c>
      <c r="O787" s="17"/>
      <c r="P787" s="12"/>
      <c r="Q787" s="17">
        <f t="shared" si="43"/>
        <v>0</v>
      </c>
      <c r="R787" s="16" t="e">
        <f>ROUND(SUM(K787:M787)*(R786-1),2)</f>
        <v>#N/A</v>
      </c>
      <c r="S787" s="17">
        <f>ROUND($B787*S$724*S786,2)</f>
        <v>0</v>
      </c>
      <c r="T787" s="17">
        <f>ROUND($B787*T$724,2)</f>
        <v>0</v>
      </c>
      <c r="U787" s="17">
        <f>ROUND($B787*U$724,2)</f>
        <v>0</v>
      </c>
      <c r="V787" s="17">
        <f>ROUND($B787*V$719,2)</f>
        <v>0</v>
      </c>
      <c r="W787" s="17">
        <f>ROUND($B787*W$724,2)</f>
        <v>0</v>
      </c>
      <c r="X787" s="17">
        <f>ROUND($B787*X$724,2)</f>
        <v>-0.01</v>
      </c>
      <c r="Y787" s="17">
        <f>ROUND($B787*Y$724,2)</f>
        <v>0</v>
      </c>
      <c r="Z787" s="17">
        <f>ROUND($B787*Z$724,2)</f>
        <v>0</v>
      </c>
      <c r="AA787" s="17">
        <f>ROUND($B787*AA$724,2)</f>
        <v>0</v>
      </c>
      <c r="AB787" s="19">
        <f>SUM(U782:AA782)</f>
        <v>0</v>
      </c>
      <c r="AC787" s="67" t="str">
        <f>+F787</f>
        <v>PH1</v>
      </c>
    </row>
    <row r="788" spans="1:29" x14ac:dyDescent="0.2">
      <c r="A788" s="9"/>
      <c r="B788" s="103">
        <v>-1</v>
      </c>
      <c r="D788" s="8"/>
      <c r="E788" s="9"/>
      <c r="F788" s="36"/>
      <c r="H788" s="12"/>
      <c r="I788" s="19"/>
      <c r="J788" s="12"/>
      <c r="K788" s="43">
        <f>ROUND(C789*K$725,0)</f>
        <v>25000</v>
      </c>
      <c r="L788" s="35">
        <f>+B789-K788</f>
        <v>-25001</v>
      </c>
      <c r="M788" s="12"/>
      <c r="N788" s="12"/>
      <c r="O788" s="12"/>
      <c r="P788" s="17" t="e">
        <f>SUM(J789:M789,R789:AA789)</f>
        <v>#N/A</v>
      </c>
      <c r="Q788" s="17">
        <f t="shared" si="43"/>
        <v>0</v>
      </c>
      <c r="R788" s="38" t="e">
        <f>VLOOKUP((D789),'Pwr Factor'!$A$1:$B$52,2)</f>
        <v>#N/A</v>
      </c>
      <c r="S788" s="50">
        <v>1</v>
      </c>
      <c r="T788" s="12"/>
      <c r="U788" s="12"/>
      <c r="V788" s="12"/>
      <c r="W788" s="12"/>
      <c r="X788" s="12"/>
      <c r="Y788" s="12"/>
      <c r="Z788" s="12"/>
      <c r="AA788" s="12"/>
    </row>
    <row r="789" spans="1:29" x14ac:dyDescent="0.2">
      <c r="A789" s="1" t="s">
        <v>148</v>
      </c>
      <c r="B789" s="103">
        <f>IF(AND('AES Indiana Bill Calc.'!$D$17="PH",'AES Indiana Bill Calc.'!$D$18="Yes 100%",'AES Indiana Bill Calc.'!$D$20="Yes 2022"),'AES Indiana Bill Calc.'!$D$19,-1)</f>
        <v>-1</v>
      </c>
      <c r="C789" s="103">
        <f>MAX(E789,$C$725)</f>
        <v>100</v>
      </c>
      <c r="D789" s="103" t="b">
        <f>IF(AND('AES Indiana Bill Calc.'!$D$17="PH",'AES Indiana Bill Calc.'!$D$18="Yes 100%",'AES Indiana Bill Calc.'!$D$20="Yes 2022"),'AES Indiana Bill Calc.'!$D$22)</f>
        <v>0</v>
      </c>
      <c r="E789" s="103" t="b">
        <f>IF(AND('AES Indiana Bill Calc.'!$D$17="PH",'AES Indiana Bill Calc.'!$D$18="Yes 100%",'AES Indiana Bill Calc.'!$D$20="Yes 2022"),'AES Indiana Bill Calc.'!$D$21)</f>
        <v>0</v>
      </c>
      <c r="F789" s="36" t="s">
        <v>230</v>
      </c>
      <c r="G789" s="137" t="e">
        <f>MAX(I789,P788)</f>
        <v>#N/A</v>
      </c>
      <c r="H789" s="19" t="e">
        <f>IF(ISBLANK(B789),0,+#REF!/B789)</f>
        <v>#REF!</v>
      </c>
      <c r="I789" s="115">
        <f>(E789*120*$K$724)+$J$724</f>
        <v>1250</v>
      </c>
      <c r="J789" s="51">
        <f>IF(ISBLANK(B789),0,+J$724)</f>
        <v>1250</v>
      </c>
      <c r="K789" s="16">
        <f>IF($B789&gt;K788,ROUND(K788*K$724,2),ROUND($B789*K$724,2))</f>
        <v>-0.1</v>
      </c>
      <c r="L789" s="17">
        <f>IF($B789&gt;K788,ROUND((B789-K788)*L$724,2),0)</f>
        <v>0</v>
      </c>
      <c r="M789" s="17">
        <f>IF($C789&gt;L$611,ROUND(($C789-L$611)*M$610,2),0)</f>
        <v>0</v>
      </c>
      <c r="N789" s="17">
        <f>SUM(K789:L789)</f>
        <v>-0.1</v>
      </c>
      <c r="O789" s="17"/>
      <c r="P789" s="12"/>
      <c r="Q789" s="17">
        <f t="shared" si="43"/>
        <v>0</v>
      </c>
      <c r="R789" s="16" t="e">
        <f>ROUND(SUM(K789:M789)*(R788-1),2)</f>
        <v>#N/A</v>
      </c>
      <c r="S789" s="17">
        <f>ROUND($B789*S$724*S788,2)</f>
        <v>0</v>
      </c>
      <c r="T789" s="17">
        <f>ROUND($B789*T$724,2)</f>
        <v>0</v>
      </c>
      <c r="U789" s="17">
        <f>ROUND($B789*U$724,2)</f>
        <v>0</v>
      </c>
      <c r="V789" s="17">
        <f>ROUND($B789*V$720,2)</f>
        <v>0</v>
      </c>
      <c r="W789" s="17">
        <f>ROUND($B789*W$724,2)</f>
        <v>0</v>
      </c>
      <c r="X789" s="17">
        <f>ROUND($B789*X$724,2)</f>
        <v>-0.01</v>
      </c>
      <c r="Y789" s="17">
        <f>ROUND($B789*Y$724,2)</f>
        <v>0</v>
      </c>
      <c r="Z789" s="17">
        <f>ROUND($B789*Z$724,2)</f>
        <v>0</v>
      </c>
      <c r="AA789" s="17">
        <f>ROUND($B789*AA$724,2)</f>
        <v>0</v>
      </c>
      <c r="AB789" s="19">
        <f>SUM(U784:AA784)</f>
        <v>0</v>
      </c>
      <c r="AC789" s="67" t="str">
        <f>+F789</f>
        <v>PH2</v>
      </c>
    </row>
    <row r="790" spans="1:29" x14ac:dyDescent="0.2">
      <c r="A790" s="9"/>
      <c r="B790" s="103">
        <v>-1</v>
      </c>
      <c r="D790" s="8"/>
      <c r="E790" s="9"/>
      <c r="F790" s="36"/>
      <c r="H790" s="12"/>
      <c r="I790" s="19"/>
      <c r="J790" s="12"/>
      <c r="K790" s="43">
        <f>ROUND(C791*K$725,0)</f>
        <v>25000</v>
      </c>
      <c r="L790" s="35">
        <f>+B791-K790</f>
        <v>-25001</v>
      </c>
      <c r="M790" s="12"/>
      <c r="N790" s="12"/>
      <c r="O790" s="12"/>
      <c r="P790" s="17" t="e">
        <f>SUM(J791:M791,R791:AA791)</f>
        <v>#N/A</v>
      </c>
      <c r="Q790" s="17">
        <f t="shared" si="43"/>
        <v>0</v>
      </c>
      <c r="R790" s="38" t="e">
        <f>VLOOKUP((D791),'Pwr Factor'!$A$1:$B$52,2)</f>
        <v>#N/A</v>
      </c>
      <c r="S790" s="50">
        <v>0.5</v>
      </c>
      <c r="T790" s="12"/>
      <c r="U790" s="12"/>
      <c r="V790" s="12"/>
      <c r="W790" s="12"/>
      <c r="X790" s="12"/>
      <c r="Y790" s="12"/>
      <c r="Z790" s="12"/>
      <c r="AA790" s="12"/>
    </row>
    <row r="791" spans="1:29" x14ac:dyDescent="0.2">
      <c r="A791" s="1" t="s">
        <v>149</v>
      </c>
      <c r="B791" s="103">
        <f>IF(AND('AES Indiana Bill Calc.'!$D$17="PH",'AES Indiana Bill Calc.'!$D$18="Yes 50%",'AES Indiana Bill Calc.'!$D$20="Yes 2022"),'AES Indiana Bill Calc.'!$D$19,-1)</f>
        <v>-1</v>
      </c>
      <c r="C791" s="103">
        <f>MAX(E791,$C$725)</f>
        <v>100</v>
      </c>
      <c r="D791" s="103" t="b">
        <f>IF(AND('AES Indiana Bill Calc.'!$D$17="PH",'AES Indiana Bill Calc.'!$D$18="Yes 50%",'AES Indiana Bill Calc.'!$D$20="Yes 2022"),'AES Indiana Bill Calc.'!$D$22)</f>
        <v>0</v>
      </c>
      <c r="E791" s="103" t="b">
        <f>IF(AND('AES Indiana Bill Calc.'!$D$17="PH",'AES Indiana Bill Calc.'!$D$18="Yes 50%",'AES Indiana Bill Calc.'!$D$20="Yes 2022"),'AES Indiana Bill Calc.'!$D$21)</f>
        <v>0</v>
      </c>
      <c r="F791" s="36" t="s">
        <v>230</v>
      </c>
      <c r="G791" s="137" t="e">
        <f>MAX(I791,P790)</f>
        <v>#N/A</v>
      </c>
      <c r="H791" s="19" t="e">
        <f>IF(ISBLANK(B791),0,+#REF!/B791)</f>
        <v>#REF!</v>
      </c>
      <c r="I791" s="115">
        <f>(E791*120*$K$724)+$J$724</f>
        <v>1250</v>
      </c>
      <c r="J791" s="51">
        <f>IF(ISBLANK(B791),0,+J$724)</f>
        <v>1250</v>
      </c>
      <c r="K791" s="16">
        <f>IF($B791&gt;K790,ROUND(K790*K$724,2),ROUND($B791*K$724,2))</f>
        <v>-0.1</v>
      </c>
      <c r="L791" s="17">
        <f>IF($B791&gt;K790,ROUND((B791-K790)*L$724,2),0)</f>
        <v>0</v>
      </c>
      <c r="M791" s="17">
        <f>IF($C791&gt;L$611,ROUND(($C791-L$611)*M$610,2),0)</f>
        <v>0</v>
      </c>
      <c r="N791" s="17">
        <f>SUM(K791:L791)</f>
        <v>-0.1</v>
      </c>
      <c r="O791" s="17"/>
      <c r="P791" s="12"/>
      <c r="Q791" s="17">
        <f t="shared" si="43"/>
        <v>0</v>
      </c>
      <c r="R791" s="16" t="e">
        <f>ROUND(SUM(K791:M791)*(R790-1),2)</f>
        <v>#N/A</v>
      </c>
      <c r="S791" s="17">
        <f>ROUND($B791*S$724*S790,2)</f>
        <v>0</v>
      </c>
      <c r="T791" s="17">
        <f>ROUND($B791*T$724,2)</f>
        <v>0</v>
      </c>
      <c r="U791" s="17">
        <f>ROUND($B791*U$724,2)</f>
        <v>0</v>
      </c>
      <c r="V791" s="17">
        <f>ROUND($B791*V$720,2)</f>
        <v>0</v>
      </c>
      <c r="W791" s="17">
        <f>ROUND($B791*W$724,2)</f>
        <v>0</v>
      </c>
      <c r="X791" s="17">
        <f>ROUND($B791*X$724,2)</f>
        <v>-0.01</v>
      </c>
      <c r="Y791" s="17">
        <f>ROUND($B791*Y$724,2)</f>
        <v>0</v>
      </c>
      <c r="Z791" s="17">
        <f>ROUND($B791*Z$724,2)</f>
        <v>0</v>
      </c>
      <c r="AA791" s="17">
        <f>ROUND($B791*AA$724,2)</f>
        <v>0</v>
      </c>
      <c r="AB791" s="19">
        <f>SUM(U786:AA786)</f>
        <v>0</v>
      </c>
      <c r="AC791" s="67" t="str">
        <f>+F791</f>
        <v>PH2</v>
      </c>
    </row>
    <row r="792" spans="1:29" x14ac:dyDescent="0.2">
      <c r="A792" s="9"/>
      <c r="B792" s="103">
        <v>-1</v>
      </c>
      <c r="D792" s="8"/>
      <c r="E792" s="9"/>
      <c r="F792" s="36"/>
      <c r="H792" s="12"/>
      <c r="I792" s="19"/>
      <c r="J792" s="12"/>
      <c r="K792" s="43">
        <f>ROUND(C793*K$725,0)</f>
        <v>25000</v>
      </c>
      <c r="L792" s="35">
        <f>+B793-K792</f>
        <v>-25001</v>
      </c>
      <c r="M792" s="12"/>
      <c r="N792" s="12"/>
      <c r="O792" s="12"/>
      <c r="P792" s="17" t="e">
        <f>SUM(J793:M793,R793:AA793)</f>
        <v>#N/A</v>
      </c>
      <c r="Q792" s="17">
        <f t="shared" si="43"/>
        <v>0</v>
      </c>
      <c r="R792" s="38" t="e">
        <f>VLOOKUP((D793),'Pwr Factor'!$A$1:$B$52,2)</f>
        <v>#N/A</v>
      </c>
      <c r="S792" s="50">
        <v>0.25</v>
      </c>
      <c r="T792" s="12"/>
      <c r="U792" s="12"/>
      <c r="V792" s="12"/>
      <c r="W792" s="12"/>
      <c r="X792" s="12"/>
      <c r="Y792" s="12"/>
      <c r="Z792" s="12"/>
      <c r="AA792" s="12"/>
    </row>
    <row r="793" spans="1:29" x14ac:dyDescent="0.2">
      <c r="A793" s="1" t="s">
        <v>150</v>
      </c>
      <c r="B793" s="103">
        <f>IF(AND('AES Indiana Bill Calc.'!$D$17="PH",'AES Indiana Bill Calc.'!$D$18="Yes 25%",'AES Indiana Bill Calc.'!$D$20="Yes 2022"),'AES Indiana Bill Calc.'!$D$19,-1)</f>
        <v>-1</v>
      </c>
      <c r="C793" s="103">
        <f>MAX(E793,$C$725)</f>
        <v>100</v>
      </c>
      <c r="D793" s="103" t="b">
        <f>IF(AND('AES Indiana Bill Calc.'!$D$17="PH",'AES Indiana Bill Calc.'!$D$18="Yes 25%",'AES Indiana Bill Calc.'!$D$20="Yes 2022"),'AES Indiana Bill Calc.'!$D$22)</f>
        <v>0</v>
      </c>
      <c r="E793" s="103" t="b">
        <f>IF(AND('AES Indiana Bill Calc.'!$D$17="PH",'AES Indiana Bill Calc.'!$D$18="Yes 25%",'AES Indiana Bill Calc.'!$D$20="Yes 2022"),'AES Indiana Bill Calc.'!$D$21)</f>
        <v>0</v>
      </c>
      <c r="F793" s="36" t="s">
        <v>230</v>
      </c>
      <c r="G793" s="137" t="e">
        <f>MAX(I793,P792)</f>
        <v>#N/A</v>
      </c>
      <c r="H793" s="19" t="e">
        <f>IF(ISBLANK(B793),0,+#REF!/B793)</f>
        <v>#REF!</v>
      </c>
      <c r="I793" s="115">
        <f>(E793*120*$K$724)+$J$724</f>
        <v>1250</v>
      </c>
      <c r="J793" s="51">
        <f>IF(ISBLANK(B793),0,+J$724)</f>
        <v>1250</v>
      </c>
      <c r="K793" s="16">
        <f>IF($B793&gt;K792,ROUND(K792*K$724,2),ROUND($B793*K$724,2))</f>
        <v>-0.1</v>
      </c>
      <c r="L793" s="17">
        <f>IF($B793&gt;K792,ROUND((B793-K792)*L$724,2),0)</f>
        <v>0</v>
      </c>
      <c r="M793" s="17">
        <f>IF($C793&gt;L$611,ROUND(($C793-L$611)*M$610,2),0)</f>
        <v>0</v>
      </c>
      <c r="N793" s="17">
        <f>SUM(K793:L793)</f>
        <v>-0.1</v>
      </c>
      <c r="O793" s="17"/>
      <c r="P793" s="12"/>
      <c r="Q793" s="17">
        <f t="shared" si="43"/>
        <v>0</v>
      </c>
      <c r="R793" s="16" t="e">
        <f>ROUND(SUM(K793:M793)*(R792-1),2)</f>
        <v>#N/A</v>
      </c>
      <c r="S793" s="17">
        <f>ROUND($B793*S$724*S792,2)</f>
        <v>0</v>
      </c>
      <c r="T793" s="17">
        <f>ROUND($B793*T$724,2)</f>
        <v>0</v>
      </c>
      <c r="U793" s="17">
        <f>ROUND($B793*U$724,2)</f>
        <v>0</v>
      </c>
      <c r="V793" s="17">
        <f>ROUND($B793*V$720,2)</f>
        <v>0</v>
      </c>
      <c r="W793" s="17">
        <f>ROUND($B793*W$724,2)</f>
        <v>0</v>
      </c>
      <c r="X793" s="17">
        <f>ROUND($B793*X$724,2)</f>
        <v>-0.01</v>
      </c>
      <c r="Y793" s="17">
        <f>ROUND($B793*Y$724,2)</f>
        <v>0</v>
      </c>
      <c r="Z793" s="17">
        <f>ROUND($B793*Z$724,2)</f>
        <v>0</v>
      </c>
      <c r="AA793" s="17">
        <f>ROUND($B793*AA$724,2)</f>
        <v>0</v>
      </c>
      <c r="AB793" s="19">
        <f>SUM(U788:AA788)</f>
        <v>0</v>
      </c>
      <c r="AC793" s="67" t="str">
        <f>+F793</f>
        <v>PH2</v>
      </c>
    </row>
    <row r="794" spans="1:29" x14ac:dyDescent="0.2">
      <c r="A794" s="9"/>
      <c r="B794" s="103">
        <v>-1</v>
      </c>
      <c r="D794" s="8"/>
      <c r="E794" s="9"/>
      <c r="F794" s="36"/>
      <c r="H794" s="12"/>
      <c r="I794" s="19"/>
      <c r="J794" s="12"/>
      <c r="K794" s="43">
        <f>ROUND(C795*K$725,0)</f>
        <v>25000</v>
      </c>
      <c r="L794" s="35">
        <f>+B795-K794</f>
        <v>-25001</v>
      </c>
      <c r="M794" s="12"/>
      <c r="N794" s="12"/>
      <c r="O794" s="12"/>
      <c r="P794" s="17" t="e">
        <f>SUM(J795:M795,R795:AA795)</f>
        <v>#N/A</v>
      </c>
      <c r="Q794" s="17">
        <f>M794</f>
        <v>0</v>
      </c>
      <c r="R794" s="38" t="e">
        <f>VLOOKUP((D795),'Pwr Factor'!$A$1:$B$52,2)</f>
        <v>#N/A</v>
      </c>
      <c r="S794" s="50">
        <v>0.1</v>
      </c>
      <c r="T794" s="12"/>
      <c r="U794" s="12"/>
      <c r="V794" s="12"/>
      <c r="W794" s="12"/>
      <c r="X794" s="12"/>
      <c r="Y794" s="12"/>
      <c r="Z794" s="12"/>
      <c r="AA794" s="12"/>
    </row>
    <row r="795" spans="1:29" x14ac:dyDescent="0.2">
      <c r="A795" s="1" t="s">
        <v>164</v>
      </c>
      <c r="B795" s="103">
        <f>IF(AND('AES Indiana Bill Calc.'!$D$17="PH",'AES Indiana Bill Calc.'!$D$18="Yes 10%",'AES Indiana Bill Calc.'!$D$20="Yes 2022"),'AES Indiana Bill Calc.'!$D$19,-1)</f>
        <v>-1</v>
      </c>
      <c r="C795" s="103">
        <f>MAX(E795,$C$725)</f>
        <v>100</v>
      </c>
      <c r="D795" s="103" t="b">
        <f>IF(AND('AES Indiana Bill Calc.'!$D$17="PH",'AES Indiana Bill Calc.'!$D$18="Yes 10%",'AES Indiana Bill Calc.'!$D$20="Yes 2022"),'AES Indiana Bill Calc.'!$D$22)</f>
        <v>0</v>
      </c>
      <c r="E795" s="103" t="b">
        <f>IF(AND('AES Indiana Bill Calc.'!$D$17="PH",'AES Indiana Bill Calc.'!$D$18="Yes 10%",'AES Indiana Bill Calc.'!$D$20="Yes 2022"),'AES Indiana Bill Calc.'!$D$21)</f>
        <v>0</v>
      </c>
      <c r="F795" s="36" t="s">
        <v>230</v>
      </c>
      <c r="G795" s="137" t="e">
        <f>MAX(I795,P794)</f>
        <v>#N/A</v>
      </c>
      <c r="H795" s="19" t="e">
        <f>IF(ISBLANK(B795),0,+#REF!/B795)</f>
        <v>#REF!</v>
      </c>
      <c r="I795" s="115">
        <f>(E795*120*$K$724)+$J$724</f>
        <v>1250</v>
      </c>
      <c r="J795" s="51">
        <f>IF(ISBLANK(B795),0,+J$724)</f>
        <v>1250</v>
      </c>
      <c r="K795" s="16">
        <f>IF($B795&gt;K794,ROUND(K794*K$724,2),ROUND($B795*K$724,2))</f>
        <v>-0.1</v>
      </c>
      <c r="L795" s="17">
        <f>IF($B795&gt;K794,ROUND((B795-K794)*L$724,2),0)</f>
        <v>0</v>
      </c>
      <c r="M795" s="17">
        <f>IF($C795&gt;L$611,ROUND(($C795-L$611)*M$610,2),0)</f>
        <v>0</v>
      </c>
      <c r="N795" s="17">
        <f>SUM(K795:L795)</f>
        <v>-0.1</v>
      </c>
      <c r="O795" s="17"/>
      <c r="P795" s="12"/>
      <c r="Q795" s="17">
        <f>M795</f>
        <v>0</v>
      </c>
      <c r="R795" s="16" t="e">
        <f>ROUND(SUM(K795:M795)*(R794-1),2)</f>
        <v>#N/A</v>
      </c>
      <c r="S795" s="17">
        <f>ROUND($B795*S$724*S794,2)</f>
        <v>0</v>
      </c>
      <c r="T795" s="17">
        <f>ROUND($B795*T$724,2)</f>
        <v>0</v>
      </c>
      <c r="U795" s="17">
        <f>ROUND($B795*U$724,2)</f>
        <v>0</v>
      </c>
      <c r="V795" s="17">
        <f>ROUND($B795*V$720,2)</f>
        <v>0</v>
      </c>
      <c r="W795" s="17">
        <f>ROUND($B795*W$724,2)</f>
        <v>0</v>
      </c>
      <c r="X795" s="17">
        <f>ROUND($B795*X$724,2)</f>
        <v>-0.01</v>
      </c>
      <c r="Y795" s="17">
        <f>ROUND($B795*Y$724,2)</f>
        <v>0</v>
      </c>
      <c r="Z795" s="17">
        <f>ROUND($B795*Z$724,2)</f>
        <v>0</v>
      </c>
      <c r="AA795" s="17">
        <f>ROUND($B795*AA$724,2)</f>
        <v>0</v>
      </c>
      <c r="AB795" s="19">
        <f>SUM(U790:AA790)</f>
        <v>0</v>
      </c>
      <c r="AC795" s="67" t="str">
        <f>+F795</f>
        <v>PH2</v>
      </c>
    </row>
    <row r="796" spans="1:29" x14ac:dyDescent="0.2">
      <c r="A796" s="9"/>
      <c r="B796" s="103">
        <v>-1</v>
      </c>
      <c r="D796" s="8"/>
      <c r="E796" s="9"/>
      <c r="F796" s="36"/>
      <c r="H796" s="12"/>
      <c r="I796" s="19"/>
      <c r="J796" s="12"/>
      <c r="K796" s="43">
        <f>ROUND(C797*K$725,0)</f>
        <v>25000</v>
      </c>
      <c r="L796" s="35">
        <f>+B797-K796</f>
        <v>-25001</v>
      </c>
      <c r="M796" s="12"/>
      <c r="N796" s="12"/>
      <c r="O796" s="12"/>
      <c r="P796" s="17" t="e">
        <f>SUM(J797:M797,R797:AA797)</f>
        <v>#N/A</v>
      </c>
      <c r="Q796" s="17">
        <f>M796</f>
        <v>0</v>
      </c>
      <c r="R796" s="38" t="e">
        <f>VLOOKUP((D797),'Pwr Factor'!$A$1:$B$52,2)</f>
        <v>#N/A</v>
      </c>
      <c r="S796" s="50">
        <v>0</v>
      </c>
      <c r="T796" s="12"/>
      <c r="U796" s="12"/>
      <c r="V796" s="12"/>
      <c r="W796" s="12"/>
      <c r="X796" s="12"/>
      <c r="Y796" s="12"/>
      <c r="Z796" s="12"/>
      <c r="AA796" s="12"/>
    </row>
    <row r="797" spans="1:29" x14ac:dyDescent="0.2">
      <c r="A797" s="1" t="s">
        <v>147</v>
      </c>
      <c r="B797" s="103">
        <f>IF(AND('AES Indiana Bill Calc.'!$D$17="PH",'AES Indiana Bill Calc.'!$D$18="No",'AES Indiana Bill Calc.'!$D$20="Yes 2022"),'AES Indiana Bill Calc.'!$D$19,-1)</f>
        <v>-1</v>
      </c>
      <c r="C797" s="103">
        <f>MAX(E797,$C$725)</f>
        <v>100</v>
      </c>
      <c r="D797" s="103" t="b">
        <f>IF(AND('AES Indiana Bill Calc.'!$D$17="PH",'AES Indiana Bill Calc.'!$D$18="No",'AES Indiana Bill Calc.'!$D$20="Yes 2022"),'AES Indiana Bill Calc.'!$D$22)</f>
        <v>0</v>
      </c>
      <c r="E797" s="103" t="b">
        <f>IF(AND('AES Indiana Bill Calc.'!$D$17="PH",'AES Indiana Bill Calc.'!$D$18="No",'AES Indiana Bill Calc.'!$D$20="Yes 2022"),'AES Indiana Bill Calc.'!$D$21)</f>
        <v>0</v>
      </c>
      <c r="F797" s="36" t="s">
        <v>230</v>
      </c>
      <c r="G797" s="137" t="e">
        <f>MAX(I797,P796)</f>
        <v>#N/A</v>
      </c>
      <c r="H797" s="19" t="e">
        <f>IF(ISBLANK(B797),0,+#REF!/B797)</f>
        <v>#REF!</v>
      </c>
      <c r="I797" s="115">
        <f>(E797*120*$K$724)+$J$724</f>
        <v>1250</v>
      </c>
      <c r="J797" s="51">
        <f>IF(ISBLANK(B797),0,+J$724)</f>
        <v>1250</v>
      </c>
      <c r="K797" s="16">
        <f>IF($B797&gt;K796,ROUND(K796*K$724,2),ROUND($B797*K$724,2))</f>
        <v>-0.1</v>
      </c>
      <c r="L797" s="17">
        <f>IF($B797&gt;K796,ROUND((B797-K796)*L$724,2),0)</f>
        <v>0</v>
      </c>
      <c r="M797" s="17">
        <f>IF($C797&gt;L$611,ROUND(($C797-L$611)*M$610,2),0)</f>
        <v>0</v>
      </c>
      <c r="N797" s="17">
        <f>SUM(K797:L797)</f>
        <v>-0.1</v>
      </c>
      <c r="O797" s="17"/>
      <c r="P797" s="17"/>
      <c r="Q797" s="17">
        <f>M797</f>
        <v>0</v>
      </c>
      <c r="R797" s="16" t="e">
        <f>ROUND(SUM(K797:M797)*(R796-1),2)</f>
        <v>#N/A</v>
      </c>
      <c r="S797" s="17">
        <f>ROUND($B797*S$724*S796,2)</f>
        <v>0</v>
      </c>
      <c r="T797" s="17">
        <f>ROUND($B797*T$724,2)</f>
        <v>0</v>
      </c>
      <c r="U797" s="17">
        <f>ROUND($B797*U$724,2)</f>
        <v>0</v>
      </c>
      <c r="V797" s="17">
        <f>ROUND($B797*V$720,2)</f>
        <v>0</v>
      </c>
      <c r="W797" s="17">
        <f>ROUND($B797*W$724,2)</f>
        <v>0</v>
      </c>
      <c r="X797" s="17">
        <f>ROUND($B797*X$724,2)</f>
        <v>-0.01</v>
      </c>
      <c r="Y797" s="17">
        <f>ROUND($B797*Y$724,2)</f>
        <v>0</v>
      </c>
      <c r="Z797" s="17">
        <f>ROUND($B797*Z$724,2)</f>
        <v>0</v>
      </c>
      <c r="AA797" s="17">
        <f>ROUND($B797*AA$724,2)</f>
        <v>0</v>
      </c>
      <c r="AB797" s="19">
        <f>SUM(U792:AA792)</f>
        <v>0</v>
      </c>
      <c r="AC797" s="67" t="str">
        <f>+F797</f>
        <v>PH2</v>
      </c>
    </row>
    <row r="798" spans="1:29" x14ac:dyDescent="0.2">
      <c r="A798" s="9"/>
      <c r="B798" s="103">
        <v>-1</v>
      </c>
      <c r="D798" s="8"/>
      <c r="E798" s="9"/>
      <c r="F798" s="36"/>
      <c r="H798" s="12"/>
      <c r="I798" s="19"/>
      <c r="J798" s="12"/>
      <c r="K798" s="43">
        <f>ROUND(C799*K$725,0)</f>
        <v>25000</v>
      </c>
      <c r="L798" s="35">
        <f>+B799-K798</f>
        <v>-25001</v>
      </c>
      <c r="M798" s="12"/>
      <c r="N798" s="12"/>
      <c r="O798" s="12"/>
      <c r="P798" s="17" t="e">
        <f>SUM(J799:M799,R799:AA799)</f>
        <v>#N/A</v>
      </c>
      <c r="Q798" s="17">
        <f t="shared" ref="Q798:Q803" si="48">M798</f>
        <v>0</v>
      </c>
      <c r="R798" s="38" t="e">
        <f>VLOOKUP((D799),'Pwr Factor'!$A$1:$B$52,2)</f>
        <v>#N/A</v>
      </c>
      <c r="S798" s="50">
        <v>1</v>
      </c>
      <c r="T798" s="12"/>
      <c r="U798" s="12"/>
      <c r="V798" s="12"/>
      <c r="W798" s="12"/>
      <c r="X798" s="12"/>
      <c r="Y798" s="12"/>
      <c r="Z798" s="12"/>
      <c r="AA798" s="12"/>
    </row>
    <row r="799" spans="1:29" x14ac:dyDescent="0.2">
      <c r="A799" s="1" t="s">
        <v>148</v>
      </c>
      <c r="B799" s="103">
        <f>IF(AND('AES Indiana Bill Calc.'!$D$17="PH",'AES Indiana Bill Calc.'!$D$18="Yes 100%",'AES Indiana Bill Calc.'!$D$20="Yes 2023"),'AES Indiana Bill Calc.'!$D$19,-1)</f>
        <v>-1</v>
      </c>
      <c r="C799" s="103">
        <f>MAX(E799,$C$725)</f>
        <v>100</v>
      </c>
      <c r="D799" s="103" t="b">
        <f>IF(AND('AES Indiana Bill Calc.'!$D$17="PH",'AES Indiana Bill Calc.'!$D$18="Yes 100%",'AES Indiana Bill Calc.'!$D$20="Yes 2023"),'AES Indiana Bill Calc.'!$D$22)</f>
        <v>0</v>
      </c>
      <c r="E799" s="103" t="b">
        <f>IF(AND('AES Indiana Bill Calc.'!$D$17="PH",'AES Indiana Bill Calc.'!$D$18="Yes 100%",'AES Indiana Bill Calc.'!$D$20="Yes 2023"),'AES Indiana Bill Calc.'!$D$21)</f>
        <v>0</v>
      </c>
      <c r="F799" s="36" t="s">
        <v>231</v>
      </c>
      <c r="G799" s="137" t="e">
        <f>MAX(I799,P798)</f>
        <v>#N/A</v>
      </c>
      <c r="H799" s="19" t="e">
        <f>IF(ISBLANK(B799),0,+#REF!/B799)</f>
        <v>#REF!</v>
      </c>
      <c r="I799" s="115">
        <f>(E799*120*$K$724)+$J$724</f>
        <v>1250</v>
      </c>
      <c r="J799" s="51">
        <f>IF(ISBLANK(B799),0,+J$724)</f>
        <v>1250</v>
      </c>
      <c r="K799" s="16">
        <f>IF($B799&gt;K798,ROUND(K798*K$724,2),ROUND($B799*K$724,2))</f>
        <v>-0.1</v>
      </c>
      <c r="L799" s="17">
        <f>IF($B799&gt;K798,ROUND((B799-K798)*L$724,2),0)</f>
        <v>0</v>
      </c>
      <c r="M799" s="17">
        <f>IF($C799&gt;L$611,ROUND(($C799-L$611)*M$610,2),0)</f>
        <v>0</v>
      </c>
      <c r="N799" s="17">
        <f>SUM(K799:L799)</f>
        <v>-0.1</v>
      </c>
      <c r="O799" s="17"/>
      <c r="P799" s="12"/>
      <c r="Q799" s="17">
        <f t="shared" si="48"/>
        <v>0</v>
      </c>
      <c r="R799" s="16" t="e">
        <f>ROUND(SUM(K799:M799)*(R798-1),2)</f>
        <v>#N/A</v>
      </c>
      <c r="S799" s="17">
        <f>ROUND($B799*S$724*S798,2)</f>
        <v>0</v>
      </c>
      <c r="T799" s="17">
        <f>ROUND($B799*T$724,2)</f>
        <v>0</v>
      </c>
      <c r="U799" s="17">
        <f>ROUND($B799*U$724,2)</f>
        <v>0</v>
      </c>
      <c r="V799" s="17">
        <f>ROUND($B799*V$721,2)</f>
        <v>0</v>
      </c>
      <c r="W799" s="17">
        <f>ROUND($B799*W$724,2)</f>
        <v>0</v>
      </c>
      <c r="X799" s="17">
        <f>ROUND($B799*X$724,2)</f>
        <v>-0.01</v>
      </c>
      <c r="Y799" s="17">
        <f>ROUND($B799*Y$724,2)</f>
        <v>0</v>
      </c>
      <c r="Z799" s="17">
        <f>ROUND($B799*Z$724,2)</f>
        <v>0</v>
      </c>
      <c r="AA799" s="17">
        <f>ROUND($B799*AA$724,2)</f>
        <v>0</v>
      </c>
      <c r="AB799" s="19">
        <f>SUM(U794:AA794)</f>
        <v>0</v>
      </c>
      <c r="AC799" s="67" t="str">
        <f>+F799</f>
        <v>PH3</v>
      </c>
    </row>
    <row r="800" spans="1:29" x14ac:dyDescent="0.2">
      <c r="A800" s="9"/>
      <c r="B800" s="103">
        <v>-1</v>
      </c>
      <c r="D800" s="8"/>
      <c r="E800" s="9"/>
      <c r="F800" s="36"/>
      <c r="H800" s="12"/>
      <c r="I800" s="19"/>
      <c r="J800" s="12"/>
      <c r="K800" s="43">
        <f>ROUND(C801*K$725,0)</f>
        <v>25000</v>
      </c>
      <c r="L800" s="35">
        <f>+B801-K800</f>
        <v>-25001</v>
      </c>
      <c r="M800" s="12"/>
      <c r="N800" s="12"/>
      <c r="O800" s="12"/>
      <c r="P800" s="17" t="e">
        <f>SUM(J801:M801,R801:AA801)</f>
        <v>#N/A</v>
      </c>
      <c r="Q800" s="17">
        <f t="shared" si="48"/>
        <v>0</v>
      </c>
      <c r="R800" s="38" t="e">
        <f>VLOOKUP((D801),'Pwr Factor'!$A$1:$B$52,2)</f>
        <v>#N/A</v>
      </c>
      <c r="S800" s="50">
        <v>0.5</v>
      </c>
      <c r="T800" s="12"/>
      <c r="U800" s="12"/>
      <c r="V800" s="12"/>
      <c r="W800" s="12"/>
      <c r="X800" s="12"/>
      <c r="Y800" s="12"/>
      <c r="Z800" s="12"/>
      <c r="AA800" s="12"/>
    </row>
    <row r="801" spans="1:29" x14ac:dyDescent="0.2">
      <c r="A801" s="1" t="s">
        <v>149</v>
      </c>
      <c r="B801" s="103">
        <f>IF(AND('AES Indiana Bill Calc.'!$D$17="PH",'AES Indiana Bill Calc.'!$D$18="Yes 50%",'AES Indiana Bill Calc.'!$D$20="Yes 2023"),'AES Indiana Bill Calc.'!$D$19,-1)</f>
        <v>-1</v>
      </c>
      <c r="C801" s="103">
        <f>MAX(E801,$C$725)</f>
        <v>100</v>
      </c>
      <c r="D801" s="103" t="b">
        <f>IF(AND('AES Indiana Bill Calc.'!$D$17="PH",'AES Indiana Bill Calc.'!$D$18="Yes 50%",'AES Indiana Bill Calc.'!$D$20="Yes 2023"),'AES Indiana Bill Calc.'!$D$22)</f>
        <v>0</v>
      </c>
      <c r="E801" s="103" t="b">
        <f>IF(AND('AES Indiana Bill Calc.'!$D$17="PH",'AES Indiana Bill Calc.'!$D$18="Yes 50%",'AES Indiana Bill Calc.'!$D$20="Yes 2023"),'AES Indiana Bill Calc.'!$D$21)</f>
        <v>0</v>
      </c>
      <c r="F801" s="36" t="s">
        <v>231</v>
      </c>
      <c r="G801" s="137" t="e">
        <f>MAX(I801,P800)</f>
        <v>#N/A</v>
      </c>
      <c r="H801" s="19" t="e">
        <f>IF(ISBLANK(B801),0,+#REF!/B801)</f>
        <v>#REF!</v>
      </c>
      <c r="I801" s="115">
        <f>(E801*120*$K$724)+$J$724</f>
        <v>1250</v>
      </c>
      <c r="J801" s="51">
        <f>IF(ISBLANK(B801),0,+J$724)</f>
        <v>1250</v>
      </c>
      <c r="K801" s="16">
        <f>IF($B801&gt;K800,ROUND(K800*K$724,2),ROUND($B801*K$724,2))</f>
        <v>-0.1</v>
      </c>
      <c r="L801" s="17">
        <f>IF($B801&gt;K800,ROUND((B801-K800)*L$724,2),0)</f>
        <v>0</v>
      </c>
      <c r="M801" s="17">
        <f>IF($C801&gt;L$611,ROUND(($C801-L$611)*M$610,2),0)</f>
        <v>0</v>
      </c>
      <c r="N801" s="17">
        <f>SUM(K801:L801)</f>
        <v>-0.1</v>
      </c>
      <c r="O801" s="17"/>
      <c r="P801" s="12"/>
      <c r="Q801" s="17">
        <f t="shared" si="48"/>
        <v>0</v>
      </c>
      <c r="R801" s="16" t="e">
        <f>ROUND(SUM(K801:M801)*(R800-1),2)</f>
        <v>#N/A</v>
      </c>
      <c r="S801" s="17">
        <f>ROUND($B801*S$724*S800,2)</f>
        <v>0</v>
      </c>
      <c r="T801" s="17">
        <f>ROUND($B801*T$724,2)</f>
        <v>0</v>
      </c>
      <c r="U801" s="17">
        <f>ROUND($B801*U$724,2)</f>
        <v>0</v>
      </c>
      <c r="V801" s="17">
        <f>ROUND($B801*V$721,2)</f>
        <v>0</v>
      </c>
      <c r="W801" s="17">
        <f>ROUND($B801*W$724,2)</f>
        <v>0</v>
      </c>
      <c r="X801" s="17">
        <f>ROUND($B801*X$724,2)</f>
        <v>-0.01</v>
      </c>
      <c r="Y801" s="17">
        <f>ROUND($B801*Y$724,2)</f>
        <v>0</v>
      </c>
      <c r="Z801" s="17">
        <f>ROUND($B801*Z$724,2)</f>
        <v>0</v>
      </c>
      <c r="AA801" s="17">
        <f>ROUND($B801*AA$724,2)</f>
        <v>0</v>
      </c>
      <c r="AB801" s="19">
        <f>SUM(U796:AA796)</f>
        <v>0</v>
      </c>
      <c r="AC801" s="67" t="str">
        <f>+F801</f>
        <v>PH3</v>
      </c>
    </row>
    <row r="802" spans="1:29" x14ac:dyDescent="0.2">
      <c r="A802" s="9"/>
      <c r="B802" s="103">
        <v>-1</v>
      </c>
      <c r="D802" s="8"/>
      <c r="E802" s="9"/>
      <c r="F802" s="36"/>
      <c r="H802" s="12"/>
      <c r="I802" s="19"/>
      <c r="J802" s="12"/>
      <c r="K802" s="43">
        <f>ROUND(C803*K$725,0)</f>
        <v>25000</v>
      </c>
      <c r="L802" s="35">
        <f>+B803-K802</f>
        <v>-25001</v>
      </c>
      <c r="M802" s="12"/>
      <c r="N802" s="12"/>
      <c r="O802" s="12"/>
      <c r="P802" s="17" t="e">
        <f>SUM(J803:M803,R803:AA803)</f>
        <v>#N/A</v>
      </c>
      <c r="Q802" s="17">
        <f t="shared" si="48"/>
        <v>0</v>
      </c>
      <c r="R802" s="38" t="e">
        <f>VLOOKUP((D803),'Pwr Factor'!$A$1:$B$52,2)</f>
        <v>#N/A</v>
      </c>
      <c r="S802" s="50">
        <v>0.25</v>
      </c>
      <c r="T802" s="12"/>
      <c r="U802" s="12"/>
      <c r="V802" s="12"/>
      <c r="W802" s="12"/>
      <c r="X802" s="12"/>
      <c r="Y802" s="12"/>
      <c r="Z802" s="12"/>
      <c r="AA802" s="12"/>
    </row>
    <row r="803" spans="1:29" x14ac:dyDescent="0.2">
      <c r="A803" s="1" t="s">
        <v>150</v>
      </c>
      <c r="B803" s="103">
        <f>IF(AND('AES Indiana Bill Calc.'!$D$17="PH",'AES Indiana Bill Calc.'!$D$18="Yes 25%",'AES Indiana Bill Calc.'!$D$20="Yes 2023"),'AES Indiana Bill Calc.'!$D$19,-1)</f>
        <v>-1</v>
      </c>
      <c r="C803" s="103">
        <f>MAX(E803,$C$725)</f>
        <v>100</v>
      </c>
      <c r="D803" s="103" t="b">
        <f>IF(AND('AES Indiana Bill Calc.'!$D$17="PH",'AES Indiana Bill Calc.'!$D$18="Yes 25%",'AES Indiana Bill Calc.'!$D$20="Yes 2023"),'AES Indiana Bill Calc.'!$D$22)</f>
        <v>0</v>
      </c>
      <c r="E803" s="103" t="b">
        <f>IF(AND('AES Indiana Bill Calc.'!$D$17="PH",'AES Indiana Bill Calc.'!$D$18="Yes 25%",'AES Indiana Bill Calc.'!$D$20="Yes 2023"),'AES Indiana Bill Calc.'!$D$21)</f>
        <v>0</v>
      </c>
      <c r="F803" s="36" t="s">
        <v>231</v>
      </c>
      <c r="G803" s="137" t="e">
        <f>MAX(I803,P802)</f>
        <v>#N/A</v>
      </c>
      <c r="H803" s="19" t="e">
        <f>IF(ISBLANK(B803),0,+#REF!/B803)</f>
        <v>#REF!</v>
      </c>
      <c r="I803" s="115">
        <f>(E803*120*$K$724)+$J$724</f>
        <v>1250</v>
      </c>
      <c r="J803" s="51">
        <f>IF(ISBLANK(B803),0,+J$724)</f>
        <v>1250</v>
      </c>
      <c r="K803" s="16">
        <f>IF($B803&gt;K802,ROUND(K802*K$724,2),ROUND($B803*K$724,2))</f>
        <v>-0.1</v>
      </c>
      <c r="L803" s="17">
        <f>IF($B803&gt;K802,ROUND((B803-K802)*L$724,2),0)</f>
        <v>0</v>
      </c>
      <c r="M803" s="17">
        <f>IF($C803&gt;L$611,ROUND(($C803-L$611)*M$610,2),0)</f>
        <v>0</v>
      </c>
      <c r="N803" s="17">
        <f>SUM(K803:L803)</f>
        <v>-0.1</v>
      </c>
      <c r="O803" s="17"/>
      <c r="P803" s="12"/>
      <c r="Q803" s="17">
        <f t="shared" si="48"/>
        <v>0</v>
      </c>
      <c r="R803" s="16" t="e">
        <f>ROUND(SUM(K803:M803)*(R802-1),2)</f>
        <v>#N/A</v>
      </c>
      <c r="S803" s="17">
        <f>ROUND($B803*S$724*S802,2)</f>
        <v>0</v>
      </c>
      <c r="T803" s="17">
        <f>ROUND($B803*T$724,2)</f>
        <v>0</v>
      </c>
      <c r="U803" s="17">
        <f>ROUND($B803*U$724,2)</f>
        <v>0</v>
      </c>
      <c r="V803" s="17">
        <f>ROUND($B803*V$721,2)</f>
        <v>0</v>
      </c>
      <c r="W803" s="17">
        <f>ROUND($B803*W$724,2)</f>
        <v>0</v>
      </c>
      <c r="X803" s="17">
        <f>ROUND($B803*X$724,2)</f>
        <v>-0.01</v>
      </c>
      <c r="Y803" s="17">
        <f>ROUND($B803*Y$724,2)</f>
        <v>0</v>
      </c>
      <c r="Z803" s="17">
        <f>ROUND($B803*Z$724,2)</f>
        <v>0</v>
      </c>
      <c r="AA803" s="17">
        <f>ROUND($B803*AA$724,2)</f>
        <v>0</v>
      </c>
      <c r="AB803" s="19">
        <f>SUM(U798:AA798)</f>
        <v>0</v>
      </c>
      <c r="AC803" s="67" t="str">
        <f>+F803</f>
        <v>PH3</v>
      </c>
    </row>
    <row r="804" spans="1:29" x14ac:dyDescent="0.2">
      <c r="A804" s="9"/>
      <c r="B804" s="103">
        <v>-1</v>
      </c>
      <c r="D804" s="8"/>
      <c r="E804" s="9"/>
      <c r="F804" s="36"/>
      <c r="H804" s="12"/>
      <c r="I804" s="19"/>
      <c r="J804" s="12"/>
      <c r="K804" s="43">
        <f>ROUND(C805*K$725,0)</f>
        <v>25000</v>
      </c>
      <c r="L804" s="35">
        <f>+B805-K804</f>
        <v>-25001</v>
      </c>
      <c r="M804" s="12"/>
      <c r="N804" s="12"/>
      <c r="O804" s="12"/>
      <c r="P804" s="17" t="e">
        <f>SUM(J805:M805,R805:AA805)</f>
        <v>#N/A</v>
      </c>
      <c r="Q804" s="17">
        <f>M804</f>
        <v>0</v>
      </c>
      <c r="R804" s="38" t="e">
        <f>VLOOKUP((D805),'Pwr Factor'!$A$1:$B$52,2)</f>
        <v>#N/A</v>
      </c>
      <c r="S804" s="50">
        <v>0.1</v>
      </c>
      <c r="T804" s="12"/>
      <c r="U804" s="12"/>
      <c r="V804" s="12"/>
      <c r="W804" s="12"/>
      <c r="X804" s="12"/>
      <c r="Y804" s="12"/>
      <c r="Z804" s="12"/>
      <c r="AA804" s="12"/>
    </row>
    <row r="805" spans="1:29" x14ac:dyDescent="0.2">
      <c r="A805" s="1" t="s">
        <v>164</v>
      </c>
      <c r="B805" s="103">
        <f>IF(AND('AES Indiana Bill Calc.'!$D$17="PH",'AES Indiana Bill Calc.'!$D$18="Yes 10%",'AES Indiana Bill Calc.'!$D$20="Yes 2023"),'AES Indiana Bill Calc.'!$D$19,-1)</f>
        <v>-1</v>
      </c>
      <c r="C805" s="103">
        <f>MAX(E805,$C$725)</f>
        <v>100</v>
      </c>
      <c r="D805" s="103" t="b">
        <f>IF(AND('AES Indiana Bill Calc.'!$D$17="PH",'AES Indiana Bill Calc.'!$D$18="Yes 10%",'AES Indiana Bill Calc.'!$D$20="Yes 2023"),'AES Indiana Bill Calc.'!$D$22)</f>
        <v>0</v>
      </c>
      <c r="E805" s="103" t="b">
        <f>IF(AND('AES Indiana Bill Calc.'!$D$17="PH",'AES Indiana Bill Calc.'!$D$18="Yes 10%",'AES Indiana Bill Calc.'!$D$20="Yes 2023"),'AES Indiana Bill Calc.'!$D$21)</f>
        <v>0</v>
      </c>
      <c r="F805" s="36" t="s">
        <v>231</v>
      </c>
      <c r="G805" s="137" t="e">
        <f>MAX(I805,P804)</f>
        <v>#N/A</v>
      </c>
      <c r="H805" s="19" t="e">
        <f>IF(ISBLANK(B805),0,+#REF!/B805)</f>
        <v>#REF!</v>
      </c>
      <c r="I805" s="115">
        <f>(E805*120*$K$724)+$J$724</f>
        <v>1250</v>
      </c>
      <c r="J805" s="51">
        <f>IF(ISBLANK(B805),0,+J$724)</f>
        <v>1250</v>
      </c>
      <c r="K805" s="16">
        <f>IF($B805&gt;K804,ROUND(K804*K$724,2),ROUND($B805*K$724,2))</f>
        <v>-0.1</v>
      </c>
      <c r="L805" s="17">
        <f>IF($B805&gt;K804,ROUND((B805-K804)*L$724,2),0)</f>
        <v>0</v>
      </c>
      <c r="M805" s="17">
        <f>IF($C805&gt;L$611,ROUND(($C805-L$611)*M$610,2),0)</f>
        <v>0</v>
      </c>
      <c r="N805" s="17">
        <f>SUM(K805:L805)</f>
        <v>-0.1</v>
      </c>
      <c r="O805" s="17"/>
      <c r="P805" s="12"/>
      <c r="Q805" s="17">
        <f>M805</f>
        <v>0</v>
      </c>
      <c r="R805" s="16" t="e">
        <f>ROUND(SUM(K805:M805)*(R804-1),2)</f>
        <v>#N/A</v>
      </c>
      <c r="S805" s="17">
        <f>ROUND($B805*S$724*S804,2)</f>
        <v>0</v>
      </c>
      <c r="T805" s="17">
        <f>ROUND($B805*T$724,2)</f>
        <v>0</v>
      </c>
      <c r="U805" s="17">
        <f>ROUND($B805*U$724,2)</f>
        <v>0</v>
      </c>
      <c r="V805" s="17">
        <f>ROUND($B805*V$721,2)</f>
        <v>0</v>
      </c>
      <c r="W805" s="17">
        <f>ROUND($B805*W$724,2)</f>
        <v>0</v>
      </c>
      <c r="X805" s="17">
        <f>ROUND($B805*X$724,2)</f>
        <v>-0.01</v>
      </c>
      <c r="Y805" s="17">
        <f>ROUND($B805*Y$724,2)</f>
        <v>0</v>
      </c>
      <c r="Z805" s="17">
        <f>ROUND($B805*Z$724,2)</f>
        <v>0</v>
      </c>
      <c r="AA805" s="17">
        <f>ROUND($B805*AA$724,2)</f>
        <v>0</v>
      </c>
      <c r="AB805" s="19">
        <f>SUM(U800:AA800)</f>
        <v>0</v>
      </c>
      <c r="AC805" s="67" t="str">
        <f>+F805</f>
        <v>PH3</v>
      </c>
    </row>
    <row r="806" spans="1:29" x14ac:dyDescent="0.2">
      <c r="A806" s="9"/>
      <c r="B806" s="103">
        <v>-1</v>
      </c>
      <c r="D806" s="8"/>
      <c r="E806" s="9"/>
      <c r="F806" s="36"/>
      <c r="H806" s="12"/>
      <c r="I806" s="19"/>
      <c r="J806" s="12"/>
      <c r="K806" s="43">
        <f>ROUND(C807*K$725,0)</f>
        <v>25000</v>
      </c>
      <c r="L806" s="35">
        <f>+B807-K806</f>
        <v>-25001</v>
      </c>
      <c r="M806" s="12"/>
      <c r="N806" s="12"/>
      <c r="O806" s="12"/>
      <c r="P806" s="17" t="e">
        <f>SUM(J807:M807,R807:AA807)</f>
        <v>#N/A</v>
      </c>
      <c r="Q806" s="17">
        <f>M806</f>
        <v>0</v>
      </c>
      <c r="R806" s="38" t="e">
        <f>VLOOKUP((D807),'Pwr Factor'!$A$1:$B$52,2)</f>
        <v>#N/A</v>
      </c>
      <c r="S806" s="50">
        <v>0</v>
      </c>
      <c r="T806" s="12"/>
      <c r="U806" s="12"/>
      <c r="V806" s="142"/>
      <c r="W806" s="12"/>
      <c r="X806" s="12"/>
      <c r="Y806" s="12"/>
      <c r="Z806" s="12"/>
      <c r="AA806" s="12"/>
    </row>
    <row r="807" spans="1:29" x14ac:dyDescent="0.2">
      <c r="A807" s="1" t="s">
        <v>147</v>
      </c>
      <c r="B807" s="103">
        <f>IF(AND('AES Indiana Bill Calc.'!$D$17="PH",'AES Indiana Bill Calc.'!$D$18="No",'AES Indiana Bill Calc.'!$D$20="Yes 2023"),'AES Indiana Bill Calc.'!$D$19,-1)</f>
        <v>-1</v>
      </c>
      <c r="C807" s="103">
        <f>MAX(E807,$C$725)</f>
        <v>100</v>
      </c>
      <c r="D807" s="103" t="b">
        <f>IF(AND('AES Indiana Bill Calc.'!$D$17="PH",'AES Indiana Bill Calc.'!$D$18="No",'AES Indiana Bill Calc.'!$D$20="Yes 2023"),'AES Indiana Bill Calc.'!$D$22)</f>
        <v>0</v>
      </c>
      <c r="E807" s="103" t="b">
        <f>IF(AND('AES Indiana Bill Calc.'!$D$17="PH",'AES Indiana Bill Calc.'!$D$18="No",'AES Indiana Bill Calc.'!$D$20="Yes 2023"),'AES Indiana Bill Calc.'!$D$21)</f>
        <v>0</v>
      </c>
      <c r="F807" s="36" t="s">
        <v>231</v>
      </c>
      <c r="G807" s="137" t="e">
        <f>MAX(I807,P806)</f>
        <v>#N/A</v>
      </c>
      <c r="H807" s="19" t="e">
        <f>IF(ISBLANK(B807),0,+#REF!/B807)</f>
        <v>#REF!</v>
      </c>
      <c r="I807" s="115">
        <f>(E807*120*$K$724)+$J$724</f>
        <v>1250</v>
      </c>
      <c r="J807" s="51">
        <f>IF(ISBLANK(B807),0,+J$724)</f>
        <v>1250</v>
      </c>
      <c r="K807" s="16">
        <f>IF($B807&gt;K806,ROUND(K806*K$724,2),ROUND($B807*K$724,2))</f>
        <v>-0.1</v>
      </c>
      <c r="L807" s="17">
        <f>IF($B807&gt;K806,ROUND((B807-K806)*L$724,2),0)</f>
        <v>0</v>
      </c>
      <c r="M807" s="17">
        <f>IF($C807&gt;L$611,ROUND(($C807-L$611)*M$610,2),0)</f>
        <v>0</v>
      </c>
      <c r="N807" s="17">
        <f>SUM(K807:L807)</f>
        <v>-0.1</v>
      </c>
      <c r="O807" s="17"/>
      <c r="P807" s="17"/>
      <c r="Q807" s="17">
        <f>M807</f>
        <v>0</v>
      </c>
      <c r="R807" s="16" t="e">
        <f>ROUND(SUM(K807:M807)*(R806-1),2)</f>
        <v>#N/A</v>
      </c>
      <c r="S807" s="17">
        <f>ROUND($B807*S$724*S806,2)</f>
        <v>0</v>
      </c>
      <c r="T807" s="17">
        <f>ROUND($B807*T$724,2)</f>
        <v>0</v>
      </c>
      <c r="U807" s="17">
        <f>ROUND($B807*U$724,2)</f>
        <v>0</v>
      </c>
      <c r="V807" s="17">
        <f>ROUND($B807*V$721,2)</f>
        <v>0</v>
      </c>
      <c r="W807" s="17">
        <f>ROUND($B807*W$724,2)</f>
        <v>0</v>
      </c>
      <c r="X807" s="17">
        <f>ROUND($B807*X$724,2)</f>
        <v>-0.01</v>
      </c>
      <c r="Y807" s="17">
        <f>ROUND($B807*Y$724,2)</f>
        <v>0</v>
      </c>
      <c r="Z807" s="17">
        <f>ROUND($B807*Z$724,2)</f>
        <v>0</v>
      </c>
      <c r="AA807" s="17">
        <f>ROUND($B807*AA$724,2)</f>
        <v>0</v>
      </c>
      <c r="AB807" s="19">
        <f>SUM(U802:AA802)</f>
        <v>0</v>
      </c>
      <c r="AC807" s="67" t="str">
        <f>+F807</f>
        <v>PH3</v>
      </c>
    </row>
    <row r="808" spans="1:29" x14ac:dyDescent="0.2">
      <c r="A808" s="9"/>
      <c r="B808" s="103">
        <v>-1</v>
      </c>
      <c r="D808" s="8"/>
      <c r="E808" s="9"/>
      <c r="F808" s="36"/>
      <c r="H808" s="12"/>
      <c r="I808" s="19"/>
      <c r="J808" s="12"/>
      <c r="K808" s="43">
        <f>ROUND(C809*K$725,0)</f>
        <v>25000</v>
      </c>
      <c r="L808" s="35">
        <f>+B809-K808</f>
        <v>-25001</v>
      </c>
      <c r="M808" s="12"/>
      <c r="N808" s="12"/>
      <c r="O808" s="12"/>
      <c r="P808" s="17" t="e">
        <f>SUM(J809:M809,R809:AA809)</f>
        <v>#N/A</v>
      </c>
      <c r="Q808" s="17">
        <f t="shared" ref="Q808:Q813" si="49">M808</f>
        <v>0</v>
      </c>
      <c r="R808" s="38" t="e">
        <f>VLOOKUP((D809),'Pwr Factor'!$A$1:$B$52,2)</f>
        <v>#N/A</v>
      </c>
      <c r="S808" s="50">
        <v>1</v>
      </c>
      <c r="T808" s="12"/>
      <c r="U808" s="12"/>
      <c r="V808" s="12"/>
      <c r="W808" s="12"/>
      <c r="X808" s="12"/>
      <c r="Y808" s="12"/>
      <c r="Z808" s="12"/>
      <c r="AA808" s="12"/>
    </row>
    <row r="809" spans="1:29" x14ac:dyDescent="0.2">
      <c r="A809" s="1" t="s">
        <v>148</v>
      </c>
      <c r="B809" s="103">
        <f>IF(AND('AES Indiana Bill Calc.'!$D$17="PH",'AES Indiana Bill Calc.'!$D$18="Yes 100%",'AES Indiana Bill Calc.'!$D$20="Yes 2024"),'AES Indiana Bill Calc.'!$D$19,-1)</f>
        <v>-1</v>
      </c>
      <c r="C809" s="103">
        <f>MAX(E809,$C$725)</f>
        <v>100</v>
      </c>
      <c r="D809" s="103" t="b">
        <f>IF(AND('AES Indiana Bill Calc.'!$D$17="PH",'AES Indiana Bill Calc.'!$D$18="Yes 100%",'AES Indiana Bill Calc.'!$D$20="Yes 2024"),'AES Indiana Bill Calc.'!$D$22)</f>
        <v>0</v>
      </c>
      <c r="E809" s="103" t="b">
        <f>IF(AND('AES Indiana Bill Calc.'!$D$17="PH",'AES Indiana Bill Calc.'!$D$18="Yes 100%",'AES Indiana Bill Calc.'!$D$20="Yes 2024"),'AES Indiana Bill Calc.'!$D$21)</f>
        <v>0</v>
      </c>
      <c r="F809" s="36" t="s">
        <v>299</v>
      </c>
      <c r="G809" s="137" t="e">
        <f>MAX(I809,P808)</f>
        <v>#N/A</v>
      </c>
      <c r="H809" s="19" t="e">
        <f>IF(ISBLANK(B809),0,+#REF!/B809)</f>
        <v>#REF!</v>
      </c>
      <c r="I809" s="115">
        <f>(E809*120*$K$724)+$J$724</f>
        <v>1250</v>
      </c>
      <c r="J809" s="51">
        <f>IF(ISBLANK(B809),0,+J$724)</f>
        <v>1250</v>
      </c>
      <c r="K809" s="16">
        <f>IF($B809&gt;K808,ROUND(K808*K$724,2),ROUND($B809*K$724,2))</f>
        <v>-0.1</v>
      </c>
      <c r="L809" s="17">
        <f>IF($B809&gt;K808,ROUND((B809-K808)*L$724,2),0)</f>
        <v>0</v>
      </c>
      <c r="M809" s="17">
        <f>IF($C809&gt;L$611,ROUND(($C809-L$611)*M$610,2),0)</f>
        <v>0</v>
      </c>
      <c r="N809" s="17">
        <f>SUM(K809:L809)</f>
        <v>-0.1</v>
      </c>
      <c r="O809" s="17"/>
      <c r="P809" s="12"/>
      <c r="Q809" s="17">
        <f t="shared" si="49"/>
        <v>0</v>
      </c>
      <c r="R809" s="16" t="e">
        <f>ROUND(SUM(K809:M809)*(R808-1),2)</f>
        <v>#N/A</v>
      </c>
      <c r="S809" s="17">
        <f>ROUND($B809*S$724*S808,2)</f>
        <v>0</v>
      </c>
      <c r="T809" s="17">
        <f>ROUND($B809*T$724,2)</f>
        <v>0</v>
      </c>
      <c r="U809" s="17">
        <f>ROUND($B809*U$724,2)</f>
        <v>0</v>
      </c>
      <c r="V809" s="17">
        <f>ROUND($B809*V$722,2)</f>
        <v>-0.01</v>
      </c>
      <c r="W809" s="17">
        <f>ROUND($B809*W$724,2)</f>
        <v>0</v>
      </c>
      <c r="X809" s="17">
        <f>ROUND($B809*X$724,2)</f>
        <v>-0.01</v>
      </c>
      <c r="Y809" s="17">
        <f>ROUND($B809*Y$724,2)</f>
        <v>0</v>
      </c>
      <c r="Z809" s="17">
        <f>ROUND($B809*Z$724,2)</f>
        <v>0</v>
      </c>
      <c r="AA809" s="17">
        <f>ROUND($B809*AA$724,2)</f>
        <v>0</v>
      </c>
      <c r="AB809" s="19">
        <f>SUM(U804:AA804)</f>
        <v>0</v>
      </c>
      <c r="AC809" s="67" t="str">
        <f>+F809</f>
        <v>PH4</v>
      </c>
    </row>
    <row r="810" spans="1:29" x14ac:dyDescent="0.2">
      <c r="A810" s="9"/>
      <c r="B810" s="103">
        <v>-1</v>
      </c>
      <c r="D810" s="8"/>
      <c r="E810" s="9"/>
      <c r="F810" s="36"/>
      <c r="H810" s="12"/>
      <c r="I810" s="19"/>
      <c r="J810" s="12"/>
      <c r="K810" s="43">
        <f>ROUND(C811*K$725,0)</f>
        <v>25000</v>
      </c>
      <c r="L810" s="35">
        <f>+B811-K810</f>
        <v>-25001</v>
      </c>
      <c r="M810" s="12"/>
      <c r="N810" s="12"/>
      <c r="O810" s="12"/>
      <c r="P810" s="17" t="e">
        <f>SUM(J811:M811,R811:AA811)</f>
        <v>#N/A</v>
      </c>
      <c r="Q810" s="17">
        <f t="shared" si="49"/>
        <v>0</v>
      </c>
      <c r="R810" s="38" t="e">
        <f>VLOOKUP((D811),'Pwr Factor'!$A$1:$B$52,2)</f>
        <v>#N/A</v>
      </c>
      <c r="S810" s="50">
        <v>0.5</v>
      </c>
      <c r="T810" s="12"/>
      <c r="U810" s="12"/>
      <c r="V810" s="12"/>
      <c r="W810" s="12"/>
      <c r="X810" s="12"/>
      <c r="Y810" s="12"/>
      <c r="Z810" s="12"/>
      <c r="AA810" s="12"/>
    </row>
    <row r="811" spans="1:29" x14ac:dyDescent="0.2">
      <c r="A811" s="1" t="s">
        <v>149</v>
      </c>
      <c r="B811" s="103">
        <f>IF(AND('AES Indiana Bill Calc.'!$D$17="PH",'AES Indiana Bill Calc.'!$D$18="Yes 50%",'AES Indiana Bill Calc.'!$D$20="Yes 2024"),'AES Indiana Bill Calc.'!$D$19,-1)</f>
        <v>-1</v>
      </c>
      <c r="C811" s="103">
        <f>MAX(E811,$C$725)</f>
        <v>100</v>
      </c>
      <c r="D811" s="103" t="b">
        <f>IF(AND('AES Indiana Bill Calc.'!$D$17="PH",'AES Indiana Bill Calc.'!$D$18="Yes 50%",'AES Indiana Bill Calc.'!$D$20="Yes 2024"),'AES Indiana Bill Calc.'!$D$22)</f>
        <v>0</v>
      </c>
      <c r="E811" s="103" t="b">
        <f>IF(AND('AES Indiana Bill Calc.'!$D$17="PH",'AES Indiana Bill Calc.'!$D$18="Yes 50%",'AES Indiana Bill Calc.'!$D$20="Yes 2024"),'AES Indiana Bill Calc.'!$D$21)</f>
        <v>0</v>
      </c>
      <c r="F811" s="36" t="s">
        <v>299</v>
      </c>
      <c r="G811" s="137" t="e">
        <f>MAX(I811,P810)</f>
        <v>#N/A</v>
      </c>
      <c r="H811" s="19" t="e">
        <f>IF(ISBLANK(B811),0,+#REF!/B811)</f>
        <v>#REF!</v>
      </c>
      <c r="I811" s="115">
        <f>(E811*120*$K$724)+$J$724</f>
        <v>1250</v>
      </c>
      <c r="J811" s="51">
        <f>IF(ISBLANK(B811),0,+J$724)</f>
        <v>1250</v>
      </c>
      <c r="K811" s="16">
        <f>IF($B811&gt;K810,ROUND(K810*K$724,2),ROUND($B811*K$724,2))</f>
        <v>-0.1</v>
      </c>
      <c r="L811" s="17">
        <f>IF($B811&gt;K810,ROUND((B811-K810)*L$724,2),0)</f>
        <v>0</v>
      </c>
      <c r="M811" s="17">
        <f>IF($C811&gt;L$611,ROUND(($C811-L$611)*M$610,2),0)</f>
        <v>0</v>
      </c>
      <c r="N811" s="17">
        <f>SUM(K811:L811)</f>
        <v>-0.1</v>
      </c>
      <c r="O811" s="17"/>
      <c r="P811" s="12"/>
      <c r="Q811" s="17">
        <f t="shared" si="49"/>
        <v>0</v>
      </c>
      <c r="R811" s="16" t="e">
        <f>ROUND(SUM(K811:M811)*(R810-1),2)</f>
        <v>#N/A</v>
      </c>
      <c r="S811" s="17">
        <f>ROUND($B811*S$724*S810,2)</f>
        <v>0</v>
      </c>
      <c r="T811" s="17">
        <f>ROUND($B811*T$724,2)</f>
        <v>0</v>
      </c>
      <c r="U811" s="17">
        <f>ROUND($B811*U$724,2)</f>
        <v>0</v>
      </c>
      <c r="V811" s="17">
        <f>ROUND($B811*V$722,2)</f>
        <v>-0.01</v>
      </c>
      <c r="W811" s="17">
        <f>ROUND($B811*W$724,2)</f>
        <v>0</v>
      </c>
      <c r="X811" s="17">
        <f>ROUND($B811*X$724,2)</f>
        <v>-0.01</v>
      </c>
      <c r="Y811" s="17">
        <f>ROUND($B811*Y$724,2)</f>
        <v>0</v>
      </c>
      <c r="Z811" s="17">
        <f>ROUND($B811*Z$724,2)</f>
        <v>0</v>
      </c>
      <c r="AA811" s="17">
        <f>ROUND($B811*AA$724,2)</f>
        <v>0</v>
      </c>
      <c r="AB811" s="19">
        <f>SUM(U806:AA806)</f>
        <v>0</v>
      </c>
      <c r="AC811" s="67" t="str">
        <f>+F811</f>
        <v>PH4</v>
      </c>
    </row>
    <row r="812" spans="1:29" x14ac:dyDescent="0.2">
      <c r="A812" s="9"/>
      <c r="B812" s="103">
        <v>-1</v>
      </c>
      <c r="D812" s="8"/>
      <c r="E812" s="9"/>
      <c r="F812" s="36"/>
      <c r="H812" s="12"/>
      <c r="I812" s="19"/>
      <c r="J812" s="12"/>
      <c r="K812" s="43">
        <f>ROUND(C813*K$725,0)</f>
        <v>25000</v>
      </c>
      <c r="L812" s="35">
        <f>+B813-K812</f>
        <v>-25001</v>
      </c>
      <c r="M812" s="12"/>
      <c r="N812" s="12"/>
      <c r="O812" s="12"/>
      <c r="P812" s="17" t="e">
        <f>SUM(J813:M813,R813:AA813)</f>
        <v>#N/A</v>
      </c>
      <c r="Q812" s="17">
        <f t="shared" si="49"/>
        <v>0</v>
      </c>
      <c r="R812" s="38" t="e">
        <f>VLOOKUP((D813),'Pwr Factor'!$A$1:$B$52,2)</f>
        <v>#N/A</v>
      </c>
      <c r="S812" s="50">
        <v>0.25</v>
      </c>
      <c r="T812" s="12"/>
      <c r="U812" s="12"/>
      <c r="V812" s="12"/>
      <c r="W812" s="12"/>
      <c r="X812" s="12"/>
      <c r="Y812" s="12"/>
      <c r="Z812" s="12"/>
      <c r="AA812" s="12"/>
    </row>
    <row r="813" spans="1:29" x14ac:dyDescent="0.2">
      <c r="A813" s="1" t="s">
        <v>150</v>
      </c>
      <c r="B813" s="103">
        <f>IF(AND('AES Indiana Bill Calc.'!$D$17="PH",'AES Indiana Bill Calc.'!$D$18="Yes 25%",'AES Indiana Bill Calc.'!$D$20="Yes 2024"),'AES Indiana Bill Calc.'!$D$19,-1)</f>
        <v>-1</v>
      </c>
      <c r="C813" s="103">
        <f>MAX(E813,$C$725)</f>
        <v>100</v>
      </c>
      <c r="D813" s="103" t="b">
        <f>IF(AND('AES Indiana Bill Calc.'!$D$17="PH",'AES Indiana Bill Calc.'!$D$18="Yes 25%",'AES Indiana Bill Calc.'!$D$20="Yes 2024"),'AES Indiana Bill Calc.'!$D$22)</f>
        <v>0</v>
      </c>
      <c r="E813" s="103" t="b">
        <f>IF(AND('AES Indiana Bill Calc.'!$D$17="PH",'AES Indiana Bill Calc.'!$D$18="Yes 25%",'AES Indiana Bill Calc.'!$D$20="Yes 2024"),'AES Indiana Bill Calc.'!$D$21)</f>
        <v>0</v>
      </c>
      <c r="F813" s="36" t="s">
        <v>299</v>
      </c>
      <c r="G813" s="137" t="e">
        <f>MAX(I813,P812)</f>
        <v>#N/A</v>
      </c>
      <c r="H813" s="19" t="e">
        <f>IF(ISBLANK(B813),0,+#REF!/B813)</f>
        <v>#REF!</v>
      </c>
      <c r="I813" s="115">
        <f>(E813*120*$K$724)+$J$724</f>
        <v>1250</v>
      </c>
      <c r="J813" s="51">
        <f>IF(ISBLANK(B813),0,+J$724)</f>
        <v>1250</v>
      </c>
      <c r="K813" s="16">
        <f>IF($B813&gt;K812,ROUND(K812*K$724,2),ROUND($B813*K$724,2))</f>
        <v>-0.1</v>
      </c>
      <c r="L813" s="17">
        <f>IF($B813&gt;K812,ROUND((B813-K812)*L$724,2),0)</f>
        <v>0</v>
      </c>
      <c r="M813" s="17">
        <f>IF($C813&gt;L$611,ROUND(($C813-L$611)*M$610,2),0)</f>
        <v>0</v>
      </c>
      <c r="N813" s="17">
        <f>SUM(K813:L813)</f>
        <v>-0.1</v>
      </c>
      <c r="O813" s="17"/>
      <c r="P813" s="12"/>
      <c r="Q813" s="17">
        <f t="shared" si="49"/>
        <v>0</v>
      </c>
      <c r="R813" s="16" t="e">
        <f>ROUND(SUM(K813:M813)*(R812-1),2)</f>
        <v>#N/A</v>
      </c>
      <c r="S813" s="17">
        <f>ROUND($B813*S$724*S812,2)</f>
        <v>0</v>
      </c>
      <c r="T813" s="17">
        <f>ROUND($B813*T$724,2)</f>
        <v>0</v>
      </c>
      <c r="U813" s="17">
        <f>ROUND($B813*U$724,2)</f>
        <v>0</v>
      </c>
      <c r="V813" s="17">
        <f>ROUND($B813*V$722,2)</f>
        <v>-0.01</v>
      </c>
      <c r="W813" s="17">
        <f>ROUND($B813*W$724,2)</f>
        <v>0</v>
      </c>
      <c r="X813" s="17">
        <f>ROUND($B813*X$724,2)</f>
        <v>-0.01</v>
      </c>
      <c r="Y813" s="17">
        <f>ROUND($B813*Y$724,2)</f>
        <v>0</v>
      </c>
      <c r="Z813" s="17">
        <f>ROUND($B813*Z$724,2)</f>
        <v>0</v>
      </c>
      <c r="AA813" s="17">
        <f>ROUND($B813*AA$724,2)</f>
        <v>0</v>
      </c>
      <c r="AB813" s="19">
        <f>SUM(U808:AA808)</f>
        <v>0</v>
      </c>
      <c r="AC813" s="67" t="str">
        <f>+F813</f>
        <v>PH4</v>
      </c>
    </row>
    <row r="814" spans="1:29" x14ac:dyDescent="0.2">
      <c r="A814" s="9"/>
      <c r="B814" s="103">
        <v>-1</v>
      </c>
      <c r="D814" s="8"/>
      <c r="E814" s="9"/>
      <c r="F814" s="36"/>
      <c r="H814" s="12"/>
      <c r="I814" s="19"/>
      <c r="J814" s="12"/>
      <c r="K814" s="43">
        <f>ROUND(C815*K$725,0)</f>
        <v>25000</v>
      </c>
      <c r="L814" s="35">
        <f>+B815-K814</f>
        <v>-25001</v>
      </c>
      <c r="M814" s="12"/>
      <c r="N814" s="12"/>
      <c r="O814" s="12"/>
      <c r="P814" s="17" t="e">
        <f>SUM(J815:M815,R815:AA815)</f>
        <v>#N/A</v>
      </c>
      <c r="Q814" s="17">
        <f>M814</f>
        <v>0</v>
      </c>
      <c r="R814" s="38" t="e">
        <f>VLOOKUP((D815),'Pwr Factor'!$A$1:$B$52,2)</f>
        <v>#N/A</v>
      </c>
      <c r="S814" s="50">
        <v>0.1</v>
      </c>
      <c r="T814" s="12"/>
      <c r="U814" s="12"/>
      <c r="V814" s="12"/>
      <c r="W814" s="12"/>
      <c r="X814" s="12"/>
      <c r="Y814" s="12"/>
      <c r="Z814" s="12"/>
      <c r="AA814" s="12"/>
    </row>
    <row r="815" spans="1:29" x14ac:dyDescent="0.2">
      <c r="A815" s="1" t="s">
        <v>164</v>
      </c>
      <c r="B815" s="103">
        <f>IF(AND('AES Indiana Bill Calc.'!$D$17="PH",'AES Indiana Bill Calc.'!$D$18="Yes 10%",'AES Indiana Bill Calc.'!$D$20="Yes 2024"),'AES Indiana Bill Calc.'!$D$19,-1)</f>
        <v>-1</v>
      </c>
      <c r="C815" s="103">
        <f>MAX(E815,$C$725)</f>
        <v>100</v>
      </c>
      <c r="D815" s="103" t="b">
        <f>IF(AND('AES Indiana Bill Calc.'!$D$17="PH",'AES Indiana Bill Calc.'!$D$18="Yes 10%",'AES Indiana Bill Calc.'!$D$20="Yes 2024"),'AES Indiana Bill Calc.'!$D$22)</f>
        <v>0</v>
      </c>
      <c r="E815" s="103" t="b">
        <f>IF(AND('AES Indiana Bill Calc.'!$D$17="PH",'AES Indiana Bill Calc.'!$D$18="Yes 10%",'AES Indiana Bill Calc.'!$D$20="Yes 2024"),'AES Indiana Bill Calc.'!$D$21)</f>
        <v>0</v>
      </c>
      <c r="F815" s="36" t="s">
        <v>299</v>
      </c>
      <c r="G815" s="137" t="e">
        <f>MAX(I815,P814)</f>
        <v>#N/A</v>
      </c>
      <c r="H815" s="19" t="e">
        <f>IF(ISBLANK(B815),0,+#REF!/B815)</f>
        <v>#REF!</v>
      </c>
      <c r="I815" s="115">
        <f>(E815*120*$K$724)+$J$724</f>
        <v>1250</v>
      </c>
      <c r="J815" s="51">
        <f>IF(ISBLANK(B815),0,+J$724)</f>
        <v>1250</v>
      </c>
      <c r="K815" s="16">
        <f>IF($B815&gt;K814,ROUND(K814*K$724,2),ROUND($B815*K$724,2))</f>
        <v>-0.1</v>
      </c>
      <c r="L815" s="17">
        <f>IF($B815&gt;K814,ROUND((B815-K814)*L$724,2),0)</f>
        <v>0</v>
      </c>
      <c r="M815" s="17">
        <f>IF($C815&gt;L$611,ROUND(($C815-L$611)*M$610,2),0)</f>
        <v>0</v>
      </c>
      <c r="N815" s="17">
        <f>SUM(K815:L815)</f>
        <v>-0.1</v>
      </c>
      <c r="O815" s="17"/>
      <c r="P815" s="12"/>
      <c r="Q815" s="17">
        <f>M815</f>
        <v>0</v>
      </c>
      <c r="R815" s="16" t="e">
        <f>ROUND(SUM(K815:M815)*(R814-1),2)</f>
        <v>#N/A</v>
      </c>
      <c r="S815" s="17">
        <f>ROUND($B815*S$724*S814,2)</f>
        <v>0</v>
      </c>
      <c r="T815" s="17">
        <f>ROUND($B815*T$724,2)</f>
        <v>0</v>
      </c>
      <c r="U815" s="17">
        <f>ROUND($B815*U$724,2)</f>
        <v>0</v>
      </c>
      <c r="V815" s="17">
        <f>ROUND($B815*V$722,2)</f>
        <v>-0.01</v>
      </c>
      <c r="W815" s="17">
        <f>ROUND($B815*W$724,2)</f>
        <v>0</v>
      </c>
      <c r="X815" s="17">
        <f>ROUND($B815*X$724,2)</f>
        <v>-0.01</v>
      </c>
      <c r="Y815" s="17">
        <f>ROUND($B815*Y$724,2)</f>
        <v>0</v>
      </c>
      <c r="Z815" s="17">
        <f>ROUND($B815*Z$724,2)</f>
        <v>0</v>
      </c>
      <c r="AA815" s="17">
        <f>ROUND($B815*AA$724,2)</f>
        <v>0</v>
      </c>
      <c r="AB815" s="19">
        <f>SUM(U810:AA810)</f>
        <v>0</v>
      </c>
      <c r="AC815" s="67" t="str">
        <f>+F815</f>
        <v>PH4</v>
      </c>
    </row>
    <row r="816" spans="1:29" x14ac:dyDescent="0.2">
      <c r="A816" s="9"/>
      <c r="B816" s="103">
        <v>-1</v>
      </c>
      <c r="D816" s="8"/>
      <c r="E816" s="9"/>
      <c r="F816" s="36"/>
      <c r="H816" s="12"/>
      <c r="I816" s="19"/>
      <c r="J816" s="12"/>
      <c r="K816" s="43">
        <f>ROUND(C817*K$725,0)</f>
        <v>25000</v>
      </c>
      <c r="L816" s="35">
        <f>+B817-K816</f>
        <v>-25001</v>
      </c>
      <c r="M816" s="12"/>
      <c r="N816" s="12"/>
      <c r="O816" s="12"/>
      <c r="P816" s="17" t="e">
        <f>SUM(J817:M817,R817:AA817)</f>
        <v>#N/A</v>
      </c>
      <c r="Q816" s="17">
        <f>M816</f>
        <v>0</v>
      </c>
      <c r="R816" s="38" t="e">
        <f>VLOOKUP((D817),'Pwr Factor'!$A$1:$B$52,2)</f>
        <v>#N/A</v>
      </c>
      <c r="S816" s="50">
        <v>0</v>
      </c>
      <c r="T816" s="12"/>
      <c r="U816" s="12"/>
      <c r="V816" s="142"/>
      <c r="W816" s="12"/>
      <c r="X816" s="12"/>
      <c r="Y816" s="12"/>
      <c r="Z816" s="12"/>
      <c r="AA816" s="12"/>
    </row>
    <row r="817" spans="1:29" x14ac:dyDescent="0.2">
      <c r="A817" s="1" t="s">
        <v>147</v>
      </c>
      <c r="B817" s="103">
        <f>IF(AND('AES Indiana Bill Calc.'!$D$17="PH",'AES Indiana Bill Calc.'!$D$18="No",'AES Indiana Bill Calc.'!$D$20="Yes 2024"),'AES Indiana Bill Calc.'!$D$19,-1)</f>
        <v>-1</v>
      </c>
      <c r="C817" s="103">
        <f>MAX(E817,$C$725)</f>
        <v>100</v>
      </c>
      <c r="D817" s="103" t="b">
        <f>IF(AND('AES Indiana Bill Calc.'!$D$17="PH",'AES Indiana Bill Calc.'!$D$18="No",'AES Indiana Bill Calc.'!$D$20="Yes 2024"),'AES Indiana Bill Calc.'!$D$22)</f>
        <v>0</v>
      </c>
      <c r="E817" s="103" t="b">
        <f>IF(AND('AES Indiana Bill Calc.'!$D$17="PH",'AES Indiana Bill Calc.'!$D$18="No",'AES Indiana Bill Calc.'!$D$20="Yes 2024"),'AES Indiana Bill Calc.'!$D$21)</f>
        <v>0</v>
      </c>
      <c r="F817" s="36" t="s">
        <v>299</v>
      </c>
      <c r="G817" s="137" t="e">
        <f>MAX(I817,P816)</f>
        <v>#N/A</v>
      </c>
      <c r="H817" s="19" t="e">
        <f>IF(ISBLANK(B817),0,+#REF!/B817)</f>
        <v>#REF!</v>
      </c>
      <c r="I817" s="115">
        <f>(E817*120*$K$724)+$J$724</f>
        <v>1250</v>
      </c>
      <c r="J817" s="51">
        <f>IF(ISBLANK(B817),0,+J$724)</f>
        <v>1250</v>
      </c>
      <c r="K817" s="16">
        <f>IF($B817&gt;K816,ROUND(K816*K$724,2),ROUND($B817*K$724,2))</f>
        <v>-0.1</v>
      </c>
      <c r="L817" s="17">
        <f>IF($B817&gt;K816,ROUND((B817-K816)*L$724,2),0)</f>
        <v>0</v>
      </c>
      <c r="M817" s="17">
        <f>IF($C817&gt;L$611,ROUND(($C817-L$611)*M$610,2),0)</f>
        <v>0</v>
      </c>
      <c r="N817" s="17">
        <f>SUM(K817:L817)</f>
        <v>-0.1</v>
      </c>
      <c r="O817" s="17"/>
      <c r="P817" s="17"/>
      <c r="Q817" s="17">
        <f>M817</f>
        <v>0</v>
      </c>
      <c r="R817" s="16" t="e">
        <f>ROUND(SUM(K817:M817)*(R816-1),2)</f>
        <v>#N/A</v>
      </c>
      <c r="S817" s="17">
        <f>ROUND($B817*S$724*S816,2)</f>
        <v>0</v>
      </c>
      <c r="T817" s="17">
        <f>ROUND($B817*T$724,2)</f>
        <v>0</v>
      </c>
      <c r="U817" s="17">
        <f>ROUND($B817*U$724,2)</f>
        <v>0</v>
      </c>
      <c r="V817" s="17">
        <f>ROUND($B817*V$722,2)</f>
        <v>-0.01</v>
      </c>
      <c r="W817" s="17">
        <f>ROUND($B817*W$724,2)</f>
        <v>0</v>
      </c>
      <c r="X817" s="17">
        <f>ROUND($B817*X$724,2)</f>
        <v>-0.01</v>
      </c>
      <c r="Y817" s="17">
        <f>ROUND($B817*Y$724,2)</f>
        <v>0</v>
      </c>
      <c r="Z817" s="17">
        <f>ROUND($B817*Z$724,2)</f>
        <v>0</v>
      </c>
      <c r="AA817" s="17">
        <f>ROUND($B817*AA$724,2)</f>
        <v>0</v>
      </c>
      <c r="AB817" s="19">
        <f>SUM(U812:AA812)</f>
        <v>0</v>
      </c>
      <c r="AC817" s="67" t="str">
        <f>+F817</f>
        <v>PH4</v>
      </c>
    </row>
    <row r="818" spans="1:29" x14ac:dyDescent="0.2">
      <c r="A818" s="9"/>
      <c r="B818" s="103">
        <v>-1</v>
      </c>
      <c r="D818" s="8"/>
      <c r="E818" s="9"/>
      <c r="F818" s="36"/>
      <c r="H818" s="12"/>
      <c r="I818" s="19"/>
      <c r="J818" s="12"/>
      <c r="K818" s="43">
        <f>ROUND(C819*K$725,0)</f>
        <v>25000</v>
      </c>
      <c r="L818" s="35">
        <f>+B819-K818</f>
        <v>-25001</v>
      </c>
      <c r="M818" s="12"/>
      <c r="N818" s="12"/>
      <c r="O818" s="12"/>
      <c r="P818" s="17" t="e">
        <f>SUM(J819:M819,R819:AA819)</f>
        <v>#N/A</v>
      </c>
      <c r="Q818" s="17">
        <f t="shared" ref="Q818:Q823" si="50">M818</f>
        <v>0</v>
      </c>
      <c r="R818" s="38" t="e">
        <f>VLOOKUP((D819),'Pwr Factor'!$A$1:$B$52,2)</f>
        <v>#N/A</v>
      </c>
      <c r="S818" s="50">
        <v>1</v>
      </c>
      <c r="T818" s="12"/>
      <c r="U818" s="12"/>
      <c r="V818" s="12"/>
      <c r="W818" s="12"/>
      <c r="X818" s="12"/>
      <c r="Y818" s="12"/>
      <c r="Z818" s="12"/>
      <c r="AA818" s="12"/>
    </row>
    <row r="819" spans="1:29" x14ac:dyDescent="0.2">
      <c r="A819" s="1" t="s">
        <v>148</v>
      </c>
      <c r="B819" s="103">
        <f>IF(AND('AES Indiana Bill Calc.'!$D$17="PH",'AES Indiana Bill Calc.'!$D$18="Yes 100%",'AES Indiana Bill Calc.'!$D$20="Yes 2025"),'AES Indiana Bill Calc.'!$D$19,-1)</f>
        <v>-1</v>
      </c>
      <c r="C819" s="103">
        <f>MAX(E819,$C$725)</f>
        <v>100</v>
      </c>
      <c r="D819" s="103" t="b">
        <f>IF(AND('AES Indiana Bill Calc.'!$D$17="PH",'AES Indiana Bill Calc.'!$D$18="Yes 100%",'AES Indiana Bill Calc.'!$D$20="Yes 2025"),'AES Indiana Bill Calc.'!$D$22)</f>
        <v>0</v>
      </c>
      <c r="E819" s="103" t="b">
        <f>IF(AND('AES Indiana Bill Calc.'!$D$17="PH",'AES Indiana Bill Calc.'!$D$18="Yes 100%",'AES Indiana Bill Calc.'!$D$20="Yes 2025"),'AES Indiana Bill Calc.'!$D$21)</f>
        <v>0</v>
      </c>
      <c r="F819" s="36" t="s">
        <v>331</v>
      </c>
      <c r="G819" s="137" t="e">
        <f>MAX(I819,P818)</f>
        <v>#N/A</v>
      </c>
      <c r="H819" s="19" t="e">
        <f>IF(ISBLANK(B819),0,+#REF!/B819)</f>
        <v>#REF!</v>
      </c>
      <c r="I819" s="115">
        <f>(E819*120*$K$724)+$J$724</f>
        <v>1250</v>
      </c>
      <c r="J819" s="51">
        <f>IF(ISBLANK(B819),0,+J$724)</f>
        <v>1250</v>
      </c>
      <c r="K819" s="16">
        <f>IF($B819&gt;K818,ROUND(K818*K$724,2),ROUND($B819*K$724,2))</f>
        <v>-0.1</v>
      </c>
      <c r="L819" s="17">
        <f>IF($B819&gt;K818,ROUND((B819-K818)*L$724,2),0)</f>
        <v>0</v>
      </c>
      <c r="M819" s="17">
        <f>IF($C819&gt;L$611,ROUND(($C819-L$611)*M$610,2),0)</f>
        <v>0</v>
      </c>
      <c r="N819" s="17">
        <f>SUM(K819:L819)</f>
        <v>-0.1</v>
      </c>
      <c r="O819" s="17"/>
      <c r="P819" s="12"/>
      <c r="Q819" s="17">
        <f t="shared" si="50"/>
        <v>0</v>
      </c>
      <c r="R819" s="16" t="e">
        <f>ROUND(SUM(K819:M819)*(R818-1),2)</f>
        <v>#N/A</v>
      </c>
      <c r="S819" s="17">
        <f>ROUND($B819*S$724*S818,2)</f>
        <v>0</v>
      </c>
      <c r="T819" s="17">
        <f>ROUND($B819*T$724,2)</f>
        <v>0</v>
      </c>
      <c r="U819" s="17">
        <f>ROUND($B819*U$724,2)</f>
        <v>0</v>
      </c>
      <c r="V819" s="17">
        <f>ROUND($B819*V$723,2)</f>
        <v>-0.01</v>
      </c>
      <c r="W819" s="17">
        <f>ROUND($B819*W$724,2)</f>
        <v>0</v>
      </c>
      <c r="X819" s="17">
        <f>ROUND($B819*X$724,2)</f>
        <v>-0.01</v>
      </c>
      <c r="Y819" s="17">
        <f>ROUND($B819*Y$724,2)</f>
        <v>0</v>
      </c>
      <c r="Z819" s="17">
        <f>ROUND($B819*Z$724,2)</f>
        <v>0</v>
      </c>
      <c r="AA819" s="17">
        <f>ROUND($B819*AA$724,2)</f>
        <v>0</v>
      </c>
      <c r="AB819" s="19">
        <f>SUM(U814:AA814)</f>
        <v>0</v>
      </c>
      <c r="AC819" s="67" t="str">
        <f>+F819</f>
        <v>PH5</v>
      </c>
    </row>
    <row r="820" spans="1:29" x14ac:dyDescent="0.2">
      <c r="A820" s="9"/>
      <c r="B820" s="103">
        <v>-1</v>
      </c>
      <c r="D820" s="8"/>
      <c r="E820" s="9"/>
      <c r="F820" s="36"/>
      <c r="H820" s="12"/>
      <c r="I820" s="19"/>
      <c r="J820" s="12"/>
      <c r="K820" s="43">
        <f>ROUND(C821*K$725,0)</f>
        <v>25000</v>
      </c>
      <c r="L820" s="35">
        <f>+B821-K820</f>
        <v>-25001</v>
      </c>
      <c r="M820" s="12"/>
      <c r="N820" s="12"/>
      <c r="O820" s="12"/>
      <c r="P820" s="17" t="e">
        <f>SUM(J821:M821,R821:AA821)</f>
        <v>#N/A</v>
      </c>
      <c r="Q820" s="17">
        <f t="shared" si="50"/>
        <v>0</v>
      </c>
      <c r="R820" s="38" t="e">
        <f>VLOOKUP((D821),'Pwr Factor'!$A$1:$B$52,2)</f>
        <v>#N/A</v>
      </c>
      <c r="S820" s="50">
        <v>0.5</v>
      </c>
      <c r="T820" s="12"/>
      <c r="U820" s="12"/>
      <c r="V820" s="12"/>
      <c r="W820" s="12"/>
      <c r="X820" s="12"/>
      <c r="Y820" s="12"/>
      <c r="Z820" s="12"/>
      <c r="AA820" s="12"/>
    </row>
    <row r="821" spans="1:29" x14ac:dyDescent="0.2">
      <c r="A821" s="1" t="s">
        <v>149</v>
      </c>
      <c r="B821" s="103">
        <f>IF(AND('AES Indiana Bill Calc.'!$D$17="PH",'AES Indiana Bill Calc.'!$D$18="Yes 50%",'AES Indiana Bill Calc.'!$D$20="Yes 2025"),'AES Indiana Bill Calc.'!$D$19,-1)</f>
        <v>-1</v>
      </c>
      <c r="C821" s="103">
        <f>MAX(E821,$C$725)</f>
        <v>100</v>
      </c>
      <c r="D821" s="103" t="b">
        <f>IF(AND('AES Indiana Bill Calc.'!$D$17="PH",'AES Indiana Bill Calc.'!$D$18="Yes 50%",'AES Indiana Bill Calc.'!$D$20="Yes 2025"),'AES Indiana Bill Calc.'!$D$22)</f>
        <v>0</v>
      </c>
      <c r="E821" s="103" t="b">
        <f>IF(AND('AES Indiana Bill Calc.'!$D$17="PH",'AES Indiana Bill Calc.'!$D$18="Yes 50%",'AES Indiana Bill Calc.'!$D$20="Yes 2025"),'AES Indiana Bill Calc.'!$D$21)</f>
        <v>0</v>
      </c>
      <c r="F821" s="36" t="s">
        <v>331</v>
      </c>
      <c r="G821" s="137" t="e">
        <f>MAX(I821,P820)</f>
        <v>#N/A</v>
      </c>
      <c r="H821" s="19" t="e">
        <f>IF(ISBLANK(B821),0,+#REF!/B821)</f>
        <v>#REF!</v>
      </c>
      <c r="I821" s="115">
        <f>(E821*120*$K$724)+$J$724</f>
        <v>1250</v>
      </c>
      <c r="J821" s="51">
        <f>IF(ISBLANK(B821),0,+J$724)</f>
        <v>1250</v>
      </c>
      <c r="K821" s="16">
        <f>IF($B821&gt;K820,ROUND(K820*K$724,2),ROUND($B821*K$724,2))</f>
        <v>-0.1</v>
      </c>
      <c r="L821" s="17">
        <f>IF($B821&gt;K820,ROUND((B821-K820)*L$724,2),0)</f>
        <v>0</v>
      </c>
      <c r="M821" s="17">
        <f>IF($C821&gt;L$611,ROUND(($C821-L$611)*M$610,2),0)</f>
        <v>0</v>
      </c>
      <c r="N821" s="17">
        <f>SUM(K821:L821)</f>
        <v>-0.1</v>
      </c>
      <c r="O821" s="17"/>
      <c r="P821" s="12"/>
      <c r="Q821" s="17">
        <f t="shared" si="50"/>
        <v>0</v>
      </c>
      <c r="R821" s="16" t="e">
        <f>ROUND(SUM(K821:M821)*(R820-1),2)</f>
        <v>#N/A</v>
      </c>
      <c r="S821" s="17">
        <f>ROUND($B821*S$724*S820,2)</f>
        <v>0</v>
      </c>
      <c r="T821" s="17">
        <f>ROUND($B821*T$724,2)</f>
        <v>0</v>
      </c>
      <c r="U821" s="17">
        <f>ROUND($B821*U$724,2)</f>
        <v>0</v>
      </c>
      <c r="V821" s="17">
        <f>ROUND($B821*V$723,2)</f>
        <v>-0.01</v>
      </c>
      <c r="W821" s="17">
        <f>ROUND($B821*W$724,2)</f>
        <v>0</v>
      </c>
      <c r="X821" s="17">
        <f>ROUND($B821*X$724,2)</f>
        <v>-0.01</v>
      </c>
      <c r="Y821" s="17">
        <f>ROUND($B821*Y$724,2)</f>
        <v>0</v>
      </c>
      <c r="Z821" s="17">
        <f>ROUND($B821*Z$724,2)</f>
        <v>0</v>
      </c>
      <c r="AA821" s="17">
        <f>ROUND($B821*AA$724,2)</f>
        <v>0</v>
      </c>
      <c r="AB821" s="19">
        <f>SUM(U816:AA816)</f>
        <v>0</v>
      </c>
      <c r="AC821" s="67" t="str">
        <f>+F821</f>
        <v>PH5</v>
      </c>
    </row>
    <row r="822" spans="1:29" x14ac:dyDescent="0.2">
      <c r="A822" s="9"/>
      <c r="B822" s="103">
        <v>-1</v>
      </c>
      <c r="D822" s="8"/>
      <c r="E822" s="9"/>
      <c r="F822" s="36"/>
      <c r="H822" s="12"/>
      <c r="I822" s="19"/>
      <c r="J822" s="12"/>
      <c r="K822" s="43">
        <f>ROUND(C823*K$725,0)</f>
        <v>25000</v>
      </c>
      <c r="L822" s="35">
        <f>+B823-K822</f>
        <v>-25001</v>
      </c>
      <c r="M822" s="12"/>
      <c r="N822" s="12"/>
      <c r="O822" s="12"/>
      <c r="P822" s="17" t="e">
        <f>SUM(J823:M823,R823:AA823)</f>
        <v>#N/A</v>
      </c>
      <c r="Q822" s="17">
        <f t="shared" si="50"/>
        <v>0</v>
      </c>
      <c r="R822" s="38" t="e">
        <f>VLOOKUP((D823),'Pwr Factor'!$A$1:$B$52,2)</f>
        <v>#N/A</v>
      </c>
      <c r="S822" s="50">
        <v>0.25</v>
      </c>
      <c r="T822" s="12"/>
      <c r="U822" s="12"/>
      <c r="V822" s="12"/>
      <c r="W822" s="12"/>
      <c r="X822" s="12"/>
      <c r="Y822" s="12"/>
      <c r="Z822" s="12"/>
      <c r="AA822" s="12"/>
    </row>
    <row r="823" spans="1:29" x14ac:dyDescent="0.2">
      <c r="A823" s="1" t="s">
        <v>150</v>
      </c>
      <c r="B823" s="103">
        <f>IF(AND('AES Indiana Bill Calc.'!$D$17="PH",'AES Indiana Bill Calc.'!$D$18="Yes 25%",'AES Indiana Bill Calc.'!$D$20="Yes 2025"),'AES Indiana Bill Calc.'!$D$19,-1)</f>
        <v>-1</v>
      </c>
      <c r="C823" s="103">
        <f>MAX(E823,$C$725)</f>
        <v>100</v>
      </c>
      <c r="D823" s="103" t="b">
        <f>IF(AND('AES Indiana Bill Calc.'!$D$17="PH",'AES Indiana Bill Calc.'!$D$18="Yes 25%",'AES Indiana Bill Calc.'!$D$20="Yes 2025"),'AES Indiana Bill Calc.'!$D$22)</f>
        <v>0</v>
      </c>
      <c r="E823" s="103" t="b">
        <f>IF(AND('AES Indiana Bill Calc.'!$D$17="PH",'AES Indiana Bill Calc.'!$D$18="Yes 25%",'AES Indiana Bill Calc.'!$D$20="Yes 2025"),'AES Indiana Bill Calc.'!$D$21)</f>
        <v>0</v>
      </c>
      <c r="F823" s="36" t="s">
        <v>331</v>
      </c>
      <c r="G823" s="137" t="e">
        <f>MAX(I823,P822)</f>
        <v>#N/A</v>
      </c>
      <c r="H823" s="19" t="e">
        <f>IF(ISBLANK(B823),0,+#REF!/B823)</f>
        <v>#REF!</v>
      </c>
      <c r="I823" s="115">
        <f>(E823*120*$K$724)+$J$724</f>
        <v>1250</v>
      </c>
      <c r="J823" s="51">
        <f>IF(ISBLANK(B823),0,+J$724)</f>
        <v>1250</v>
      </c>
      <c r="K823" s="16">
        <f>IF($B823&gt;K822,ROUND(K822*K$724,2),ROUND($B823*K$724,2))</f>
        <v>-0.1</v>
      </c>
      <c r="L823" s="17">
        <f>IF($B823&gt;K822,ROUND((B823-K822)*L$724,2),0)</f>
        <v>0</v>
      </c>
      <c r="M823" s="17">
        <f>IF($C823&gt;L$611,ROUND(($C823-L$611)*M$610,2),0)</f>
        <v>0</v>
      </c>
      <c r="N823" s="17">
        <f>SUM(K823:L823)</f>
        <v>-0.1</v>
      </c>
      <c r="O823" s="17"/>
      <c r="P823" s="12"/>
      <c r="Q823" s="17">
        <f t="shared" si="50"/>
        <v>0</v>
      </c>
      <c r="R823" s="16" t="e">
        <f>ROUND(SUM(K823:M823)*(R822-1),2)</f>
        <v>#N/A</v>
      </c>
      <c r="S823" s="17">
        <f>ROUND($B823*S$724*S822,2)</f>
        <v>0</v>
      </c>
      <c r="T823" s="17">
        <f>ROUND($B823*T$724,2)</f>
        <v>0</v>
      </c>
      <c r="U823" s="17">
        <f>ROUND($B823*U$724,2)</f>
        <v>0</v>
      </c>
      <c r="V823" s="17">
        <f>ROUND($B823*V$723,2)</f>
        <v>-0.01</v>
      </c>
      <c r="W823" s="17">
        <f>ROUND($B823*W$724,2)</f>
        <v>0</v>
      </c>
      <c r="X823" s="17">
        <f>ROUND($B823*X$724,2)</f>
        <v>-0.01</v>
      </c>
      <c r="Y823" s="17">
        <f>ROUND($B823*Y$724,2)</f>
        <v>0</v>
      </c>
      <c r="Z823" s="17">
        <f>ROUND($B823*Z$724,2)</f>
        <v>0</v>
      </c>
      <c r="AA823" s="17">
        <f>ROUND($B823*AA$724,2)</f>
        <v>0</v>
      </c>
      <c r="AB823" s="19">
        <f>SUM(U818:AA818)</f>
        <v>0</v>
      </c>
      <c r="AC823" s="67" t="str">
        <f>+F823</f>
        <v>PH5</v>
      </c>
    </row>
    <row r="824" spans="1:29" x14ac:dyDescent="0.2">
      <c r="A824" s="9"/>
      <c r="B824" s="103">
        <v>-1</v>
      </c>
      <c r="D824" s="8"/>
      <c r="E824" s="9"/>
      <c r="F824" s="36"/>
      <c r="H824" s="12"/>
      <c r="I824" s="19"/>
      <c r="J824" s="12"/>
      <c r="K824" s="43">
        <f>ROUND(C825*K$725,0)</f>
        <v>25000</v>
      </c>
      <c r="L824" s="35">
        <f>+B825-K824</f>
        <v>-25001</v>
      </c>
      <c r="M824" s="12"/>
      <c r="N824" s="12"/>
      <c r="O824" s="12"/>
      <c r="P824" s="17" t="e">
        <f>SUM(J825:M825,R825:AA825)</f>
        <v>#N/A</v>
      </c>
      <c r="Q824" s="17">
        <f>M824</f>
        <v>0</v>
      </c>
      <c r="R824" s="38" t="e">
        <f>VLOOKUP((D825),'Pwr Factor'!$A$1:$B$52,2)</f>
        <v>#N/A</v>
      </c>
      <c r="S824" s="50">
        <v>0.1</v>
      </c>
      <c r="T824" s="12"/>
      <c r="U824" s="12"/>
      <c r="V824" s="12"/>
      <c r="W824" s="12"/>
      <c r="X824" s="12"/>
      <c r="Y824" s="12"/>
      <c r="Z824" s="12"/>
      <c r="AA824" s="12"/>
    </row>
    <row r="825" spans="1:29" x14ac:dyDescent="0.2">
      <c r="A825" s="1" t="s">
        <v>164</v>
      </c>
      <c r="B825" s="103">
        <f>IF(AND('AES Indiana Bill Calc.'!$D$17="PH",'AES Indiana Bill Calc.'!$D$18="Yes 10%",'AES Indiana Bill Calc.'!$D$20="Yes 2025"),'AES Indiana Bill Calc.'!$D$19,-1)</f>
        <v>-1</v>
      </c>
      <c r="C825" s="103">
        <f>MAX(E825,$C$725)</f>
        <v>100</v>
      </c>
      <c r="D825" s="103" t="b">
        <f>IF(AND('AES Indiana Bill Calc.'!$D$17="PH",'AES Indiana Bill Calc.'!$D$18="Yes 10%",'AES Indiana Bill Calc.'!$D$20="Yes 2025"),'AES Indiana Bill Calc.'!$D$22)</f>
        <v>0</v>
      </c>
      <c r="E825" s="103" t="b">
        <f>IF(AND('AES Indiana Bill Calc.'!$D$17="PH",'AES Indiana Bill Calc.'!$D$18="Yes 10%",'AES Indiana Bill Calc.'!$D$20="Yes 2025"),'AES Indiana Bill Calc.'!$D$21)</f>
        <v>0</v>
      </c>
      <c r="F825" s="36" t="s">
        <v>331</v>
      </c>
      <c r="G825" s="137" t="e">
        <f>MAX(I825,P824)</f>
        <v>#N/A</v>
      </c>
      <c r="H825" s="19" t="e">
        <f>IF(ISBLANK(B825),0,+#REF!/B825)</f>
        <v>#REF!</v>
      </c>
      <c r="I825" s="115">
        <f>(E825*120*$K$724)+$J$724</f>
        <v>1250</v>
      </c>
      <c r="J825" s="51">
        <f>IF(ISBLANK(B825),0,+J$724)</f>
        <v>1250</v>
      </c>
      <c r="K825" s="16">
        <f>IF($B825&gt;K824,ROUND(K824*K$724,2),ROUND($B825*K$724,2))</f>
        <v>-0.1</v>
      </c>
      <c r="L825" s="17">
        <f>IF($B825&gt;K824,ROUND((B825-K824)*L$724,2),0)</f>
        <v>0</v>
      </c>
      <c r="M825" s="17">
        <f>IF($C825&gt;L$611,ROUND(($C825-L$611)*M$610,2),0)</f>
        <v>0</v>
      </c>
      <c r="N825" s="17">
        <f>SUM(K825:L825)</f>
        <v>-0.1</v>
      </c>
      <c r="O825" s="17"/>
      <c r="P825" s="12"/>
      <c r="Q825" s="17">
        <f>M825</f>
        <v>0</v>
      </c>
      <c r="R825" s="16" t="e">
        <f>ROUND(SUM(K825:M825)*(R824-1),2)</f>
        <v>#N/A</v>
      </c>
      <c r="S825" s="17">
        <f>ROUND($B825*S$724*S824,2)</f>
        <v>0</v>
      </c>
      <c r="T825" s="17">
        <f>ROUND($B825*T$724,2)</f>
        <v>0</v>
      </c>
      <c r="U825" s="17">
        <f>ROUND($B825*U$724,2)</f>
        <v>0</v>
      </c>
      <c r="V825" s="17">
        <f>ROUND($B825*V$723,2)</f>
        <v>-0.01</v>
      </c>
      <c r="W825" s="17">
        <f>ROUND($B825*W$724,2)</f>
        <v>0</v>
      </c>
      <c r="X825" s="17">
        <f>ROUND($B825*X$724,2)</f>
        <v>-0.01</v>
      </c>
      <c r="Y825" s="17">
        <f>ROUND($B825*Y$724,2)</f>
        <v>0</v>
      </c>
      <c r="Z825" s="17">
        <f>ROUND($B825*Z$724,2)</f>
        <v>0</v>
      </c>
      <c r="AA825" s="17">
        <f>ROUND($B825*AA$724,2)</f>
        <v>0</v>
      </c>
      <c r="AB825" s="19">
        <f>SUM(U820:AA820)</f>
        <v>0</v>
      </c>
      <c r="AC825" s="67" t="str">
        <f>+F825</f>
        <v>PH5</v>
      </c>
    </row>
    <row r="826" spans="1:29" x14ac:dyDescent="0.2">
      <c r="A826" s="9"/>
      <c r="B826" s="103">
        <v>-1</v>
      </c>
      <c r="D826" s="8"/>
      <c r="E826" s="9"/>
      <c r="F826" s="36"/>
      <c r="H826" s="12"/>
      <c r="I826" s="19"/>
      <c r="J826" s="12"/>
      <c r="K826" s="43">
        <f>ROUND(C827*K$725,0)</f>
        <v>25000</v>
      </c>
      <c r="L826" s="35">
        <f>+B827-K826</f>
        <v>-25001</v>
      </c>
      <c r="M826" s="12"/>
      <c r="N826" s="12"/>
      <c r="O826" s="12"/>
      <c r="P826" s="17" t="e">
        <f>SUM(J827:M827,R827:AA827)</f>
        <v>#N/A</v>
      </c>
      <c r="Q826" s="17">
        <f>M826</f>
        <v>0</v>
      </c>
      <c r="R826" s="38" t="e">
        <f>VLOOKUP((D827),'Pwr Factor'!$A$1:$B$52,2)</f>
        <v>#N/A</v>
      </c>
      <c r="S826" s="50">
        <v>0</v>
      </c>
      <c r="T826" s="12"/>
      <c r="U826" s="12"/>
      <c r="V826" s="142"/>
      <c r="W826" s="12"/>
      <c r="X826" s="12"/>
      <c r="Y826" s="12"/>
      <c r="Z826" s="12"/>
      <c r="AA826" s="12"/>
    </row>
    <row r="827" spans="1:29" x14ac:dyDescent="0.2">
      <c r="A827" s="1" t="s">
        <v>147</v>
      </c>
      <c r="B827" s="103">
        <f>IF(AND('AES Indiana Bill Calc.'!$D$17="PH",'AES Indiana Bill Calc.'!$D$18="No",'AES Indiana Bill Calc.'!$D$20="Yes 2025"),'AES Indiana Bill Calc.'!$D$19,-1)</f>
        <v>-1</v>
      </c>
      <c r="C827" s="103">
        <f>MAX(E827,$C$725)</f>
        <v>100</v>
      </c>
      <c r="D827" s="103" t="b">
        <f>IF(AND('AES Indiana Bill Calc.'!$D$17="PH",'AES Indiana Bill Calc.'!$D$18="No",'AES Indiana Bill Calc.'!$D$20="Yes 2025"),'AES Indiana Bill Calc.'!$D$22)</f>
        <v>0</v>
      </c>
      <c r="E827" s="103" t="b">
        <f>IF(AND('AES Indiana Bill Calc.'!$D$17="PH",'AES Indiana Bill Calc.'!$D$18="No",'AES Indiana Bill Calc.'!$D$20="Yes 2025"),'AES Indiana Bill Calc.'!$D$21)</f>
        <v>0</v>
      </c>
      <c r="F827" s="36" t="s">
        <v>331</v>
      </c>
      <c r="G827" s="137" t="e">
        <f>MAX(I827,P826)</f>
        <v>#N/A</v>
      </c>
      <c r="H827" s="19" t="e">
        <f>IF(ISBLANK(B827),0,+#REF!/B827)</f>
        <v>#REF!</v>
      </c>
      <c r="I827" s="115">
        <f>(E827*120*$K$724)+$J$724</f>
        <v>1250</v>
      </c>
      <c r="J827" s="51">
        <f>IF(ISBLANK(B827),0,+J$724)</f>
        <v>1250</v>
      </c>
      <c r="K827" s="16">
        <f>IF($B827&gt;K826,ROUND(K826*K$724,2),ROUND($B827*K$724,2))</f>
        <v>-0.1</v>
      </c>
      <c r="L827" s="17">
        <f>IF($B827&gt;K826,ROUND((B827-K826)*L$724,2),0)</f>
        <v>0</v>
      </c>
      <c r="M827" s="17">
        <f>IF($C827&gt;L$611,ROUND(($C827-L$611)*M$610,2),0)</f>
        <v>0</v>
      </c>
      <c r="N827" s="17">
        <f>SUM(K827:L827)</f>
        <v>-0.1</v>
      </c>
      <c r="O827" s="17"/>
      <c r="P827" s="17"/>
      <c r="Q827" s="17">
        <f>M827</f>
        <v>0</v>
      </c>
      <c r="R827" s="16" t="e">
        <f>ROUND(SUM(K827:M827)*(R826-1),2)</f>
        <v>#N/A</v>
      </c>
      <c r="S827" s="17">
        <f>ROUND($B827*S$724*S826,2)</f>
        <v>0</v>
      </c>
      <c r="T827" s="17">
        <f>ROUND($B827*T$724,2)</f>
        <v>0</v>
      </c>
      <c r="U827" s="17">
        <f>ROUND($B827*U$724,2)</f>
        <v>0</v>
      </c>
      <c r="V827" s="17">
        <f>ROUND($B827*V$723,2)</f>
        <v>-0.01</v>
      </c>
      <c r="W827" s="17">
        <f>ROUND($B827*W$724,2)</f>
        <v>0</v>
      </c>
      <c r="X827" s="17">
        <f>ROUND($B827*X$724,2)</f>
        <v>-0.01</v>
      </c>
      <c r="Y827" s="17">
        <f>ROUND($B827*Y$724,2)</f>
        <v>0</v>
      </c>
      <c r="Z827" s="17">
        <f>ROUND($B827*Z$724,2)</f>
        <v>0</v>
      </c>
      <c r="AA827" s="17">
        <f>ROUND($B827*AA$724,2)</f>
        <v>0</v>
      </c>
      <c r="AB827" s="19">
        <f>SUM(U822:AA822)</f>
        <v>0</v>
      </c>
      <c r="AC827" s="67" t="str">
        <f>+F827</f>
        <v>PH5</v>
      </c>
    </row>
    <row r="828" spans="1:29" x14ac:dyDescent="0.2">
      <c r="A828" s="80"/>
      <c r="B828" s="103">
        <v>-1</v>
      </c>
      <c r="C828" s="9"/>
      <c r="D828" s="8"/>
      <c r="F828" s="36"/>
      <c r="G828" s="42"/>
      <c r="H828" s="19"/>
      <c r="I828" s="19"/>
      <c r="J828" s="41"/>
      <c r="K828" s="42"/>
      <c r="L828" s="42"/>
      <c r="M828" s="41"/>
      <c r="N828" s="41"/>
      <c r="O828" s="41"/>
      <c r="P828" s="41"/>
      <c r="Q828" s="41"/>
      <c r="R828" s="41"/>
      <c r="S828" s="42"/>
      <c r="T828" s="42"/>
      <c r="U828" s="42"/>
      <c r="V828" s="42"/>
      <c r="W828" s="42"/>
      <c r="X828" s="42"/>
      <c r="Y828" s="42"/>
      <c r="Z828" s="42"/>
      <c r="AA828" s="42"/>
      <c r="AB828" s="19"/>
    </row>
    <row r="829" spans="1:29" x14ac:dyDescent="0.2">
      <c r="B829" s="103">
        <v>-1</v>
      </c>
      <c r="C829" s="9"/>
      <c r="D829" s="8"/>
      <c r="G829" s="17"/>
      <c r="H829" s="19"/>
      <c r="I829" s="19"/>
      <c r="J829" s="8"/>
      <c r="K829" s="17"/>
      <c r="L829" s="17"/>
      <c r="M829" s="8"/>
      <c r="N829" s="8"/>
      <c r="O829" s="8"/>
      <c r="P829" s="8"/>
      <c r="Q829" s="8"/>
      <c r="R829" s="8"/>
      <c r="S829" s="17"/>
      <c r="T829" s="17"/>
      <c r="U829" s="17"/>
      <c r="V829" s="27">
        <f>+T8</f>
        <v>0</v>
      </c>
      <c r="W829" s="6" t="s">
        <v>158</v>
      </c>
      <c r="X829" s="17"/>
      <c r="Y829" s="17"/>
      <c r="Z829" s="17"/>
      <c r="AA829" s="17"/>
      <c r="AB829" s="19">
        <f>+AB$840-V$840+V829</f>
        <v>1.1292E-2</v>
      </c>
    </row>
    <row r="830" spans="1:29" x14ac:dyDescent="0.2">
      <c r="B830" s="103">
        <v>-1</v>
      </c>
      <c r="C830" s="9"/>
      <c r="D830" s="8"/>
      <c r="L830" t="s">
        <v>193</v>
      </c>
      <c r="M830" t="s">
        <v>193</v>
      </c>
      <c r="S830" s="6"/>
      <c r="T830" s="6"/>
      <c r="U830" s="6"/>
      <c r="V830" s="27">
        <f>+$T$12</f>
        <v>0</v>
      </c>
      <c r="W830" s="6" t="s">
        <v>154</v>
      </c>
      <c r="X830" s="6"/>
      <c r="Y830" s="6"/>
      <c r="Z830" s="6"/>
      <c r="AA830" s="6"/>
      <c r="AB830" s="19" t="e">
        <f>+AB$840-V$840+#REF!</f>
        <v>#REF!</v>
      </c>
    </row>
    <row r="831" spans="1:29" x14ac:dyDescent="0.2">
      <c r="B831" s="103">
        <v>-1</v>
      </c>
      <c r="C831" s="9"/>
      <c r="D831" s="8"/>
      <c r="S831" s="6"/>
      <c r="T831" s="6"/>
      <c r="U831" s="6"/>
      <c r="V831" s="27">
        <f>+$T$14</f>
        <v>0</v>
      </c>
      <c r="W831" s="6" t="s">
        <v>155</v>
      </c>
      <c r="X831" s="6"/>
      <c r="Y831" s="6"/>
      <c r="Z831" s="6"/>
      <c r="AA831" s="6"/>
      <c r="AB831" s="19">
        <f>+AB$840-V$840+V830</f>
        <v>1.1292E-2</v>
      </c>
    </row>
    <row r="832" spans="1:29" x14ac:dyDescent="0.2">
      <c r="B832" s="103">
        <v>-1</v>
      </c>
      <c r="C832" s="9"/>
      <c r="D832" s="8"/>
      <c r="S832" s="6"/>
      <c r="T832" s="6"/>
      <c r="U832" s="6"/>
      <c r="V832" s="27">
        <f>$T$16</f>
        <v>1.18E-4</v>
      </c>
      <c r="W832" s="6" t="s">
        <v>156</v>
      </c>
      <c r="X832" s="6"/>
      <c r="Y832" s="6"/>
      <c r="Z832" s="6"/>
      <c r="AA832" s="6"/>
      <c r="AB832" s="19"/>
    </row>
    <row r="833" spans="1:29" x14ac:dyDescent="0.2">
      <c r="B833" s="103">
        <v>-1</v>
      </c>
      <c r="C833" s="9"/>
      <c r="D833" s="8"/>
      <c r="S833" s="6"/>
      <c r="T833" s="6"/>
      <c r="U833" s="6"/>
      <c r="V833" s="27">
        <f>$T$19</f>
        <v>4.55E-4</v>
      </c>
      <c r="W833" s="6" t="s">
        <v>157</v>
      </c>
      <c r="X833" s="6"/>
      <c r="Y833" s="6"/>
      <c r="Z833" s="6"/>
      <c r="AA833" s="6"/>
      <c r="AB833" s="19"/>
    </row>
    <row r="834" spans="1:29" x14ac:dyDescent="0.2">
      <c r="B834" s="103">
        <v>-1</v>
      </c>
      <c r="C834" s="9"/>
      <c r="D834" s="8"/>
      <c r="S834" s="6"/>
      <c r="T834" s="6"/>
      <c r="U834" s="6"/>
      <c r="V834" s="27">
        <f>$T$21</f>
        <v>9.41E-4</v>
      </c>
      <c r="W834" s="6" t="s">
        <v>158</v>
      </c>
      <c r="X834" s="6"/>
      <c r="Y834" s="6"/>
      <c r="Z834" s="6"/>
      <c r="AA834" s="6"/>
      <c r="AB834" s="19"/>
    </row>
    <row r="835" spans="1:29" x14ac:dyDescent="0.2">
      <c r="B835" s="103">
        <v>-1</v>
      </c>
      <c r="C835" s="9"/>
      <c r="D835" s="8"/>
      <c r="S835" s="6"/>
      <c r="T835" s="6"/>
      <c r="U835" s="6"/>
      <c r="V835" s="27">
        <f>$T$23</f>
        <v>-1.0000000000000001E-5</v>
      </c>
      <c r="W835" s="6" t="s">
        <v>159</v>
      </c>
      <c r="X835" s="6"/>
      <c r="Y835" s="6"/>
      <c r="Z835" s="6"/>
      <c r="AA835" s="6"/>
      <c r="AB835" s="19"/>
    </row>
    <row r="836" spans="1:29" x14ac:dyDescent="0.2">
      <c r="B836" s="103">
        <v>-1</v>
      </c>
      <c r="C836" s="33" t="s">
        <v>194</v>
      </c>
      <c r="D836" s="8"/>
      <c r="S836" s="6"/>
      <c r="T836" s="6"/>
      <c r="U836" s="6"/>
      <c r="V836" s="27">
        <f>$T$25</f>
        <v>0</v>
      </c>
      <c r="W836" s="6" t="s">
        <v>160</v>
      </c>
      <c r="X836" s="6"/>
      <c r="Y836" s="6"/>
      <c r="Z836" s="6"/>
      <c r="AA836" s="6"/>
      <c r="AB836" s="19"/>
    </row>
    <row r="837" spans="1:29" x14ac:dyDescent="0.2">
      <c r="B837" s="103">
        <v>-1</v>
      </c>
      <c r="C837" s="9">
        <v>2000</v>
      </c>
      <c r="D837" s="8"/>
      <c r="S837" s="6"/>
      <c r="T837" s="6"/>
      <c r="U837" s="6"/>
      <c r="V837" s="19">
        <f>T27</f>
        <v>0</v>
      </c>
      <c r="W837" s="6" t="s">
        <v>161</v>
      </c>
      <c r="X837" s="6"/>
      <c r="Y837" s="6"/>
      <c r="Z837" s="6"/>
      <c r="AA837" s="6"/>
      <c r="AB837" s="19"/>
    </row>
    <row r="838" spans="1:29" x14ac:dyDescent="0.2">
      <c r="B838" s="103">
        <v>-1</v>
      </c>
      <c r="C838" s="9"/>
      <c r="D838" s="8"/>
      <c r="S838" s="6"/>
      <c r="T838" s="6"/>
      <c r="U838" s="6"/>
      <c r="V838" s="19">
        <f>T29</f>
        <v>7.4390000000000003E-3</v>
      </c>
      <c r="W838" s="6" t="s">
        <v>296</v>
      </c>
      <c r="X838" s="6"/>
      <c r="Y838" s="6"/>
      <c r="Z838" s="6"/>
      <c r="AA838" s="6"/>
      <c r="AB838" s="19"/>
    </row>
    <row r="839" spans="1:29" x14ac:dyDescent="0.2">
      <c r="B839" s="103">
        <v>-1</v>
      </c>
      <c r="C839" s="9"/>
      <c r="D839" s="8"/>
      <c r="S839" s="6"/>
      <c r="T839" s="6"/>
      <c r="U839" s="6"/>
      <c r="V839" s="19">
        <f>T31</f>
        <v>8.4290000000000007E-3</v>
      </c>
      <c r="W839" s="6" t="s">
        <v>172</v>
      </c>
      <c r="X839" s="6"/>
      <c r="Y839" s="6"/>
      <c r="Z839" s="6"/>
      <c r="AA839" s="6"/>
      <c r="AB839" s="19"/>
    </row>
    <row r="840" spans="1:29" x14ac:dyDescent="0.2">
      <c r="B840" s="103">
        <v>-1</v>
      </c>
      <c r="C840" s="9"/>
      <c r="D840" s="8"/>
      <c r="F840" s="70"/>
      <c r="G840" s="70"/>
      <c r="H840" s="70"/>
      <c r="I840" s="70"/>
      <c r="J840" s="159">
        <v>130</v>
      </c>
      <c r="K840" s="160">
        <v>4.0606000000000003E-2</v>
      </c>
      <c r="L840" s="159">
        <v>27.95</v>
      </c>
      <c r="M840" s="159">
        <v>27.95</v>
      </c>
      <c r="N840" s="72"/>
      <c r="O840" s="72"/>
      <c r="P840" s="72"/>
      <c r="Q840" s="72"/>
      <c r="R840" s="5"/>
      <c r="S840" s="27">
        <f>+S610</f>
        <v>1.8E-3</v>
      </c>
      <c r="T840" s="27">
        <f>+T610</f>
        <v>3.9020000000000001E-3</v>
      </c>
      <c r="U840" s="27">
        <f>+$S$32</f>
        <v>1.305E-3</v>
      </c>
      <c r="V840" s="27">
        <f>+V610</f>
        <v>1.3795999999999999E-2</v>
      </c>
      <c r="W840" s="27">
        <f>+W610</f>
        <v>0</v>
      </c>
      <c r="X840" s="27">
        <f>+V32</f>
        <v>7.084E-3</v>
      </c>
      <c r="Y840" s="27">
        <f>+W32</f>
        <v>-2.5599999999999999E-4</v>
      </c>
      <c r="Z840" s="27">
        <f>+X32</f>
        <v>3.1589999999999999E-3</v>
      </c>
      <c r="AA840" s="27">
        <f>+Y32</f>
        <v>5.6300000000000002E-4</v>
      </c>
      <c r="AB840" s="19">
        <f>SUM(U840:Z840)</f>
        <v>2.5087999999999999E-2</v>
      </c>
    </row>
    <row r="841" spans="1:29" x14ac:dyDescent="0.2">
      <c r="A841" s="1"/>
      <c r="B841" s="103">
        <v>-1</v>
      </c>
      <c r="C841" s="9"/>
      <c r="D841" s="8"/>
      <c r="F841" s="70"/>
      <c r="G841" s="70"/>
      <c r="H841" s="70"/>
      <c r="I841" s="70"/>
      <c r="J841" s="70"/>
      <c r="K841" s="70"/>
      <c r="L841" s="73">
        <v>4000</v>
      </c>
      <c r="M841" s="70"/>
      <c r="N841" s="70"/>
      <c r="O841" s="70"/>
      <c r="P841" s="70"/>
      <c r="Q841" s="70"/>
    </row>
    <row r="842" spans="1:29" x14ac:dyDescent="0.2">
      <c r="B842" s="103">
        <v>-1</v>
      </c>
      <c r="C842" s="9"/>
      <c r="D842" s="8"/>
      <c r="F842" s="12"/>
      <c r="J842" s="12" t="s">
        <v>137</v>
      </c>
      <c r="K842" s="12" t="s">
        <v>197</v>
      </c>
      <c r="L842" s="258" t="s">
        <v>30</v>
      </c>
      <c r="M842" s="258"/>
      <c r="N842" s="12"/>
      <c r="O842" s="12"/>
      <c r="P842" s="12"/>
      <c r="Q842" s="142" t="s">
        <v>173</v>
      </c>
      <c r="R842" s="12" t="s">
        <v>196</v>
      </c>
      <c r="S842" s="12">
        <v>21</v>
      </c>
      <c r="T842" s="12">
        <v>6</v>
      </c>
      <c r="U842" s="12">
        <v>3</v>
      </c>
      <c r="V842" s="12">
        <v>22</v>
      </c>
      <c r="W842" s="12">
        <v>13</v>
      </c>
      <c r="X842" s="12">
        <v>20</v>
      </c>
      <c r="Y842" s="12">
        <v>24</v>
      </c>
      <c r="Z842" s="12">
        <v>25</v>
      </c>
      <c r="AA842" s="12">
        <v>26</v>
      </c>
    </row>
    <row r="843" spans="1:29" x14ac:dyDescent="0.2">
      <c r="A843" s="13"/>
      <c r="B843" s="103">
        <v>-1</v>
      </c>
      <c r="C843" s="99" t="s">
        <v>209</v>
      </c>
      <c r="D843" s="100" t="s">
        <v>210</v>
      </c>
      <c r="E843" s="130" t="s">
        <v>199</v>
      </c>
      <c r="F843" s="13" t="s">
        <v>141</v>
      </c>
      <c r="G843" s="13" t="s">
        <v>142</v>
      </c>
      <c r="H843" s="13" t="s">
        <v>143</v>
      </c>
      <c r="I843" s="12"/>
      <c r="J843" s="13" t="s">
        <v>144</v>
      </c>
      <c r="K843" s="13" t="s">
        <v>144</v>
      </c>
      <c r="L843" s="13" t="s">
        <v>232</v>
      </c>
      <c r="M843" s="13" t="s">
        <v>233</v>
      </c>
      <c r="N843" s="142" t="s">
        <v>138</v>
      </c>
      <c r="O843" s="13"/>
      <c r="P843" s="13"/>
      <c r="Q843" s="13"/>
      <c r="R843" s="13" t="s">
        <v>201</v>
      </c>
      <c r="S843" s="13" t="s">
        <v>106</v>
      </c>
      <c r="T843" s="13" t="s">
        <v>36</v>
      </c>
      <c r="U843" s="138" t="s">
        <v>38</v>
      </c>
      <c r="V843" s="13" t="s">
        <v>107</v>
      </c>
      <c r="W843" s="13" t="s">
        <v>108</v>
      </c>
      <c r="X843" s="13" t="s">
        <v>109</v>
      </c>
      <c r="Y843" s="138" t="s">
        <v>44</v>
      </c>
      <c r="Z843" s="138" t="s">
        <v>46</v>
      </c>
      <c r="AA843" s="138" t="s">
        <v>48</v>
      </c>
      <c r="AB843" s="66" t="s">
        <v>110</v>
      </c>
    </row>
    <row r="844" spans="1:29" x14ac:dyDescent="0.2">
      <c r="B844" s="103">
        <v>-1</v>
      </c>
      <c r="C844" s="9"/>
      <c r="D844" s="8"/>
      <c r="F844" s="36"/>
      <c r="G844" s="17"/>
      <c r="H844" s="19"/>
      <c r="I844" s="12"/>
      <c r="J844" s="12"/>
      <c r="K844" s="12"/>
      <c r="L844" s="12"/>
      <c r="M844" s="12"/>
      <c r="N844" s="12"/>
      <c r="O844" s="12"/>
      <c r="P844" s="12"/>
      <c r="Q844" s="12"/>
      <c r="R844" s="38" t="e">
        <f>VLOOKUP((D845),'Pwr Factor'!$A$1:$B$52,2)</f>
        <v>#N/A</v>
      </c>
      <c r="S844" s="50">
        <v>1</v>
      </c>
      <c r="T844" s="12"/>
      <c r="U844" s="12"/>
      <c r="V844" s="12"/>
      <c r="W844" s="12"/>
      <c r="X844" s="12"/>
      <c r="Y844" s="12"/>
      <c r="Z844" s="12"/>
      <c r="AA844" s="12"/>
    </row>
    <row r="845" spans="1:29" x14ac:dyDescent="0.2">
      <c r="A845" s="1" t="s">
        <v>148</v>
      </c>
      <c r="B845" s="103">
        <f>IF(AND('AES Indiana Bill Calc.'!$D$17="HL1",'AES Indiana Bill Calc.'!$D$18="Yes 100%",'AES Indiana Bill Calc.'!$D$20="No"),'AES Indiana Bill Calc.'!$D$19,-1)</f>
        <v>-1</v>
      </c>
      <c r="C845" s="103">
        <f>MAX(E845,$C$837)</f>
        <v>2000</v>
      </c>
      <c r="D845" s="103" t="b">
        <f>IF(AND('AES Indiana Bill Calc.'!$D$17="HL1",'AES Indiana Bill Calc.'!$D$18="Yes 100%",'AES Indiana Bill Calc.'!$D$20="No"),'AES Indiana Bill Calc.'!$D$22)</f>
        <v>0</v>
      </c>
      <c r="E845" s="103" t="b">
        <f>IF(AND('AES Indiana Bill Calc.'!$D$17="HL1",'AES Indiana Bill Calc.'!$D$18="Yes 100%",'AES Indiana Bill Calc.'!$D$20="No"),'AES Indiana Bill Calc.'!$D$21)</f>
        <v>0</v>
      </c>
      <c r="F845" s="36" t="s">
        <v>65</v>
      </c>
      <c r="G845" s="92" t="e">
        <f>SUM(J845:M845,R845:AA845)</f>
        <v>#N/A</v>
      </c>
      <c r="H845" s="19" t="e">
        <f>IF(ISBLANK(B845),0,+#REF!/B845)</f>
        <v>#REF!</v>
      </c>
      <c r="I845" s="19"/>
      <c r="J845" s="51">
        <f>IF(ISBLANK(B845),0,+J$840)</f>
        <v>130</v>
      </c>
      <c r="K845" s="17">
        <f>ROUND($B845*K$840,2)</f>
        <v>-0.04</v>
      </c>
      <c r="L845" s="16">
        <f>IF(ISBLANK($C845),0,IF($C845&lt;$C$841,ROUND($C$841*$L$840,2),IF($C845&gt;L$841,ROUND(L$841*L$840,2),ROUND($C845*L$840,2))))</f>
        <v>55900</v>
      </c>
      <c r="M845" s="17">
        <f>IF($C845&gt;L$841,ROUND(($C845-L$841)*M$840,2),0)</f>
        <v>0</v>
      </c>
      <c r="N845" s="17">
        <f>K845</f>
        <v>-0.04</v>
      </c>
      <c r="O845" s="17"/>
      <c r="P845" s="17"/>
      <c r="Q845" s="17">
        <f>SUM(L845:M845)</f>
        <v>55900</v>
      </c>
      <c r="R845" s="16" t="e">
        <f>ROUND(SUM(K845:M845)*(R844-1),2)</f>
        <v>#N/A</v>
      </c>
      <c r="S845" s="17">
        <f>ROUND($B845*S$840*S844,2)</f>
        <v>0</v>
      </c>
      <c r="T845" s="17">
        <f t="shared" ref="T845:AA845" si="51">ROUND($B845*T$840,2)</f>
        <v>0</v>
      </c>
      <c r="U845" s="17">
        <f t="shared" si="51"/>
        <v>0</v>
      </c>
      <c r="V845" s="17">
        <f t="shared" si="51"/>
        <v>-0.01</v>
      </c>
      <c r="W845" s="17">
        <f t="shared" si="51"/>
        <v>0</v>
      </c>
      <c r="X845" s="17">
        <f t="shared" si="51"/>
        <v>-0.01</v>
      </c>
      <c r="Y845" s="17">
        <f t="shared" si="51"/>
        <v>0</v>
      </c>
      <c r="Z845" s="17">
        <f t="shared" si="51"/>
        <v>0</v>
      </c>
      <c r="AA845" s="17">
        <f t="shared" si="51"/>
        <v>0</v>
      </c>
      <c r="AB845" s="19">
        <f>SUM(U840:AA840)</f>
        <v>2.5651E-2</v>
      </c>
      <c r="AC845" s="67" t="str">
        <f>+F845</f>
        <v>HL1</v>
      </c>
    </row>
    <row r="846" spans="1:29" x14ac:dyDescent="0.2">
      <c r="A846" s="9"/>
      <c r="B846" s="103">
        <v>-1</v>
      </c>
      <c r="D846" s="8"/>
      <c r="E846" s="9"/>
      <c r="F846" s="36"/>
      <c r="G846" s="17"/>
      <c r="H846" s="19"/>
      <c r="I846" s="12"/>
      <c r="J846" s="12"/>
      <c r="K846" s="12"/>
      <c r="L846" s="12"/>
      <c r="M846" s="12"/>
      <c r="N846" s="12"/>
      <c r="O846" s="12"/>
      <c r="P846" s="12"/>
      <c r="Q846" s="12"/>
      <c r="R846" s="38" t="e">
        <f>VLOOKUP((D847),'Pwr Factor'!$A$1:$B$52,2)</f>
        <v>#N/A</v>
      </c>
      <c r="S846" s="50">
        <v>0.5</v>
      </c>
      <c r="T846" s="12"/>
      <c r="U846" s="12"/>
      <c r="V846" s="12"/>
      <c r="W846" s="12"/>
      <c r="X846" s="12"/>
      <c r="Y846" s="12"/>
      <c r="Z846" s="12"/>
      <c r="AA846" s="12"/>
    </row>
    <row r="847" spans="1:29" x14ac:dyDescent="0.2">
      <c r="A847" s="1" t="s">
        <v>149</v>
      </c>
      <c r="B847" s="103">
        <f>IF(AND('AES Indiana Bill Calc.'!$D$17="HL1",'AES Indiana Bill Calc.'!$D$18="Yes 50%",'AES Indiana Bill Calc.'!$D$20="No"),'AES Indiana Bill Calc.'!$D$19,-1)</f>
        <v>-1</v>
      </c>
      <c r="C847" s="103">
        <f>MAX(E847,$C$837)</f>
        <v>2000</v>
      </c>
      <c r="D847" s="103" t="b">
        <f>IF(AND('AES Indiana Bill Calc.'!$D$17="HL1",'AES Indiana Bill Calc.'!$D$18="Yes 50%",'AES Indiana Bill Calc.'!$D$20="No"),'AES Indiana Bill Calc.'!$D$22)</f>
        <v>0</v>
      </c>
      <c r="E847" s="103" t="b">
        <f>IF(AND('AES Indiana Bill Calc.'!$D$17="HL1",'AES Indiana Bill Calc.'!$D$18="Yes 50%",'AES Indiana Bill Calc.'!$D$20="No"),'AES Indiana Bill Calc.'!$D$21)</f>
        <v>0</v>
      </c>
      <c r="F847" s="36" t="s">
        <v>65</v>
      </c>
      <c r="G847" s="92" t="e">
        <f>SUM(J847:M847,R847:AA847)</f>
        <v>#N/A</v>
      </c>
      <c r="H847" s="19" t="e">
        <f>IF(ISBLANK(B847),0,+#REF!/B847)</f>
        <v>#REF!</v>
      </c>
      <c r="I847" s="19"/>
      <c r="J847" s="51">
        <f>IF(ISBLANK(B847),0,+J$840)</f>
        <v>130</v>
      </c>
      <c r="K847" s="17">
        <f>ROUND($B847*K$840,2)</f>
        <v>-0.04</v>
      </c>
      <c r="L847" s="16">
        <f>IF(ISBLANK($C847),0,IF($C847&lt;$C$841,ROUND($C$841*$L$840,2),IF($C847&gt;L$841,ROUND(L$841*L$840,2),ROUND($C847*L$840,2))))</f>
        <v>55900</v>
      </c>
      <c r="M847" s="17">
        <f>IF($C847&gt;L$841,ROUND(($C847-L$841)*M$840,2),0)</f>
        <v>0</v>
      </c>
      <c r="N847" s="17">
        <f>K847</f>
        <v>-0.04</v>
      </c>
      <c r="O847" s="17"/>
      <c r="P847" s="17"/>
      <c r="Q847" s="17">
        <f>SUM(L847:M847)</f>
        <v>55900</v>
      </c>
      <c r="R847" s="16" t="e">
        <f>ROUND(SUM(K847:M847)*(R846-1),2)</f>
        <v>#N/A</v>
      </c>
      <c r="S847" s="17">
        <f>ROUND($B847*S$840*S846,2)</f>
        <v>0</v>
      </c>
      <c r="T847" s="17">
        <f t="shared" ref="T847:AA847" si="52">ROUND($B847*T$840,2)</f>
        <v>0</v>
      </c>
      <c r="U847" s="17">
        <f t="shared" si="52"/>
        <v>0</v>
      </c>
      <c r="V847" s="17">
        <f t="shared" si="52"/>
        <v>-0.01</v>
      </c>
      <c r="W847" s="17">
        <f t="shared" si="52"/>
        <v>0</v>
      </c>
      <c r="X847" s="17">
        <f t="shared" si="52"/>
        <v>-0.01</v>
      </c>
      <c r="Y847" s="17">
        <f t="shared" si="52"/>
        <v>0</v>
      </c>
      <c r="Z847" s="17">
        <f t="shared" si="52"/>
        <v>0</v>
      </c>
      <c r="AA847" s="17">
        <f t="shared" si="52"/>
        <v>0</v>
      </c>
      <c r="AB847" s="19">
        <f>SUM(U842:AA842)</f>
        <v>133</v>
      </c>
      <c r="AC847" s="67" t="str">
        <f>+F847</f>
        <v>HL1</v>
      </c>
    </row>
    <row r="848" spans="1:29" x14ac:dyDescent="0.2">
      <c r="A848" s="9"/>
      <c r="B848" s="103">
        <v>-1</v>
      </c>
      <c r="D848" s="8"/>
      <c r="E848" s="9"/>
      <c r="F848" s="36"/>
      <c r="G848" s="17"/>
      <c r="H848" s="19"/>
      <c r="I848" s="12"/>
      <c r="J848" s="12"/>
      <c r="K848" s="12"/>
      <c r="L848" s="12"/>
      <c r="M848" s="12"/>
      <c r="N848" s="12"/>
      <c r="O848" s="12"/>
      <c r="P848" s="12"/>
      <c r="Q848" s="12"/>
      <c r="R848" s="38" t="e">
        <f>VLOOKUP((D849),'Pwr Factor'!$A$1:$B$52,2)</f>
        <v>#N/A</v>
      </c>
      <c r="S848" s="50">
        <v>0.25</v>
      </c>
      <c r="T848" s="12"/>
      <c r="U848" s="12"/>
      <c r="V848" s="12"/>
      <c r="W848" s="12"/>
      <c r="X848" s="12"/>
      <c r="Y848" s="12"/>
      <c r="Z848" s="12"/>
      <c r="AA848" s="12"/>
    </row>
    <row r="849" spans="1:29" x14ac:dyDescent="0.2">
      <c r="A849" s="1" t="s">
        <v>150</v>
      </c>
      <c r="B849" s="103">
        <f>IF(AND('AES Indiana Bill Calc.'!$D$17="HL1",'AES Indiana Bill Calc.'!$D$18="Yes 25%",'AES Indiana Bill Calc.'!$D$20="No"),'AES Indiana Bill Calc.'!$D$19,-1)</f>
        <v>-1</v>
      </c>
      <c r="C849" s="103">
        <f>MAX(E849,$C$837)</f>
        <v>2000</v>
      </c>
      <c r="D849" s="103" t="b">
        <f>IF(AND('AES Indiana Bill Calc.'!$D$17="HL1",'AES Indiana Bill Calc.'!$D$18="Yes 25%",'AES Indiana Bill Calc.'!$D$20="No"),'AES Indiana Bill Calc.'!$D$22)</f>
        <v>0</v>
      </c>
      <c r="E849" s="103" t="b">
        <f>IF(AND('AES Indiana Bill Calc.'!$D$17="HL1",'AES Indiana Bill Calc.'!$D$18="Yes 25%",'AES Indiana Bill Calc.'!$D$20="No"),'AES Indiana Bill Calc.'!$D$21)</f>
        <v>0</v>
      </c>
      <c r="F849" s="36" t="s">
        <v>65</v>
      </c>
      <c r="G849" s="92" t="e">
        <f>SUM(J849:M849,R849:AA849)</f>
        <v>#N/A</v>
      </c>
      <c r="H849" s="19" t="e">
        <f>IF(ISBLANK(B849),0,+#REF!/B849)</f>
        <v>#REF!</v>
      </c>
      <c r="I849" s="19"/>
      <c r="J849" s="51">
        <f>IF(ISBLANK(B849),0,+J$840)</f>
        <v>130</v>
      </c>
      <c r="K849" s="17">
        <f>ROUND($B849*K$840,2)</f>
        <v>-0.04</v>
      </c>
      <c r="L849" s="16">
        <f>IF(ISBLANK($C849),0,IF($C849&lt;$C$841,ROUND($C$841*$L$840,2),IF($C849&gt;L$841,ROUND(L$841*L$840,2),ROUND($C849*L$840,2))))</f>
        <v>55900</v>
      </c>
      <c r="M849" s="17">
        <f>IF($C849&gt;L$841,ROUND(($C849-L$841)*M$840,2),0)</f>
        <v>0</v>
      </c>
      <c r="N849" s="17">
        <f>K849</f>
        <v>-0.04</v>
      </c>
      <c r="O849" s="17"/>
      <c r="P849" s="17"/>
      <c r="Q849" s="17">
        <f>SUM(L849:M849)</f>
        <v>55900</v>
      </c>
      <c r="R849" s="16" t="e">
        <f>ROUND(SUM(K849:M849)*(R848-1),2)</f>
        <v>#N/A</v>
      </c>
      <c r="S849" s="17">
        <f>ROUND($B849*S$840*S848,2)</f>
        <v>0</v>
      </c>
      <c r="T849" s="17">
        <f t="shared" ref="T849:AA849" si="53">ROUND($B849*T$840,2)</f>
        <v>0</v>
      </c>
      <c r="U849" s="17">
        <f t="shared" si="53"/>
        <v>0</v>
      </c>
      <c r="V849" s="17">
        <f t="shared" si="53"/>
        <v>-0.01</v>
      </c>
      <c r="W849" s="17">
        <f t="shared" si="53"/>
        <v>0</v>
      </c>
      <c r="X849" s="17">
        <f t="shared" si="53"/>
        <v>-0.01</v>
      </c>
      <c r="Y849" s="17">
        <f t="shared" si="53"/>
        <v>0</v>
      </c>
      <c r="Z849" s="17">
        <f t="shared" si="53"/>
        <v>0</v>
      </c>
      <c r="AA849" s="17">
        <f t="shared" si="53"/>
        <v>0</v>
      </c>
      <c r="AB849" s="19">
        <f>SUM(U844:AA844)</f>
        <v>0</v>
      </c>
      <c r="AC849" s="67" t="str">
        <f>+F849</f>
        <v>HL1</v>
      </c>
    </row>
    <row r="850" spans="1:29" x14ac:dyDescent="0.2">
      <c r="A850" s="9"/>
      <c r="B850" s="103">
        <v>-1</v>
      </c>
      <c r="D850" s="8"/>
      <c r="E850" s="9"/>
      <c r="F850" s="36"/>
      <c r="G850" s="17"/>
      <c r="H850" s="19"/>
      <c r="I850" s="12"/>
      <c r="J850" s="12"/>
      <c r="K850" s="12"/>
      <c r="L850" s="12"/>
      <c r="M850" s="12"/>
      <c r="N850" s="12"/>
      <c r="O850" s="12"/>
      <c r="P850" s="12"/>
      <c r="Q850" s="17"/>
      <c r="R850" s="38" t="e">
        <f>VLOOKUP((D851),'Pwr Factor'!$A$1:$B$52,2)</f>
        <v>#N/A</v>
      </c>
      <c r="S850" s="50">
        <v>0.1</v>
      </c>
      <c r="T850" s="12"/>
      <c r="U850" s="12"/>
      <c r="V850" s="12"/>
      <c r="W850" s="12"/>
      <c r="X850" s="12"/>
      <c r="Y850" s="12"/>
      <c r="Z850" s="12"/>
      <c r="AA850" s="12"/>
    </row>
    <row r="851" spans="1:29" x14ac:dyDescent="0.2">
      <c r="A851" s="1" t="s">
        <v>164</v>
      </c>
      <c r="B851" s="103">
        <f>IF(AND('AES Indiana Bill Calc.'!$D$17="HL1",'AES Indiana Bill Calc.'!$D$18="Yes 10%",'AES Indiana Bill Calc.'!$D$20="No"),'AES Indiana Bill Calc.'!$D$19,-1)</f>
        <v>-1</v>
      </c>
      <c r="C851" s="103">
        <f>MAX(E851,$C$837)</f>
        <v>2000</v>
      </c>
      <c r="D851" s="103" t="b">
        <f>IF(AND('AES Indiana Bill Calc.'!$D$17="HL1",'AES Indiana Bill Calc.'!$D$18="Yes 10%",'AES Indiana Bill Calc.'!$D$20="No"),'AES Indiana Bill Calc.'!$D$22)</f>
        <v>0</v>
      </c>
      <c r="E851" s="103" t="b">
        <f>IF(AND('AES Indiana Bill Calc.'!$D$17="HL1",'AES Indiana Bill Calc.'!$D$18="Yes 10%",'AES Indiana Bill Calc.'!$D$20="No"),'AES Indiana Bill Calc.'!$D$21)</f>
        <v>0</v>
      </c>
      <c r="F851" s="36" t="s">
        <v>65</v>
      </c>
      <c r="G851" s="92" t="e">
        <f>SUM(J851:M851,R851:AA851)</f>
        <v>#N/A</v>
      </c>
      <c r="H851" s="19" t="e">
        <f>IF(ISBLANK(B851),0,+#REF!/B851)</f>
        <v>#REF!</v>
      </c>
      <c r="I851" s="19"/>
      <c r="J851" s="51">
        <f>IF(ISBLANK(B851),0,+J$840)</f>
        <v>130</v>
      </c>
      <c r="K851" s="17">
        <f>ROUND($B851*K$840,2)</f>
        <v>-0.04</v>
      </c>
      <c r="L851" s="16">
        <f>IF(ISBLANK($C851),0,IF($C851&lt;$C$841,ROUND($C$841*$L$840,2),IF($C851&gt;L$841,ROUND(L$841*L$840,2),ROUND($C851*L$840,2))))</f>
        <v>55900</v>
      </c>
      <c r="M851" s="17">
        <f>IF($C851&gt;L$841,ROUND(($C851-L$841)*M$840,2),0)</f>
        <v>0</v>
      </c>
      <c r="N851" s="17">
        <f>K851</f>
        <v>-0.04</v>
      </c>
      <c r="O851" s="17"/>
      <c r="P851" s="17"/>
      <c r="Q851" s="17">
        <f>SUM(L851:M851)</f>
        <v>55900</v>
      </c>
      <c r="R851" s="16" t="e">
        <f>ROUND(SUM(K851:M851)*(R850-1),2)</f>
        <v>#N/A</v>
      </c>
      <c r="S851" s="17">
        <f>ROUND($B851*S$840*S850,2)</f>
        <v>0</v>
      </c>
      <c r="T851" s="17">
        <f t="shared" ref="T851:AA851" si="54">ROUND($B851*T$840,2)</f>
        <v>0</v>
      </c>
      <c r="U851" s="17">
        <f t="shared" si="54"/>
        <v>0</v>
      </c>
      <c r="V851" s="17">
        <f t="shared" si="54"/>
        <v>-0.01</v>
      </c>
      <c r="W851" s="17">
        <f t="shared" si="54"/>
        <v>0</v>
      </c>
      <c r="X851" s="17">
        <f t="shared" si="54"/>
        <v>-0.01</v>
      </c>
      <c r="Y851" s="17">
        <f t="shared" si="54"/>
        <v>0</v>
      </c>
      <c r="Z851" s="17">
        <f t="shared" si="54"/>
        <v>0</v>
      </c>
      <c r="AA851" s="17">
        <f t="shared" si="54"/>
        <v>0</v>
      </c>
      <c r="AB851" s="19">
        <f>SUM(U846:AA846)</f>
        <v>0</v>
      </c>
      <c r="AC851" s="67" t="str">
        <f>+F851</f>
        <v>HL1</v>
      </c>
    </row>
    <row r="852" spans="1:29" x14ac:dyDescent="0.2">
      <c r="A852" s="9"/>
      <c r="B852" s="103">
        <v>-1</v>
      </c>
      <c r="D852" s="8"/>
      <c r="E852" s="9"/>
      <c r="F852" s="36"/>
      <c r="G852" s="17"/>
      <c r="H852" s="19"/>
      <c r="I852" s="12"/>
      <c r="J852" s="12"/>
      <c r="K852" s="12"/>
      <c r="L852" s="12"/>
      <c r="M852" s="12"/>
      <c r="N852" s="12"/>
      <c r="O852" s="12"/>
      <c r="P852" s="12"/>
      <c r="Q852" s="12"/>
      <c r="R852" s="38" t="e">
        <f>VLOOKUP((D853),'Pwr Factor'!$A$1:$B$52,2)</f>
        <v>#N/A</v>
      </c>
      <c r="S852" s="50">
        <v>0</v>
      </c>
      <c r="T852" s="12"/>
      <c r="U852" s="12"/>
      <c r="V852" s="12"/>
      <c r="W852" s="12"/>
      <c r="X852" s="12"/>
      <c r="Y852" s="12"/>
      <c r="Z852" s="12"/>
      <c r="AA852" s="12"/>
    </row>
    <row r="853" spans="1:29" x14ac:dyDescent="0.2">
      <c r="A853" s="1" t="s">
        <v>147</v>
      </c>
      <c r="B853" s="103">
        <f>IF(AND('AES Indiana Bill Calc.'!$D$17="HL1",'AES Indiana Bill Calc.'!$D$18="No",'AES Indiana Bill Calc.'!$D$20="No"),'AES Indiana Bill Calc.'!$D$19,-1)</f>
        <v>-1</v>
      </c>
      <c r="C853" s="103">
        <f>MAX(E853,$C$837)</f>
        <v>2000</v>
      </c>
      <c r="D853" s="103" t="b">
        <f>IF(AND('AES Indiana Bill Calc.'!$D$17="HL1",'AES Indiana Bill Calc.'!$D$18="No",'AES Indiana Bill Calc.'!$D$20="No"),'AES Indiana Bill Calc.'!$D$22)</f>
        <v>0</v>
      </c>
      <c r="E853" s="103" t="b">
        <f>IF(AND('AES Indiana Bill Calc.'!$D$17="HL1",'AES Indiana Bill Calc.'!$D$18="No",'AES Indiana Bill Calc.'!$D$20="No"),'AES Indiana Bill Calc.'!$D$21)</f>
        <v>0</v>
      </c>
      <c r="F853" s="36" t="s">
        <v>65</v>
      </c>
      <c r="G853" s="92" t="e">
        <f>SUM(J853:M853,R853:AA853)</f>
        <v>#N/A</v>
      </c>
      <c r="H853" s="19" t="e">
        <f>IF(ISBLANK(B853),0,+#REF!/B853)</f>
        <v>#REF!</v>
      </c>
      <c r="I853" s="19"/>
      <c r="J853" s="51">
        <f>IF(ISBLANK(B853),0,+J$840)</f>
        <v>130</v>
      </c>
      <c r="K853" s="17">
        <f>ROUND($B853*K$840,2)</f>
        <v>-0.04</v>
      </c>
      <c r="L853" s="16">
        <f>IF(ISBLANK($C853),0,IF($C853&lt;$C$841,ROUND($C$841*$L$840,2),IF($C853&gt;L$841,ROUND(L$841*L$840,2),ROUND($C853*L$840,2))))</f>
        <v>55900</v>
      </c>
      <c r="M853" s="17">
        <f>IF($C853&gt;L$841,ROUND(($C853-L$841)*M$840,2),0)</f>
        <v>0</v>
      </c>
      <c r="N853" s="17">
        <f>K853</f>
        <v>-0.04</v>
      </c>
      <c r="O853" s="17"/>
      <c r="P853" s="17"/>
      <c r="Q853" s="17">
        <f>SUM(L853:M853)</f>
        <v>55900</v>
      </c>
      <c r="R853" s="16" t="e">
        <f>ROUND(SUM(K853:M853)*(R852-1),2)</f>
        <v>#N/A</v>
      </c>
      <c r="S853" s="17">
        <f>ROUND($B853*S$840*S852,2)</f>
        <v>0</v>
      </c>
      <c r="T853" s="17">
        <f t="shared" ref="T853:AA853" si="55">ROUND($B853*T$840,2)</f>
        <v>0</v>
      </c>
      <c r="U853" s="17">
        <f t="shared" si="55"/>
        <v>0</v>
      </c>
      <c r="V853" s="17">
        <f t="shared" si="55"/>
        <v>-0.01</v>
      </c>
      <c r="W853" s="17">
        <f t="shared" si="55"/>
        <v>0</v>
      </c>
      <c r="X853" s="17">
        <f t="shared" si="55"/>
        <v>-0.01</v>
      </c>
      <c r="Y853" s="17">
        <f t="shared" si="55"/>
        <v>0</v>
      </c>
      <c r="Z853" s="17">
        <f t="shared" si="55"/>
        <v>0</v>
      </c>
      <c r="AA853" s="17">
        <f t="shared" si="55"/>
        <v>0</v>
      </c>
      <c r="AB853" s="19">
        <f>SUM(U848:AA848)</f>
        <v>0</v>
      </c>
      <c r="AC853" s="67" t="str">
        <f>+F853</f>
        <v>HL1</v>
      </c>
    </row>
    <row r="854" spans="1:29" x14ac:dyDescent="0.2">
      <c r="B854" s="103">
        <v>-1</v>
      </c>
      <c r="D854" s="8"/>
      <c r="E854" s="9"/>
      <c r="F854" s="36"/>
      <c r="G854" s="17"/>
      <c r="H854" s="19"/>
      <c r="J854" s="51"/>
      <c r="K854" s="17"/>
      <c r="L854" s="16"/>
      <c r="M854" s="17"/>
      <c r="N854" s="17"/>
      <c r="O854" s="17"/>
      <c r="P854" s="17"/>
      <c r="Q854" s="17"/>
      <c r="R854" s="38" t="e">
        <f>VLOOKUP((D855),'Pwr Factor'!$A$1:$B$52,2)</f>
        <v>#N/A</v>
      </c>
      <c r="S854" s="50">
        <v>1</v>
      </c>
      <c r="T854" s="17"/>
      <c r="U854" s="17"/>
      <c r="V854" s="8"/>
      <c r="W854" s="17"/>
      <c r="X854" s="17"/>
      <c r="Y854" s="17"/>
      <c r="Z854" s="17"/>
      <c r="AA854" s="17"/>
      <c r="AB854" s="19"/>
      <c r="AC854" s="67"/>
    </row>
    <row r="855" spans="1:29" x14ac:dyDescent="0.2">
      <c r="A855" s="1" t="s">
        <v>148</v>
      </c>
      <c r="B855" s="103">
        <f>IF(AND('AES Indiana Bill Calc.'!$D$17="HL1",'AES Indiana Bill Calc.'!$D$18="Yes 100%",'AES Indiana Bill Calc.'!$D$20="Yes Before 2018"),'AES Indiana Bill Calc.'!$D$19,-1)</f>
        <v>-1</v>
      </c>
      <c r="C855" s="103">
        <f>MAX(E855,$C$837)</f>
        <v>2000</v>
      </c>
      <c r="D855" s="103" t="b">
        <f>IF(AND('AES Indiana Bill Calc.'!$D$17="HL1",'AES Indiana Bill Calc.'!$D$18="Yes 100%",'AES Indiana Bill Calc.'!$D$20="Yes Before 2018"),'AES Indiana Bill Calc.'!$D$22)</f>
        <v>0</v>
      </c>
      <c r="E855" s="103" t="b">
        <f>IF(AND('AES Indiana Bill Calc.'!$D$17="HL1",'AES Indiana Bill Calc.'!$D$18="Yes 100%",'AES Indiana Bill Calc.'!$D$20="Yes Before 2018"),'AES Indiana Bill Calc.'!$D$21)</f>
        <v>0</v>
      </c>
      <c r="F855" s="36" t="s">
        <v>234</v>
      </c>
      <c r="G855" s="92" t="e">
        <f>SUM(J855:M855,R855:AA855)</f>
        <v>#N/A</v>
      </c>
      <c r="H855" s="19" t="e">
        <f>IF(ISBLANK(B855),0,+#REF!/B855)</f>
        <v>#REF!</v>
      </c>
      <c r="J855" s="88">
        <f>IF(ISBLANK(B855),0,+J$840)</f>
        <v>130</v>
      </c>
      <c r="K855" s="42">
        <f>ROUND($B855*K$840,2)</f>
        <v>-0.04</v>
      </c>
      <c r="L855" s="16">
        <f>IF(ISBLANK($C855),0,IF($C855&lt;$C$841,ROUND($C$841*$L$840,2),IF($C855&gt;L$841,ROUND(L$841*L$840,2),ROUND($C855*L$840,2))))</f>
        <v>55900</v>
      </c>
      <c r="M855" s="17">
        <f>IF($C855&gt;L$841,ROUND(($C855-L$841)*M$840,2),0)</f>
        <v>0</v>
      </c>
      <c r="N855" s="17">
        <f>K855</f>
        <v>-0.04</v>
      </c>
      <c r="O855" s="42"/>
      <c r="P855" s="42"/>
      <c r="Q855" s="17">
        <f>SUM(L855:M855)</f>
        <v>55900</v>
      </c>
      <c r="R855" s="104" t="e">
        <f>ROUND(SUM(K855:M855)*(R854-1),2)</f>
        <v>#N/A</v>
      </c>
      <c r="S855" s="42">
        <f>ROUND($B855*S$840*S854,2)</f>
        <v>0</v>
      </c>
      <c r="T855" s="42">
        <f>ROUND($B855*T$840,2)</f>
        <v>0</v>
      </c>
      <c r="U855" s="42">
        <f>ROUND($B855*U$840,2)</f>
        <v>0</v>
      </c>
      <c r="V855" s="41">
        <f>ROUND($B855*V$831,2)</f>
        <v>0</v>
      </c>
      <c r="W855" s="42">
        <f>ROUND($B855*W$840,2)</f>
        <v>0</v>
      </c>
      <c r="X855" s="42">
        <f>ROUND($B855*X$840,2)</f>
        <v>-0.01</v>
      </c>
      <c r="Y855" s="42">
        <f>ROUND($B855*Y$840,2)</f>
        <v>0</v>
      </c>
      <c r="Z855" s="42">
        <f>ROUND($B855*Z$840,2)</f>
        <v>0</v>
      </c>
      <c r="AA855" s="42">
        <f>ROUND($B855*AA$840,2)</f>
        <v>0</v>
      </c>
      <c r="AB855" s="19">
        <f>SUM(U$840:AA$840)+(-V$840+V831)</f>
        <v>1.1855000000000001E-2</v>
      </c>
      <c r="AC855" s="94" t="str">
        <f>+F855</f>
        <v>HL17</v>
      </c>
    </row>
    <row r="856" spans="1:29" x14ac:dyDescent="0.2">
      <c r="A856" s="9"/>
      <c r="B856" s="103">
        <v>-1</v>
      </c>
      <c r="D856" s="8"/>
      <c r="E856" s="9"/>
      <c r="F856" s="36"/>
      <c r="G856" s="17"/>
      <c r="H856" s="19"/>
      <c r="J856" s="51"/>
      <c r="K856" s="17"/>
      <c r="L856" s="16"/>
      <c r="M856" s="17"/>
      <c r="N856" s="17"/>
      <c r="O856" s="17"/>
      <c r="P856" s="17"/>
      <c r="Q856" s="17"/>
      <c r="R856" s="38" t="e">
        <f>VLOOKUP((D857),'Pwr Factor'!$A$1:$B$52,2)</f>
        <v>#N/A</v>
      </c>
      <c r="S856" s="50">
        <v>0.5</v>
      </c>
      <c r="T856" s="17"/>
      <c r="U856" s="17"/>
      <c r="V856" s="8"/>
      <c r="W856" s="17"/>
      <c r="X856" s="17"/>
      <c r="Y856" s="17"/>
      <c r="Z856" s="17"/>
      <c r="AA856" s="17"/>
      <c r="AB856" s="19"/>
      <c r="AC856" s="67"/>
    </row>
    <row r="857" spans="1:29" x14ac:dyDescent="0.2">
      <c r="A857" s="1" t="s">
        <v>149</v>
      </c>
      <c r="B857" s="103">
        <f>IF(AND('AES Indiana Bill Calc.'!$D$17="HL1",'AES Indiana Bill Calc.'!$D$18="Yes 50%",'AES Indiana Bill Calc.'!$D$20="Yes Before 2018"),'AES Indiana Bill Calc.'!$D$19,-1)</f>
        <v>-1</v>
      </c>
      <c r="C857" s="103">
        <f>MAX(E857,$C$837)</f>
        <v>2000</v>
      </c>
      <c r="D857" s="103" t="b">
        <f>IF(AND('AES Indiana Bill Calc.'!$D$17="HL1",'AES Indiana Bill Calc.'!$D$18="Yes 50%",'AES Indiana Bill Calc.'!$D$20="Yes Before 2018"),'AES Indiana Bill Calc.'!$D$22)</f>
        <v>0</v>
      </c>
      <c r="E857" s="103" t="b">
        <f>IF(AND('AES Indiana Bill Calc.'!$D$17="HL1",'AES Indiana Bill Calc.'!$D$18="Yes 50%",'AES Indiana Bill Calc.'!$D$20="Yes Before 2018"),'AES Indiana Bill Calc.'!$D$21)</f>
        <v>0</v>
      </c>
      <c r="F857" s="36" t="s">
        <v>234</v>
      </c>
      <c r="G857" s="92" t="e">
        <f>SUM(J857:M857,R857:AA857)</f>
        <v>#N/A</v>
      </c>
      <c r="H857" s="19" t="e">
        <f>IF(ISBLANK(B857),0,+#REF!/B857)</f>
        <v>#REF!</v>
      </c>
      <c r="J857" s="88">
        <f>IF(ISBLANK(B857),0,+J$840)</f>
        <v>130</v>
      </c>
      <c r="K857" s="42">
        <f>ROUND($B857*K$840,2)</f>
        <v>-0.04</v>
      </c>
      <c r="L857" s="16">
        <f>IF(ISBLANK($C857),0,IF($C857&lt;$C$841,ROUND($C$841*$L$840,2),IF($C857&gt;L$841,ROUND(L$841*L$840,2),ROUND($C857*L$840,2))))</f>
        <v>55900</v>
      </c>
      <c r="M857" s="17">
        <f>IF($C857&gt;L$841,ROUND(($C857-L$841)*M$840,2),0)</f>
        <v>0</v>
      </c>
      <c r="N857" s="17">
        <f>K857</f>
        <v>-0.04</v>
      </c>
      <c r="O857" s="42"/>
      <c r="P857" s="42"/>
      <c r="Q857" s="17">
        <f>SUM(L857:M857)</f>
        <v>55900</v>
      </c>
      <c r="R857" s="104" t="e">
        <f>ROUND(SUM(K857:M857)*(R856-1),2)</f>
        <v>#N/A</v>
      </c>
      <c r="S857" s="42">
        <f>ROUND($B857*S$840*S856,2)</f>
        <v>0</v>
      </c>
      <c r="T857" s="42">
        <f>ROUND($B857*T$840,2)</f>
        <v>0</v>
      </c>
      <c r="U857" s="42">
        <f>ROUND($B857*U$840,2)</f>
        <v>0</v>
      </c>
      <c r="V857" s="41">
        <f>ROUND($B857*V$831,2)</f>
        <v>0</v>
      </c>
      <c r="W857" s="42">
        <f>ROUND($B857*W$840,2)</f>
        <v>0</v>
      </c>
      <c r="X857" s="42">
        <f>ROUND($B857*X$840,2)</f>
        <v>-0.01</v>
      </c>
      <c r="Y857" s="42">
        <f>ROUND($B857*Y$840,2)</f>
        <v>0</v>
      </c>
      <c r="Z857" s="42">
        <f>ROUND($B857*Z$840,2)</f>
        <v>0</v>
      </c>
      <c r="AA857" s="42">
        <f>ROUND($B857*AA$840,2)</f>
        <v>0</v>
      </c>
      <c r="AB857" s="19">
        <f>SUM(U$840:AA$840)+(-V$840+V833)</f>
        <v>1.2310000000000001E-2</v>
      </c>
      <c r="AC857" s="94" t="str">
        <f>+F857</f>
        <v>HL17</v>
      </c>
    </row>
    <row r="858" spans="1:29" x14ac:dyDescent="0.2">
      <c r="A858" s="9"/>
      <c r="B858" s="103">
        <v>-1</v>
      </c>
      <c r="D858" s="8"/>
      <c r="E858" s="9"/>
      <c r="F858" s="36"/>
      <c r="G858" s="17"/>
      <c r="H858" s="19"/>
      <c r="J858" s="51"/>
      <c r="K858" s="17"/>
      <c r="L858" s="16"/>
      <c r="M858" s="17"/>
      <c r="N858" s="17"/>
      <c r="O858" s="17"/>
      <c r="P858" s="17"/>
      <c r="Q858" s="17"/>
      <c r="R858" s="38" t="e">
        <f>VLOOKUP((D859),'Pwr Factor'!$A$1:$B$52,2)</f>
        <v>#N/A</v>
      </c>
      <c r="S858" s="50">
        <v>0.25</v>
      </c>
      <c r="T858" s="17"/>
      <c r="U858" s="17"/>
      <c r="V858" s="8"/>
      <c r="W858" s="17"/>
      <c r="X858" s="17"/>
      <c r="Y858" s="17"/>
      <c r="Z858" s="17"/>
      <c r="AA858" s="17"/>
      <c r="AB858" s="19"/>
      <c r="AC858" s="67"/>
    </row>
    <row r="859" spans="1:29" x14ac:dyDescent="0.2">
      <c r="A859" s="1" t="s">
        <v>150</v>
      </c>
      <c r="B859" s="103">
        <f>IF(AND('AES Indiana Bill Calc.'!$D$17="HL1",'AES Indiana Bill Calc.'!$D$18="Yes 25%",'AES Indiana Bill Calc.'!$D$20="Yes Before 2018"),'AES Indiana Bill Calc.'!$D$19,-1)</f>
        <v>-1</v>
      </c>
      <c r="C859" s="103">
        <f>MAX(E859,$C$837)</f>
        <v>2000</v>
      </c>
      <c r="D859" s="103" t="b">
        <f>IF(AND('AES Indiana Bill Calc.'!$D$17="HL1",'AES Indiana Bill Calc.'!$D$18="Yes 25%",'AES Indiana Bill Calc.'!$D$20="Yes Before 2018"),'AES Indiana Bill Calc.'!$D$22)</f>
        <v>0</v>
      </c>
      <c r="E859" s="103" t="b">
        <f>IF(AND('AES Indiana Bill Calc.'!$D$17="HL1",'AES Indiana Bill Calc.'!$D$18="Yes 25%",'AES Indiana Bill Calc.'!$D$20="Yes Before 2018"),'AES Indiana Bill Calc.'!$D$21)</f>
        <v>0</v>
      </c>
      <c r="F859" s="36" t="s">
        <v>234</v>
      </c>
      <c r="G859" s="92" t="e">
        <f>SUM(J859:M859,R859:AA859)</f>
        <v>#N/A</v>
      </c>
      <c r="H859" s="19" t="e">
        <f>IF(ISBLANK(B859),0,+#REF!/B859)</f>
        <v>#REF!</v>
      </c>
      <c r="J859" s="88">
        <f>IF(ISBLANK(B859),0,+J$840)</f>
        <v>130</v>
      </c>
      <c r="K859" s="42">
        <f>ROUND($B859*K$840,2)</f>
        <v>-0.04</v>
      </c>
      <c r="L859" s="16">
        <f>IF(ISBLANK($C859),0,IF($C859&lt;$C$841,ROUND($C$841*$L$840,2),IF($C859&gt;L$841,ROUND(L$841*L$840,2),ROUND($C859*L$840,2))))</f>
        <v>55900</v>
      </c>
      <c r="M859" s="17">
        <f>IF($C859&gt;L$841,ROUND(($C859-L$841)*M$840,2),0)</f>
        <v>0</v>
      </c>
      <c r="N859" s="17">
        <f>K859</f>
        <v>-0.04</v>
      </c>
      <c r="O859" s="42"/>
      <c r="P859" s="42"/>
      <c r="Q859" s="17">
        <f>SUM(L859:M859)</f>
        <v>55900</v>
      </c>
      <c r="R859" s="104" t="e">
        <f>ROUND(SUM(K859:M859)*(R858-1),2)</f>
        <v>#N/A</v>
      </c>
      <c r="S859" s="42">
        <f>ROUND($B859*S$840*S858,2)</f>
        <v>0</v>
      </c>
      <c r="T859" s="42">
        <f>ROUND($B859*T$840,2)</f>
        <v>0</v>
      </c>
      <c r="U859" s="42">
        <f>ROUND($B859*U$840,2)</f>
        <v>0</v>
      </c>
      <c r="V859" s="41">
        <f>ROUND($B859*V$831,2)</f>
        <v>0</v>
      </c>
      <c r="W859" s="42">
        <f>ROUND($B859*W$840,2)</f>
        <v>0</v>
      </c>
      <c r="X859" s="42">
        <f>ROUND($B859*X$840,2)</f>
        <v>-0.01</v>
      </c>
      <c r="Y859" s="42">
        <f>ROUND($B859*Y$840,2)</f>
        <v>0</v>
      </c>
      <c r="Z859" s="42">
        <f>ROUND($B859*Z$840,2)</f>
        <v>0</v>
      </c>
      <c r="AA859" s="42">
        <f>ROUND($B859*AA$840,2)</f>
        <v>0</v>
      </c>
      <c r="AB859" s="19">
        <f>SUM(U$840:AA$840)+(-V$840+V835)</f>
        <v>1.1845000000000001E-2</v>
      </c>
      <c r="AC859" s="94" t="str">
        <f>+F859</f>
        <v>HL17</v>
      </c>
    </row>
    <row r="860" spans="1:29" x14ac:dyDescent="0.2">
      <c r="A860" s="9"/>
      <c r="B860" s="103">
        <v>-1</v>
      </c>
      <c r="D860" s="8"/>
      <c r="E860" s="9"/>
      <c r="F860" s="36"/>
      <c r="G860" s="17"/>
      <c r="H860" s="19"/>
      <c r="J860" s="51"/>
      <c r="K860" s="17"/>
      <c r="L860" s="16"/>
      <c r="M860" s="17"/>
      <c r="N860" s="17"/>
      <c r="O860" s="17"/>
      <c r="P860" s="17"/>
      <c r="Q860" s="17"/>
      <c r="R860" s="38" t="e">
        <f>VLOOKUP((D861),'Pwr Factor'!$A$1:$B$52,2)</f>
        <v>#N/A</v>
      </c>
      <c r="S860" s="50">
        <v>0.1</v>
      </c>
      <c r="T860" s="17"/>
      <c r="U860" s="17"/>
      <c r="V860" s="8"/>
      <c r="W860" s="17"/>
      <c r="X860" s="17"/>
      <c r="Y860" s="17"/>
      <c r="Z860" s="17"/>
      <c r="AA860" s="17"/>
      <c r="AB860" s="19"/>
      <c r="AC860" s="67"/>
    </row>
    <row r="861" spans="1:29" x14ac:dyDescent="0.2">
      <c r="A861" s="1" t="s">
        <v>164</v>
      </c>
      <c r="B861" s="103">
        <f>IF(AND('AES Indiana Bill Calc.'!$D$17="HL1",'AES Indiana Bill Calc.'!$D$18="Yes 10%",'AES Indiana Bill Calc.'!$D$20="Yes Before 2018"),'AES Indiana Bill Calc.'!$D$19,-1)</f>
        <v>-1</v>
      </c>
      <c r="C861" s="103">
        <f>MAX(E861,$C$837)</f>
        <v>2000</v>
      </c>
      <c r="D861" s="103" t="b">
        <f>IF(AND('AES Indiana Bill Calc.'!$D$17="HL1",'AES Indiana Bill Calc.'!$D$18="Yes 10%",'AES Indiana Bill Calc.'!$D$20="Yes Before 2018"),'AES Indiana Bill Calc.'!$D$22)</f>
        <v>0</v>
      </c>
      <c r="E861" s="103" t="b">
        <f>IF(AND('AES Indiana Bill Calc.'!$D$17="HL1",'AES Indiana Bill Calc.'!$D$18="Yes 10%",'AES Indiana Bill Calc.'!$D$20="Yes Before 2018"),'AES Indiana Bill Calc.'!$D$21)</f>
        <v>0</v>
      </c>
      <c r="F861" s="36" t="s">
        <v>234</v>
      </c>
      <c r="G861" s="92" t="e">
        <f>SUM(J861:M861,R861:AA861)</f>
        <v>#N/A</v>
      </c>
      <c r="H861" s="19" t="e">
        <f>IF(ISBLANK(B861),0,+#REF!/B861)</f>
        <v>#REF!</v>
      </c>
      <c r="J861" s="88">
        <f>IF(ISBLANK(B861),0,+J$840)</f>
        <v>130</v>
      </c>
      <c r="K861" s="42">
        <f>ROUND($B861*K$840,2)</f>
        <v>-0.04</v>
      </c>
      <c r="L861" s="16">
        <f>IF(ISBLANK($C861),0,IF($C861&lt;$C$841,ROUND($C$841*$L$840,2),IF($C861&gt;L$841,ROUND(L$841*L$840,2),ROUND($C861*L$840,2))))</f>
        <v>55900</v>
      </c>
      <c r="M861" s="17">
        <f>IF($C861&gt;L$841,ROUND(($C861-L$841)*M$840,2),0)</f>
        <v>0</v>
      </c>
      <c r="N861" s="17">
        <f>K861</f>
        <v>-0.04</v>
      </c>
      <c r="O861" s="42"/>
      <c r="P861" s="42"/>
      <c r="Q861" s="17">
        <f>SUM(L861:M861)</f>
        <v>55900</v>
      </c>
      <c r="R861" s="104" t="e">
        <f>ROUND(SUM(K861:M861)*(R860-1),2)</f>
        <v>#N/A</v>
      </c>
      <c r="S861" s="42">
        <f>ROUND($B861*S$840*S860,2)</f>
        <v>0</v>
      </c>
      <c r="T861" s="42">
        <f>ROUND($B861*T$840,2)</f>
        <v>0</v>
      </c>
      <c r="U861" s="42">
        <f>ROUND($B861*U$840,2)</f>
        <v>0</v>
      </c>
      <c r="V861" s="41">
        <f>ROUND($B861*V$831,2)</f>
        <v>0</v>
      </c>
      <c r="W861" s="42">
        <f>ROUND($B861*W$840,2)</f>
        <v>0</v>
      </c>
      <c r="X861" s="42">
        <f>ROUND($B861*X$840,2)</f>
        <v>-0.01</v>
      </c>
      <c r="Y861" s="42">
        <f>ROUND($B861*Y$840,2)</f>
        <v>0</v>
      </c>
      <c r="Z861" s="42">
        <f>ROUND($B861*Z$840,2)</f>
        <v>0</v>
      </c>
      <c r="AA861" s="42">
        <f>ROUND($B861*AA$840,2)</f>
        <v>0</v>
      </c>
      <c r="AB861" s="19">
        <f>SUM(U$840:AA$840)+(-V$840+V840)</f>
        <v>2.5651E-2</v>
      </c>
      <c r="AC861" s="94" t="str">
        <f>+F861</f>
        <v>HL17</v>
      </c>
    </row>
    <row r="862" spans="1:29" x14ac:dyDescent="0.2">
      <c r="A862" s="9"/>
      <c r="B862" s="103">
        <v>-1</v>
      </c>
      <c r="D862" s="8"/>
      <c r="E862" s="9"/>
      <c r="F862" s="36"/>
      <c r="G862" s="17"/>
      <c r="H862" s="19"/>
      <c r="J862" s="51"/>
      <c r="K862" s="17"/>
      <c r="L862" s="16"/>
      <c r="M862" s="17"/>
      <c r="N862" s="17"/>
      <c r="O862" s="17"/>
      <c r="P862" s="17"/>
      <c r="Q862" s="17"/>
      <c r="R862" s="38" t="e">
        <f>VLOOKUP((D863),'Pwr Factor'!$A$1:$B$52,2)</f>
        <v>#N/A</v>
      </c>
      <c r="S862" s="50">
        <v>0</v>
      </c>
      <c r="T862" s="17"/>
      <c r="U862" s="17"/>
      <c r="V862" s="8"/>
      <c r="W862" s="17"/>
      <c r="X862" s="17"/>
      <c r="Y862" s="17"/>
      <c r="Z862" s="17"/>
      <c r="AA862" s="17"/>
      <c r="AB862" s="19"/>
      <c r="AC862" s="67"/>
    </row>
    <row r="863" spans="1:29" x14ac:dyDescent="0.2">
      <c r="A863" s="1" t="s">
        <v>147</v>
      </c>
      <c r="B863" s="103">
        <f>IF(AND('AES Indiana Bill Calc.'!$D$17="HL1",'AES Indiana Bill Calc.'!$D$18="No",'AES Indiana Bill Calc.'!$D$20="Yes Before 2018"),'AES Indiana Bill Calc.'!$D$19,-1)</f>
        <v>-1</v>
      </c>
      <c r="C863" s="103">
        <f>MAX(E863,$C$837)</f>
        <v>2000</v>
      </c>
      <c r="D863" s="103" t="b">
        <f>IF(AND('AES Indiana Bill Calc.'!$D$17="HL1",'AES Indiana Bill Calc.'!$D$18="No",'AES Indiana Bill Calc.'!$D$20="Yes Before 2018"),'AES Indiana Bill Calc.'!$D$22)</f>
        <v>0</v>
      </c>
      <c r="E863" s="103" t="b">
        <f>IF(AND('AES Indiana Bill Calc.'!$D$17="HL1",'AES Indiana Bill Calc.'!$D$18="No",'AES Indiana Bill Calc.'!$D$20="Yes Before 2018"),'AES Indiana Bill Calc.'!$D$21)</f>
        <v>0</v>
      </c>
      <c r="F863" s="36" t="s">
        <v>234</v>
      </c>
      <c r="G863" s="92" t="e">
        <f>SUM(J863:M863,R863:AA863)</f>
        <v>#N/A</v>
      </c>
      <c r="H863" s="19" t="e">
        <f>IF(ISBLANK(B863),0,+#REF!/B863)</f>
        <v>#REF!</v>
      </c>
      <c r="J863" s="88">
        <f>IF(ISBLANK(B863),0,+J$840)</f>
        <v>130</v>
      </c>
      <c r="K863" s="42">
        <f>ROUND($B863*K$840,2)</f>
        <v>-0.04</v>
      </c>
      <c r="L863" s="16">
        <f>IF(ISBLANK($C863),0,IF($C863&lt;$C$841,ROUND($C$841*$L$840,2),IF($C863&gt;L$841,ROUND(L$841*L$840,2),ROUND($C863*L$840,2))))</f>
        <v>55900</v>
      </c>
      <c r="M863" s="17">
        <f>IF($C863&gt;L$841,ROUND(($C863-L$841)*M$840,2),0)</f>
        <v>0</v>
      </c>
      <c r="N863" s="17">
        <f>K863</f>
        <v>-0.04</v>
      </c>
      <c r="O863" s="42"/>
      <c r="P863" s="42"/>
      <c r="Q863" s="17">
        <f>SUM(L863:M863)</f>
        <v>55900</v>
      </c>
      <c r="R863" s="104" t="e">
        <f>ROUND(SUM(K863:M863)*(R862-1),2)</f>
        <v>#N/A</v>
      </c>
      <c r="S863" s="42">
        <f>ROUND($B863*S$840*S862,2)</f>
        <v>0</v>
      </c>
      <c r="T863" s="42">
        <f>ROUND($B863*T$840,2)</f>
        <v>0</v>
      </c>
      <c r="U863" s="42">
        <f>ROUND($B863*U$840,2)</f>
        <v>0</v>
      </c>
      <c r="V863" s="41">
        <f>ROUND($B863*V$831,2)</f>
        <v>0</v>
      </c>
      <c r="W863" s="42">
        <f>ROUND($B863*W$840,2)</f>
        <v>0</v>
      </c>
      <c r="X863" s="42">
        <f>ROUND($B863*X$840,2)</f>
        <v>-0.01</v>
      </c>
      <c r="Y863" s="42">
        <f>ROUND($B863*Y$840,2)</f>
        <v>0</v>
      </c>
      <c r="Z863" s="42">
        <f>ROUND($B863*Z$840,2)</f>
        <v>0</v>
      </c>
      <c r="AA863" s="42">
        <f>ROUND($B863*AA$840,2)</f>
        <v>0</v>
      </c>
      <c r="AB863" s="19">
        <f>SUM(U$840:AA$840)+(-V$840+V842)</f>
        <v>22.011855000000001</v>
      </c>
      <c r="AC863" s="94" t="str">
        <f>+F863</f>
        <v>HL17</v>
      </c>
    </row>
    <row r="864" spans="1:29" x14ac:dyDescent="0.2">
      <c r="B864" s="103">
        <v>-1</v>
      </c>
      <c r="D864" s="8"/>
      <c r="E864" s="9"/>
      <c r="F864" s="36"/>
      <c r="G864" s="17"/>
      <c r="H864" s="19"/>
      <c r="I864" s="12"/>
      <c r="J864" s="12"/>
      <c r="K864" s="12"/>
      <c r="L864" s="12"/>
      <c r="M864" s="12"/>
      <c r="N864" s="12"/>
      <c r="O864" s="12"/>
      <c r="P864" s="12"/>
      <c r="Q864" s="12"/>
      <c r="R864" s="38" t="e">
        <f>VLOOKUP((D865),'Pwr Factor'!$A$1:$B$52,2)</f>
        <v>#N/A</v>
      </c>
      <c r="S864" s="50">
        <v>1</v>
      </c>
      <c r="T864" s="12"/>
      <c r="U864" s="12"/>
      <c r="V864" s="12"/>
      <c r="W864" s="12"/>
      <c r="X864" s="12"/>
      <c r="Y864" s="12"/>
      <c r="Z864" s="12"/>
      <c r="AA864" s="12"/>
    </row>
    <row r="865" spans="1:238" x14ac:dyDescent="0.2">
      <c r="A865" s="1" t="s">
        <v>148</v>
      </c>
      <c r="B865" s="103">
        <f>IF(AND('AES Indiana Bill Calc.'!$D$17="HL1",'AES Indiana Bill Calc.'!$D$18="Yes 100%",'AES Indiana Bill Calc.'!$D$20="Yes 2018"),'AES Indiana Bill Calc.'!$D$19,-1)</f>
        <v>-1</v>
      </c>
      <c r="C865" s="103">
        <f>MAX(E865,$C$837)</f>
        <v>2000</v>
      </c>
      <c r="D865" s="103" t="b">
        <f>IF(AND('AES Indiana Bill Calc.'!$D$17="HL1",'AES Indiana Bill Calc.'!$D$18="Yes 100%",'AES Indiana Bill Calc.'!$D$20="Yes 2018"),'AES Indiana Bill Calc.'!$D$22)</f>
        <v>0</v>
      </c>
      <c r="E865" s="103" t="b">
        <f>IF(AND('AES Indiana Bill Calc.'!$D$17="HL1",'AES Indiana Bill Calc.'!$D$18="Yes 100%",'AES Indiana Bill Calc.'!$D$20="Yes 2018"),'AES Indiana Bill Calc.'!$D$21)</f>
        <v>0</v>
      </c>
      <c r="F865" s="36" t="s">
        <v>235</v>
      </c>
      <c r="G865" s="92" t="e">
        <f>SUM(J865:M865,R865:AA865)</f>
        <v>#N/A</v>
      </c>
      <c r="H865" s="19" t="e">
        <f>IF(ISBLANK(B865),0,+#REF!/B865)</f>
        <v>#REF!</v>
      </c>
      <c r="I865" s="19"/>
      <c r="J865" s="88">
        <f>IF(ISBLANK(B865),0,+J$840)</f>
        <v>130</v>
      </c>
      <c r="K865" s="42">
        <f>ROUND($B865*K$840,2)</f>
        <v>-0.04</v>
      </c>
      <c r="L865" s="16">
        <f>IF(ISBLANK($C865),0,IF($C865&lt;$C$841,ROUND($C$841*$L$840,2),IF($C865&gt;L$841,ROUND(L$841*L$840,2),ROUND($C865*L$840,2))))</f>
        <v>55900</v>
      </c>
      <c r="M865" s="17">
        <f>IF($C865&gt;L$841,ROUND(($C865-L$841)*M$840,2),0)</f>
        <v>0</v>
      </c>
      <c r="N865" s="17">
        <f>K865</f>
        <v>-0.04</v>
      </c>
      <c r="O865" s="42"/>
      <c r="P865" s="42"/>
      <c r="Q865" s="17">
        <f>SUM(L865:M865)</f>
        <v>55900</v>
      </c>
      <c r="R865" s="82" t="e">
        <f>ROUND(SUM(K865:M865)*(R864-1),2)</f>
        <v>#N/A</v>
      </c>
      <c r="S865" s="42">
        <f>ROUND($B865*S$840*S864,2)</f>
        <v>0</v>
      </c>
      <c r="T865" s="42">
        <f>ROUND($B865*T$840,2)</f>
        <v>0</v>
      </c>
      <c r="U865" s="42">
        <f>ROUND($B865*U$840,2)</f>
        <v>0</v>
      </c>
      <c r="V865" s="42">
        <f>ROUND($B865*V$832,2)</f>
        <v>0</v>
      </c>
      <c r="W865" s="42">
        <f>ROUND($B865*W$840,2)</f>
        <v>0</v>
      </c>
      <c r="X865" s="42">
        <f>ROUND($B865*X$840,2)</f>
        <v>-0.01</v>
      </c>
      <c r="Y865" s="42">
        <f>ROUND($B865*Y$840,2)</f>
        <v>0</v>
      </c>
      <c r="Z865" s="42">
        <f>ROUND($B865*Z$840,2)</f>
        <v>0</v>
      </c>
      <c r="AA865" s="42">
        <f>ROUND($B865*AA$840,2)</f>
        <v>0</v>
      </c>
      <c r="AB865" s="19" t="e">
        <f>SUM(#REF!)</f>
        <v>#REF!</v>
      </c>
      <c r="AC865" s="94" t="str">
        <f>+F865</f>
        <v>HL18</v>
      </c>
    </row>
    <row r="866" spans="1:238" x14ac:dyDescent="0.2">
      <c r="A866" s="9"/>
      <c r="B866" s="103">
        <v>-1</v>
      </c>
      <c r="D866" s="8"/>
      <c r="E866" s="9"/>
      <c r="F866" s="36"/>
      <c r="G866" s="17"/>
      <c r="H866" s="19"/>
      <c r="I866" s="12"/>
      <c r="J866" s="12"/>
      <c r="K866" s="12"/>
      <c r="L866" s="12"/>
      <c r="M866" s="12"/>
      <c r="N866" s="12"/>
      <c r="O866" s="12"/>
      <c r="P866" s="12"/>
      <c r="Q866" s="12"/>
      <c r="R866" s="38" t="e">
        <f>VLOOKUP((D867),'Pwr Factor'!$A$1:$B$52,2)</f>
        <v>#N/A</v>
      </c>
      <c r="S866" s="50">
        <v>0.5</v>
      </c>
      <c r="T866" s="12"/>
      <c r="U866" s="12"/>
      <c r="V866" s="12"/>
      <c r="W866" s="12"/>
      <c r="X866" s="12"/>
      <c r="Y866" s="12"/>
      <c r="Z866" s="12"/>
      <c r="AA866" s="12"/>
    </row>
    <row r="867" spans="1:238" x14ac:dyDescent="0.2">
      <c r="A867" s="1" t="s">
        <v>149</v>
      </c>
      <c r="B867" s="103">
        <f>IF(AND('AES Indiana Bill Calc.'!$D$17="HL1",'AES Indiana Bill Calc.'!$D$18="Yes 50%",'AES Indiana Bill Calc.'!$D$20="Yes 2018"),'AES Indiana Bill Calc.'!$D$19,-1)</f>
        <v>-1</v>
      </c>
      <c r="C867" s="103">
        <f>MAX(E867,$C$837)</f>
        <v>2000</v>
      </c>
      <c r="D867" s="103" t="b">
        <f>IF(AND('AES Indiana Bill Calc.'!$D$17="HL1",'AES Indiana Bill Calc.'!$D$18="Yes 50%",'AES Indiana Bill Calc.'!$D$20="Yes 2018"),'AES Indiana Bill Calc.'!$D$22)</f>
        <v>0</v>
      </c>
      <c r="E867" s="103" t="b">
        <f>IF(AND('AES Indiana Bill Calc.'!$D$17="HL1",'AES Indiana Bill Calc.'!$D$18="Yes 50%",'AES Indiana Bill Calc.'!$D$20="Yes 2018"),'AES Indiana Bill Calc.'!$D$21)</f>
        <v>0</v>
      </c>
      <c r="F867" s="36" t="s">
        <v>235</v>
      </c>
      <c r="G867" s="92" t="e">
        <f>SUM(J867:M867,R867:AA867)</f>
        <v>#N/A</v>
      </c>
      <c r="H867" s="19" t="e">
        <f>IF(ISBLANK(B867),0,+#REF!/B867)</f>
        <v>#REF!</v>
      </c>
      <c r="I867" s="19"/>
      <c r="J867" s="88">
        <f>IF(ISBLANK(B867),0,+J$840)</f>
        <v>130</v>
      </c>
      <c r="K867" s="42">
        <f>ROUND($B867*K$840,2)</f>
        <v>-0.04</v>
      </c>
      <c r="L867" s="16">
        <f>IF(ISBLANK($C867),0,IF($C867&lt;$C$841,ROUND($C$841*$L$840,2),IF($C867&gt;L$841,ROUND(L$841*L$840,2),ROUND($C867*L$840,2))))</f>
        <v>55900</v>
      </c>
      <c r="M867" s="17">
        <f>IF($C867&gt;L$841,ROUND(($C867-L$841)*M$840,2),0)</f>
        <v>0</v>
      </c>
      <c r="N867" s="17">
        <f>K867</f>
        <v>-0.04</v>
      </c>
      <c r="O867" s="42"/>
      <c r="P867" s="42"/>
      <c r="Q867" s="17">
        <f>SUM(L867:M867)</f>
        <v>55900</v>
      </c>
      <c r="R867" s="82" t="e">
        <f>ROUND(SUM(K867:M867)*(R866-1),2)</f>
        <v>#N/A</v>
      </c>
      <c r="S867" s="42">
        <f>ROUND($B867*S$840*S866,2)</f>
        <v>0</v>
      </c>
      <c r="T867" s="42">
        <f>ROUND($B867*T$840,2)</f>
        <v>0</v>
      </c>
      <c r="U867" s="42">
        <f>ROUND($B867*U$840,2)</f>
        <v>0</v>
      </c>
      <c r="V867" s="42">
        <f>ROUND($B867*V$832,2)</f>
        <v>0</v>
      </c>
      <c r="W867" s="42">
        <f>ROUND($B867*W$840,2)</f>
        <v>0</v>
      </c>
      <c r="X867" s="42">
        <f>ROUND($B867*X$840,2)</f>
        <v>-0.01</v>
      </c>
      <c r="Y867" s="42">
        <f>ROUND($B867*Y$840,2)</f>
        <v>0</v>
      </c>
      <c r="Z867" s="42">
        <f>ROUND($B867*Z$840,2)</f>
        <v>0</v>
      </c>
      <c r="AA867" s="42">
        <f>ROUND($B867*AA$840,2)</f>
        <v>0</v>
      </c>
      <c r="AB867" s="19" t="e">
        <f>SUM(#REF!)</f>
        <v>#REF!</v>
      </c>
      <c r="AC867" s="94" t="str">
        <f>+F867</f>
        <v>HL18</v>
      </c>
    </row>
    <row r="868" spans="1:238" x14ac:dyDescent="0.2">
      <c r="A868" s="9"/>
      <c r="B868" s="103">
        <v>-1</v>
      </c>
      <c r="D868" s="8"/>
      <c r="E868" s="9"/>
      <c r="F868" s="36"/>
      <c r="G868" s="17"/>
      <c r="H868" s="19"/>
      <c r="I868" s="12"/>
      <c r="J868" s="12"/>
      <c r="K868" s="12"/>
      <c r="L868" s="12"/>
      <c r="M868" s="12"/>
      <c r="N868" s="12"/>
      <c r="O868" s="12"/>
      <c r="P868" s="12"/>
      <c r="Q868" s="12"/>
      <c r="R868" s="38" t="e">
        <f>VLOOKUP((D869),'Pwr Factor'!$A$1:$B$52,2)</f>
        <v>#N/A</v>
      </c>
      <c r="S868" s="50">
        <v>0.25</v>
      </c>
      <c r="T868" s="12"/>
      <c r="U868" s="12"/>
      <c r="V868" s="12"/>
      <c r="W868" s="12"/>
      <c r="X868" s="12"/>
      <c r="Y868" s="12"/>
      <c r="Z868" s="12"/>
      <c r="AA868" s="12"/>
    </row>
    <row r="869" spans="1:238" x14ac:dyDescent="0.2">
      <c r="A869" s="1" t="s">
        <v>150</v>
      </c>
      <c r="B869" s="103">
        <f>IF(AND('AES Indiana Bill Calc.'!$D$17="HL1",'AES Indiana Bill Calc.'!$D$18="Yes 25%",'AES Indiana Bill Calc.'!$D$20="Yes 2018"),'AES Indiana Bill Calc.'!$D$19,-1)</f>
        <v>-1</v>
      </c>
      <c r="C869" s="103">
        <f>MAX(E869,$C$837)</f>
        <v>2000</v>
      </c>
      <c r="D869" s="103" t="b">
        <f>IF(AND('AES Indiana Bill Calc.'!$D$17="HL1",'AES Indiana Bill Calc.'!$D$18="Yes 25%",'AES Indiana Bill Calc.'!$D$20="Yes 2018"),'AES Indiana Bill Calc.'!$D$22)</f>
        <v>0</v>
      </c>
      <c r="E869" s="103" t="b">
        <f>IF(AND('AES Indiana Bill Calc.'!$D$17="HL1",'AES Indiana Bill Calc.'!$D$18="Yes 25%",'AES Indiana Bill Calc.'!$D$20="Yes 2018"),'AES Indiana Bill Calc.'!$D$21)</f>
        <v>0</v>
      </c>
      <c r="F869" s="36" t="s">
        <v>235</v>
      </c>
      <c r="G869" s="92" t="e">
        <f>SUM(J869:M869,R869:AA869)</f>
        <v>#N/A</v>
      </c>
      <c r="H869" s="19" t="e">
        <f>IF(ISBLANK(B869),0,+#REF!/B869)</f>
        <v>#REF!</v>
      </c>
      <c r="I869" s="19"/>
      <c r="J869" s="88">
        <f>IF(ISBLANK(B869),0,+J$840)</f>
        <v>130</v>
      </c>
      <c r="K869" s="42">
        <f>ROUND($B869*K$840,2)</f>
        <v>-0.04</v>
      </c>
      <c r="L869" s="16">
        <f>IF(ISBLANK($C869),0,IF($C869&lt;$C$841,ROUND($C$841*$L$840,2),IF($C869&gt;L$841,ROUND(L$841*L$840,2),ROUND($C869*L$840,2))))</f>
        <v>55900</v>
      </c>
      <c r="M869" s="17">
        <f>IF($C869&gt;L$841,ROUND(($C869-L$841)*M$840,2),0)</f>
        <v>0</v>
      </c>
      <c r="N869" s="17">
        <f>K869</f>
        <v>-0.04</v>
      </c>
      <c r="O869" s="42"/>
      <c r="P869" s="42"/>
      <c r="Q869" s="17">
        <f>SUM(L869:M869)</f>
        <v>55900</v>
      </c>
      <c r="R869" s="82" t="e">
        <f>ROUND(SUM(K869:M869)*(R868-1),2)</f>
        <v>#N/A</v>
      </c>
      <c r="S869" s="42">
        <f>ROUND($B869*S$840*S868,2)</f>
        <v>0</v>
      </c>
      <c r="T869" s="42">
        <f>ROUND($B869*T$840,2)</f>
        <v>0</v>
      </c>
      <c r="U869" s="42">
        <f>ROUND($B869*U$840,2)</f>
        <v>0</v>
      </c>
      <c r="V869" s="42">
        <f>ROUND($B869*V$832,2)</f>
        <v>0</v>
      </c>
      <c r="W869" s="42">
        <f>ROUND($B869*W$840,2)</f>
        <v>0</v>
      </c>
      <c r="X869" s="42">
        <f>ROUND($B869*X$840,2)</f>
        <v>-0.01</v>
      </c>
      <c r="Y869" s="42">
        <f>ROUND($B869*Y$840,2)</f>
        <v>0</v>
      </c>
      <c r="Z869" s="42">
        <f>ROUND($B869*Z$840,2)</f>
        <v>0</v>
      </c>
      <c r="AA869" s="42">
        <f>ROUND($B869*AA$840,2)</f>
        <v>0</v>
      </c>
      <c r="AB869" s="19" t="e">
        <f>SUM(#REF!)</f>
        <v>#REF!</v>
      </c>
      <c r="AC869" s="94" t="str">
        <f>+F869</f>
        <v>HL18</v>
      </c>
    </row>
    <row r="870" spans="1:238" x14ac:dyDescent="0.2">
      <c r="A870" s="9"/>
      <c r="B870" s="103">
        <v>-1</v>
      </c>
      <c r="D870" s="8"/>
      <c r="E870" s="9"/>
      <c r="F870" s="36"/>
      <c r="G870" s="17"/>
      <c r="H870" s="19"/>
      <c r="I870" s="12"/>
      <c r="J870" s="12"/>
      <c r="K870" s="12"/>
      <c r="L870" s="12"/>
      <c r="M870" s="12"/>
      <c r="N870" s="12"/>
      <c r="O870" s="12"/>
      <c r="P870" s="12"/>
      <c r="Q870" s="12"/>
      <c r="R870" s="38" t="e">
        <f>VLOOKUP((D871),'Pwr Factor'!$A$1:$B$52,2)</f>
        <v>#N/A</v>
      </c>
      <c r="S870" s="50">
        <v>0.1</v>
      </c>
      <c r="T870" s="12"/>
      <c r="U870" s="12"/>
      <c r="V870" s="12"/>
      <c r="W870" s="12"/>
      <c r="X870" s="12"/>
      <c r="Y870" s="12"/>
      <c r="Z870" s="12"/>
      <c r="AA870" s="12"/>
    </row>
    <row r="871" spans="1:238" x14ac:dyDescent="0.2">
      <c r="A871" s="1" t="s">
        <v>164</v>
      </c>
      <c r="B871" s="103">
        <f>IF(AND('AES Indiana Bill Calc.'!$D$17="HL1",'AES Indiana Bill Calc.'!$D$18="Yes 10%",'AES Indiana Bill Calc.'!$D$20="Yes 2018"),'AES Indiana Bill Calc.'!$D$19,-1)</f>
        <v>-1</v>
      </c>
      <c r="C871" s="103">
        <f>MAX(E871,$C$837)</f>
        <v>2000</v>
      </c>
      <c r="D871" s="103" t="b">
        <f>IF(AND('AES Indiana Bill Calc.'!$D$17="HL1",'AES Indiana Bill Calc.'!$D$18="Yes 10%",'AES Indiana Bill Calc.'!$D$20="Yes 2018"),'AES Indiana Bill Calc.'!$D$22)</f>
        <v>0</v>
      </c>
      <c r="E871" s="103" t="b">
        <f>IF(AND('AES Indiana Bill Calc.'!$D$17="HL1",'AES Indiana Bill Calc.'!$D$18="Yes 10%",'AES Indiana Bill Calc.'!$D$20="Yes 2018"),'AES Indiana Bill Calc.'!$D$21)</f>
        <v>0</v>
      </c>
      <c r="F871" s="36" t="s">
        <v>235</v>
      </c>
      <c r="G871" s="92" t="e">
        <f>SUM(J871:M871,R871:AA871)</f>
        <v>#N/A</v>
      </c>
      <c r="H871" s="19" t="e">
        <f>IF(ISBLANK(B871),0,+#REF!/B871)</f>
        <v>#REF!</v>
      </c>
      <c r="I871" s="19"/>
      <c r="J871" s="88">
        <f>IF(ISBLANK(B871),0,+J$840)</f>
        <v>130</v>
      </c>
      <c r="K871" s="42">
        <f>ROUND($B871*K$840,2)</f>
        <v>-0.04</v>
      </c>
      <c r="L871" s="16">
        <f>IF(ISBLANK($C871),0,IF($C871&lt;$C$841,ROUND($C$841*$L$840,2),IF($C871&gt;L$841,ROUND(L$841*L$840,2),ROUND($C871*L$840,2))))</f>
        <v>55900</v>
      </c>
      <c r="M871" s="17">
        <f>IF($C871&gt;L$841,ROUND(($C871-L$841)*M$840,2),0)</f>
        <v>0</v>
      </c>
      <c r="N871" s="17">
        <f>K871</f>
        <v>-0.04</v>
      </c>
      <c r="O871" s="42"/>
      <c r="P871" s="42"/>
      <c r="Q871" s="17">
        <f>SUM(L871:M871)</f>
        <v>55900</v>
      </c>
      <c r="R871" s="82" t="e">
        <f>ROUND(SUM(K871:M871)*(R870-1),2)</f>
        <v>#N/A</v>
      </c>
      <c r="S871" s="42">
        <f>ROUND($B871*S$840*S870,2)</f>
        <v>0</v>
      </c>
      <c r="T871" s="42">
        <f>ROUND($B871*T$840,2)</f>
        <v>0</v>
      </c>
      <c r="U871" s="42">
        <f>ROUND($B871*U$840,2)</f>
        <v>0</v>
      </c>
      <c r="V871" s="42">
        <f>ROUND($B871*V$832,2)</f>
        <v>0</v>
      </c>
      <c r="W871" s="42">
        <f>ROUND($B871*W$840,2)</f>
        <v>0</v>
      </c>
      <c r="X871" s="42">
        <f>ROUND($B871*X$840,2)</f>
        <v>-0.01</v>
      </c>
      <c r="Y871" s="42">
        <f>ROUND($B871*Y$840,2)</f>
        <v>0</v>
      </c>
      <c r="Z871" s="42">
        <f>ROUND($B871*Z$840,2)</f>
        <v>0</v>
      </c>
      <c r="AA871" s="42">
        <f>ROUND($B871*AA$840,2)</f>
        <v>0</v>
      </c>
      <c r="AB871" s="19" t="e">
        <f>SUM(#REF!)</f>
        <v>#REF!</v>
      </c>
      <c r="AC871" s="94" t="str">
        <f>+F871</f>
        <v>HL18</v>
      </c>
    </row>
    <row r="872" spans="1:238" x14ac:dyDescent="0.2">
      <c r="A872" s="9"/>
      <c r="B872" s="103">
        <v>-1</v>
      </c>
      <c r="D872" s="8"/>
      <c r="E872" s="9"/>
      <c r="F872" s="36"/>
      <c r="G872" s="17"/>
      <c r="H872" s="19"/>
      <c r="I872" s="12"/>
      <c r="J872" s="12"/>
      <c r="K872" s="12"/>
      <c r="L872" s="12"/>
      <c r="M872" s="12"/>
      <c r="N872" s="12"/>
      <c r="O872" s="12"/>
      <c r="P872" s="12"/>
      <c r="Q872" s="12"/>
      <c r="R872" s="38" t="e">
        <f>VLOOKUP((D873),'Pwr Factor'!$A$1:$B$52,2)</f>
        <v>#N/A</v>
      </c>
      <c r="S872" s="50">
        <v>0</v>
      </c>
      <c r="T872" s="12"/>
      <c r="U872" s="12"/>
      <c r="V872" s="12"/>
      <c r="W872" s="12"/>
      <c r="X872" s="12"/>
      <c r="Y872" s="12"/>
      <c r="Z872" s="12"/>
      <c r="AA872" s="12"/>
    </row>
    <row r="873" spans="1:238" x14ac:dyDescent="0.2">
      <c r="A873" s="1" t="s">
        <v>147</v>
      </c>
      <c r="B873" s="103">
        <f>IF(AND('AES Indiana Bill Calc.'!$D$17="HL1",'AES Indiana Bill Calc.'!$D$18="No",'AES Indiana Bill Calc.'!$D$20="Yes 2018"),'AES Indiana Bill Calc.'!$D$19,-1)</f>
        <v>-1</v>
      </c>
      <c r="C873" s="103">
        <f>MAX(E873,$C$837)</f>
        <v>2000</v>
      </c>
      <c r="D873" s="103" t="b">
        <f>IF(AND('AES Indiana Bill Calc.'!$D$17="HL1",'AES Indiana Bill Calc.'!$D$18="No",'AES Indiana Bill Calc.'!$D$20="Yes 2018"),'AES Indiana Bill Calc.'!$D$22)</f>
        <v>0</v>
      </c>
      <c r="E873" s="103" t="b">
        <f>IF(AND('AES Indiana Bill Calc.'!$D$17="HL1",'AES Indiana Bill Calc.'!$D$18="No",'AES Indiana Bill Calc.'!$D$20="Yes 2018"),'AES Indiana Bill Calc.'!$D$21)</f>
        <v>0</v>
      </c>
      <c r="F873" s="36" t="s">
        <v>235</v>
      </c>
      <c r="G873" s="92" t="e">
        <f>SUM(J873:M873,R873:AA873)</f>
        <v>#N/A</v>
      </c>
      <c r="H873" s="19" t="e">
        <f>IF(ISBLANK(B873),0,+#REF!/B873)</f>
        <v>#REF!</v>
      </c>
      <c r="I873" s="19"/>
      <c r="J873" s="88">
        <f>IF(ISBLANK(B873),0,+J$840)</f>
        <v>130</v>
      </c>
      <c r="K873" s="42">
        <f>ROUND($B873*K$840,2)</f>
        <v>-0.04</v>
      </c>
      <c r="L873" s="16">
        <f>IF(ISBLANK($C873),0,IF($C873&lt;$C$841,ROUND($C$841*$L$840,2),IF($C873&gt;L$841,ROUND(L$841*L$840,2),ROUND($C873*L$840,2))))</f>
        <v>55900</v>
      </c>
      <c r="M873" s="17">
        <f>IF($C873&gt;L$841,ROUND(($C873-L$841)*M$840,2),0)</f>
        <v>0</v>
      </c>
      <c r="N873" s="17">
        <f>K873</f>
        <v>-0.04</v>
      </c>
      <c r="O873" s="42"/>
      <c r="P873" s="42"/>
      <c r="Q873" s="17">
        <f>SUM(L873:M873)</f>
        <v>55900</v>
      </c>
      <c r="R873" s="82" t="e">
        <f>ROUND(SUM(K873:M873)*(R872-1),2)</f>
        <v>#N/A</v>
      </c>
      <c r="S873" s="42">
        <f>ROUND($B873*S$840*S872,2)</f>
        <v>0</v>
      </c>
      <c r="T873" s="42">
        <f>ROUND($B873*T$840,2)</f>
        <v>0</v>
      </c>
      <c r="U873" s="42">
        <f>ROUND($B873*U$840,2)</f>
        <v>0</v>
      </c>
      <c r="V873" s="42">
        <f>ROUND($B873*V$832,2)</f>
        <v>0</v>
      </c>
      <c r="W873" s="42">
        <f>ROUND($B873*W$840,2)</f>
        <v>0</v>
      </c>
      <c r="X873" s="42">
        <f>ROUND($B873*X$840,2)</f>
        <v>-0.01</v>
      </c>
      <c r="Y873" s="42">
        <f>ROUND($B873*Y$840,2)</f>
        <v>0</v>
      </c>
      <c r="Z873" s="42">
        <f>ROUND($B873*Z$840,2)</f>
        <v>0</v>
      </c>
      <c r="AA873" s="42">
        <f>ROUND($B873*AA$840,2)</f>
        <v>0</v>
      </c>
      <c r="AB873" s="19" t="e">
        <f>SUM(#REF!)</f>
        <v>#REF!</v>
      </c>
      <c r="AC873" s="94" t="str">
        <f>+F873</f>
        <v>HL18</v>
      </c>
    </row>
    <row r="874" spans="1:238" x14ac:dyDescent="0.2">
      <c r="B874" s="103">
        <v>-1</v>
      </c>
      <c r="D874" s="8"/>
      <c r="E874" s="9"/>
      <c r="F874" s="36"/>
      <c r="G874" s="17"/>
      <c r="H874" s="19"/>
      <c r="I874" s="12"/>
      <c r="J874" s="12"/>
      <c r="K874" s="12"/>
      <c r="L874" s="12"/>
      <c r="M874" s="12"/>
      <c r="N874" s="12"/>
      <c r="O874" s="12"/>
      <c r="P874" s="12"/>
      <c r="Q874" s="12"/>
      <c r="R874" s="38" t="e">
        <f>VLOOKUP((D875),'Pwr Factor'!$A$1:$B$52,2)</f>
        <v>#N/A</v>
      </c>
      <c r="S874" s="50">
        <v>1</v>
      </c>
      <c r="T874" s="12"/>
      <c r="U874" s="12"/>
      <c r="V874" s="12"/>
      <c r="W874" s="12"/>
      <c r="X874" s="12"/>
      <c r="Y874" s="12"/>
      <c r="Z874" s="12"/>
      <c r="AA874" s="12"/>
    </row>
    <row r="875" spans="1:238" s="21" customFormat="1" ht="13.5" thickBot="1" x14ac:dyDescent="0.25">
      <c r="A875" s="1" t="s">
        <v>148</v>
      </c>
      <c r="B875" s="103">
        <f>IF(AND('AES Indiana Bill Calc.'!$D$17="HL1",'AES Indiana Bill Calc.'!$D$18="Yes 100%",'AES Indiana Bill Calc.'!$D$20="Yes 2019"),'AES Indiana Bill Calc.'!$D$19,-1)</f>
        <v>-1</v>
      </c>
      <c r="C875" s="103">
        <f>MAX(E875,$C$837)</f>
        <v>2000</v>
      </c>
      <c r="D875" s="103" t="b">
        <f>IF(AND('AES Indiana Bill Calc.'!$D$17="HL1",'AES Indiana Bill Calc.'!$D$18="Yes 100%",'AES Indiana Bill Calc.'!$D$20="Yes 2019"),'AES Indiana Bill Calc.'!$D$22)</f>
        <v>0</v>
      </c>
      <c r="E875" s="103" t="b">
        <f>IF(AND('AES Indiana Bill Calc.'!$D$17="HL1",'AES Indiana Bill Calc.'!$D$18="Yes 100%",'AES Indiana Bill Calc.'!$D$20="Yes 2019"),'AES Indiana Bill Calc.'!$D$21)</f>
        <v>0</v>
      </c>
      <c r="F875" s="36" t="s">
        <v>236</v>
      </c>
      <c r="G875" s="92" t="e">
        <f>SUM(J875:M875,R875:AA875)</f>
        <v>#N/A</v>
      </c>
      <c r="H875" s="19" t="e">
        <f>IF(ISBLANK(B875),0,+#REF!/B875)</f>
        <v>#REF!</v>
      </c>
      <c r="I875" s="19"/>
      <c r="J875" s="88">
        <f>IF(ISBLANK(B875),0,+J$840)</f>
        <v>130</v>
      </c>
      <c r="K875" s="42">
        <f>ROUND($B875*K$840,2)</f>
        <v>-0.04</v>
      </c>
      <c r="L875" s="16">
        <f>IF(ISBLANK($C875),0,IF($C875&lt;$C$841,ROUND($C$841*$L$840,2),IF($C875&gt;L$841,ROUND(L$841*L$840,2),ROUND($C875*L$840,2))))</f>
        <v>55900</v>
      </c>
      <c r="M875" s="17">
        <f>IF($C875&gt;L$841,ROUND(($C875-L$841)*M$840,2),0)</f>
        <v>0</v>
      </c>
      <c r="N875" s="17">
        <f>K875</f>
        <v>-0.04</v>
      </c>
      <c r="O875" s="42"/>
      <c r="P875" s="42"/>
      <c r="Q875" s="17">
        <f>SUM(L875:M875)</f>
        <v>55900</v>
      </c>
      <c r="R875" s="82" t="e">
        <f>ROUND(SUM(K875:M875)*(R874-1),2)</f>
        <v>#N/A</v>
      </c>
      <c r="S875" s="42">
        <f>ROUND($B875*S$840*S874,2)</f>
        <v>0</v>
      </c>
      <c r="T875" s="42">
        <f>ROUND($B875*T$840,2)</f>
        <v>0</v>
      </c>
      <c r="U875" s="42">
        <f>ROUND($B875*U$840,2)</f>
        <v>0</v>
      </c>
      <c r="V875" s="42">
        <f>ROUND($B875*V$833,2)</f>
        <v>0</v>
      </c>
      <c r="W875" s="42">
        <f>ROUND($B875*W$840,2)</f>
        <v>0</v>
      </c>
      <c r="X875" s="42">
        <f>ROUND($B875*X$840,2)</f>
        <v>-0.01</v>
      </c>
      <c r="Y875" s="42">
        <f>ROUND($B875*Y$840,2)</f>
        <v>0</v>
      </c>
      <c r="Z875" s="42">
        <f>ROUND($B875*Z$840,2)</f>
        <v>0</v>
      </c>
      <c r="AA875" s="42">
        <f>ROUND($B875*AA$840,2)</f>
        <v>0</v>
      </c>
      <c r="AB875" s="19" t="e">
        <f>SUM(#REF!)</f>
        <v>#REF!</v>
      </c>
      <c r="AC875" s="94" t="str">
        <f>+F875</f>
        <v>HL19</v>
      </c>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c r="EY875"/>
      <c r="EZ875"/>
      <c r="FA875"/>
      <c r="FB875"/>
      <c r="FC875"/>
      <c r="FD875"/>
      <c r="FE875"/>
      <c r="FF875"/>
      <c r="FG875"/>
      <c r="FH875"/>
      <c r="FI875"/>
      <c r="FJ875"/>
      <c r="FK875"/>
      <c r="FL875"/>
      <c r="FM875"/>
      <c r="FN875"/>
      <c r="FO875"/>
      <c r="FP875"/>
      <c r="FQ875"/>
      <c r="FR875"/>
      <c r="FS875"/>
      <c r="FT875"/>
      <c r="FU875"/>
      <c r="FV875"/>
      <c r="FW875"/>
      <c r="FX875"/>
      <c r="FY875"/>
      <c r="FZ875"/>
      <c r="GA875"/>
      <c r="GB875"/>
      <c r="GC875"/>
      <c r="GD875"/>
      <c r="GE875"/>
      <c r="GF875"/>
      <c r="GG875"/>
      <c r="GH875"/>
      <c r="GI875"/>
      <c r="GJ875"/>
      <c r="GK875"/>
      <c r="GL875"/>
      <c r="GM875"/>
      <c r="GN875"/>
      <c r="GO875"/>
      <c r="GP875"/>
      <c r="GQ875"/>
      <c r="GR875"/>
      <c r="GS875"/>
      <c r="GT875"/>
      <c r="GU875"/>
      <c r="GV875"/>
      <c r="GW875"/>
      <c r="GX875"/>
      <c r="GY875"/>
      <c r="GZ875"/>
      <c r="HA875"/>
      <c r="HB875"/>
      <c r="HC875"/>
      <c r="HD875"/>
      <c r="HE875"/>
      <c r="HF875"/>
      <c r="HG875"/>
      <c r="HH875"/>
      <c r="HI875"/>
      <c r="HJ875"/>
      <c r="HK875"/>
      <c r="HL875"/>
      <c r="HM875"/>
      <c r="HN875"/>
      <c r="HO875"/>
      <c r="HP875"/>
      <c r="HQ875"/>
      <c r="HR875"/>
      <c r="HS875"/>
      <c r="HT875"/>
      <c r="HU875"/>
      <c r="HV875"/>
      <c r="HW875"/>
      <c r="HX875"/>
      <c r="HY875"/>
      <c r="HZ875"/>
      <c r="IA875"/>
      <c r="IB875"/>
      <c r="IC875"/>
      <c r="ID875"/>
    </row>
    <row r="876" spans="1:238" x14ac:dyDescent="0.2">
      <c r="A876" s="9"/>
      <c r="B876" s="103">
        <v>-1</v>
      </c>
      <c r="D876" s="8"/>
      <c r="E876" s="9"/>
      <c r="F876" s="36"/>
      <c r="G876" s="17"/>
      <c r="H876" s="19"/>
      <c r="I876" s="12"/>
      <c r="J876" s="12"/>
      <c r="K876" s="12"/>
      <c r="L876" s="12"/>
      <c r="M876" s="12"/>
      <c r="N876" s="12"/>
      <c r="O876" s="12"/>
      <c r="P876" s="12"/>
      <c r="Q876" s="12"/>
      <c r="R876" s="38" t="e">
        <f>VLOOKUP((D877),'Pwr Factor'!$A$1:$B$52,2)</f>
        <v>#N/A</v>
      </c>
      <c r="S876" s="50">
        <v>0.5</v>
      </c>
      <c r="T876" s="12"/>
      <c r="U876" s="12"/>
      <c r="V876" s="12"/>
      <c r="W876" s="12"/>
      <c r="X876" s="12"/>
      <c r="Y876" s="12"/>
      <c r="Z876" s="12"/>
      <c r="AA876" s="12"/>
    </row>
    <row r="877" spans="1:238" x14ac:dyDescent="0.2">
      <c r="A877" s="1" t="s">
        <v>149</v>
      </c>
      <c r="B877" s="103">
        <f>IF(AND('AES Indiana Bill Calc.'!$D$17="HL1",'AES Indiana Bill Calc.'!$D$18="Yes 50%",'AES Indiana Bill Calc.'!$D$20="Yes 2019"),'AES Indiana Bill Calc.'!$D$19,-1)</f>
        <v>-1</v>
      </c>
      <c r="C877" s="103">
        <f>MAX(E877,$C$837)</f>
        <v>2000</v>
      </c>
      <c r="D877" s="103" t="b">
        <f>IF(AND('AES Indiana Bill Calc.'!$D$17="HL1",'AES Indiana Bill Calc.'!$D$18="Yes 50%",'AES Indiana Bill Calc.'!$D$20="Yes 2019"),'AES Indiana Bill Calc.'!$D$22)</f>
        <v>0</v>
      </c>
      <c r="E877" s="103" t="b">
        <f>IF(AND('AES Indiana Bill Calc.'!$D$17="HL1",'AES Indiana Bill Calc.'!$D$18="Yes 50%",'AES Indiana Bill Calc.'!$D$20="Yes 2019"),'AES Indiana Bill Calc.'!$D$21)</f>
        <v>0</v>
      </c>
      <c r="F877" s="36" t="s">
        <v>236</v>
      </c>
      <c r="G877" s="92" t="e">
        <f>SUM(J877:M877,R877:AA877)</f>
        <v>#N/A</v>
      </c>
      <c r="H877" s="19" t="e">
        <f>IF(ISBLANK(B877),0,+#REF!/B877)</f>
        <v>#REF!</v>
      </c>
      <c r="I877" s="19"/>
      <c r="J877" s="88">
        <f>IF(ISBLANK(B877),0,+J$840)</f>
        <v>130</v>
      </c>
      <c r="K877" s="42">
        <f>ROUND($B877*K$840,2)</f>
        <v>-0.04</v>
      </c>
      <c r="L877" s="16">
        <f>IF(ISBLANK($C877),0,IF($C877&lt;$C$841,ROUND($C$841*$L$840,2),IF($C877&gt;L$841,ROUND(L$841*L$840,2),ROUND($C877*L$840,2))))</f>
        <v>55900</v>
      </c>
      <c r="M877" s="17">
        <f>IF($C877&gt;L$841,ROUND(($C877-L$841)*M$840,2),0)</f>
        <v>0</v>
      </c>
      <c r="N877" s="17">
        <f>K877</f>
        <v>-0.04</v>
      </c>
      <c r="O877" s="42"/>
      <c r="P877" s="42"/>
      <c r="Q877" s="17">
        <f>SUM(L877:M877)</f>
        <v>55900</v>
      </c>
      <c r="R877" s="82" t="e">
        <f>ROUND(SUM(K877:M877)*(R876-1),2)</f>
        <v>#N/A</v>
      </c>
      <c r="S877" s="42">
        <f>ROUND($B877*S$840*S876,2)</f>
        <v>0</v>
      </c>
      <c r="T877" s="42">
        <f>ROUND($B877*T$840,2)</f>
        <v>0</v>
      </c>
      <c r="U877" s="42">
        <f>ROUND($B877*U$840,2)</f>
        <v>0</v>
      </c>
      <c r="V877" s="42">
        <f>ROUND($B877*V$833,2)</f>
        <v>0</v>
      </c>
      <c r="W877" s="42">
        <f>ROUND($B877*W$840,2)</f>
        <v>0</v>
      </c>
      <c r="X877" s="42">
        <f>ROUND($B877*X$840,2)</f>
        <v>-0.01</v>
      </c>
      <c r="Y877" s="42">
        <f>ROUND($B877*Y$840,2)</f>
        <v>0</v>
      </c>
      <c r="Z877" s="42">
        <f>ROUND($B877*Z$840,2)</f>
        <v>0</v>
      </c>
      <c r="AA877" s="42">
        <f>ROUND($B877*AA$840,2)</f>
        <v>0</v>
      </c>
      <c r="AB877" s="19" t="e">
        <f>SUM(#REF!)</f>
        <v>#REF!</v>
      </c>
      <c r="AC877" s="94" t="str">
        <f>+F877</f>
        <v>HL19</v>
      </c>
    </row>
    <row r="878" spans="1:238" x14ac:dyDescent="0.2">
      <c r="A878" s="9"/>
      <c r="B878" s="103">
        <v>-1</v>
      </c>
      <c r="D878" s="8"/>
      <c r="E878" s="9"/>
      <c r="F878" s="36"/>
      <c r="G878" s="17"/>
      <c r="H878" s="19"/>
      <c r="I878" s="12"/>
      <c r="J878" s="12"/>
      <c r="K878" s="12"/>
      <c r="L878" s="12"/>
      <c r="M878" s="12"/>
      <c r="N878" s="12"/>
      <c r="O878" s="12"/>
      <c r="P878" s="12"/>
      <c r="Q878" s="12"/>
      <c r="R878" s="38" t="e">
        <f>VLOOKUP((D879),'Pwr Factor'!$A$1:$B$52,2)</f>
        <v>#N/A</v>
      </c>
      <c r="S878" s="50">
        <v>0.25</v>
      </c>
      <c r="T878" s="12"/>
      <c r="U878" s="12"/>
      <c r="V878" s="12"/>
      <c r="W878" s="12"/>
      <c r="X878" s="12"/>
      <c r="Y878" s="12"/>
      <c r="Z878" s="12"/>
      <c r="AA878" s="12"/>
    </row>
    <row r="879" spans="1:238" x14ac:dyDescent="0.2">
      <c r="A879" s="1" t="s">
        <v>150</v>
      </c>
      <c r="B879" s="103">
        <f>IF(AND('AES Indiana Bill Calc.'!$D$17="HL1",'AES Indiana Bill Calc.'!$D$18="Yes 25%",'AES Indiana Bill Calc.'!$D$20="Yes 2019"),'AES Indiana Bill Calc.'!$D$19,-1)</f>
        <v>-1</v>
      </c>
      <c r="C879" s="103">
        <f>MAX(E879,$C$837)</f>
        <v>2000</v>
      </c>
      <c r="D879" s="103" t="b">
        <f>IF(AND('AES Indiana Bill Calc.'!$D$17="HL1",'AES Indiana Bill Calc.'!$D$18="Yes 25%",'AES Indiana Bill Calc.'!$D$20="Yes 2019"),'AES Indiana Bill Calc.'!$D$22)</f>
        <v>0</v>
      </c>
      <c r="E879" s="103" t="b">
        <f>IF(AND('AES Indiana Bill Calc.'!$D$17="HL1",'AES Indiana Bill Calc.'!$D$18="Yes 25%",'AES Indiana Bill Calc.'!$D$20="Yes 2019"),'AES Indiana Bill Calc.'!$D$21)</f>
        <v>0</v>
      </c>
      <c r="F879" s="36" t="s">
        <v>236</v>
      </c>
      <c r="G879" s="92" t="e">
        <f>SUM(J879:M879,R879:AA879)</f>
        <v>#N/A</v>
      </c>
      <c r="H879" s="19" t="e">
        <f>IF(ISBLANK(B879),0,+#REF!/B879)</f>
        <v>#REF!</v>
      </c>
      <c r="I879" s="19"/>
      <c r="J879" s="88">
        <f>IF(ISBLANK(B879),0,+J$840)</f>
        <v>130</v>
      </c>
      <c r="K879" s="42">
        <f>ROUND($B879*K$840,2)</f>
        <v>-0.04</v>
      </c>
      <c r="L879" s="16">
        <f>IF(ISBLANK($C879),0,IF($C879&lt;$C$841,ROUND($C$841*$L$840,2),IF($C879&gt;L$841,ROUND(L$841*L$840,2),ROUND($C879*L$840,2))))</f>
        <v>55900</v>
      </c>
      <c r="M879" s="17">
        <f>IF($C879&gt;L$841,ROUND(($C879-L$841)*M$840,2),0)</f>
        <v>0</v>
      </c>
      <c r="N879" s="17">
        <f>K879</f>
        <v>-0.04</v>
      </c>
      <c r="O879" s="42"/>
      <c r="P879" s="42"/>
      <c r="Q879" s="17">
        <f>SUM(L879:M879)</f>
        <v>55900</v>
      </c>
      <c r="R879" s="82" t="e">
        <f>ROUND(SUM(K879:M879)*(R878-1),2)</f>
        <v>#N/A</v>
      </c>
      <c r="S879" s="42">
        <f>ROUND($B879*S$840*S878,2)</f>
        <v>0</v>
      </c>
      <c r="T879" s="42">
        <f>ROUND($B879*T$840,2)</f>
        <v>0</v>
      </c>
      <c r="U879" s="42">
        <f>ROUND($B879*U$840,2)</f>
        <v>0</v>
      </c>
      <c r="V879" s="42">
        <f>ROUND($B879*V$833,2)</f>
        <v>0</v>
      </c>
      <c r="W879" s="42">
        <f>ROUND($B879*W$840,2)</f>
        <v>0</v>
      </c>
      <c r="X879" s="42">
        <f>ROUND($B879*X$840,2)</f>
        <v>-0.01</v>
      </c>
      <c r="Y879" s="42">
        <f>ROUND($B879*Y$840,2)</f>
        <v>0</v>
      </c>
      <c r="Z879" s="42">
        <f>ROUND($B879*Z$840,2)</f>
        <v>0</v>
      </c>
      <c r="AA879" s="42">
        <f>ROUND($B879*AA$840,2)</f>
        <v>0</v>
      </c>
      <c r="AB879" s="19" t="e">
        <f>SUM(#REF!)</f>
        <v>#REF!</v>
      </c>
      <c r="AC879" s="94" t="str">
        <f>+F879</f>
        <v>HL19</v>
      </c>
    </row>
    <row r="880" spans="1:238" x14ac:dyDescent="0.2">
      <c r="A880" s="9"/>
      <c r="B880" s="103">
        <v>-1</v>
      </c>
      <c r="D880" s="8"/>
      <c r="E880" s="9"/>
      <c r="F880" s="36"/>
      <c r="G880" s="17"/>
      <c r="H880" s="19"/>
      <c r="I880" s="12"/>
      <c r="J880" s="12"/>
      <c r="K880" s="12"/>
      <c r="L880" s="12"/>
      <c r="M880" s="12"/>
      <c r="N880" s="12"/>
      <c r="O880" s="12"/>
      <c r="P880" s="12"/>
      <c r="Q880" s="12"/>
      <c r="R880" s="38" t="e">
        <f>VLOOKUP((D881),'Pwr Factor'!$A$1:$B$52,2)</f>
        <v>#N/A</v>
      </c>
      <c r="S880" s="50">
        <v>0.1</v>
      </c>
      <c r="T880" s="12"/>
      <c r="U880" s="12"/>
      <c r="V880" s="12"/>
      <c r="W880" s="12"/>
      <c r="X880" s="12"/>
      <c r="Y880" s="12"/>
      <c r="Z880" s="12"/>
      <c r="AA880" s="12"/>
    </row>
    <row r="881" spans="1:29" x14ac:dyDescent="0.2">
      <c r="A881" s="1" t="s">
        <v>164</v>
      </c>
      <c r="B881" s="103">
        <f>IF(AND('AES Indiana Bill Calc.'!$D$17="HL1",'AES Indiana Bill Calc.'!$D$18="Yes 10%",'AES Indiana Bill Calc.'!$D$20="Yes 2019"),'AES Indiana Bill Calc.'!$D$19,-1)</f>
        <v>-1</v>
      </c>
      <c r="C881" s="103">
        <f>MAX(E881,$C$837)</f>
        <v>2000</v>
      </c>
      <c r="D881" s="103" t="b">
        <f>IF(AND('AES Indiana Bill Calc.'!$D$17="HL1",'AES Indiana Bill Calc.'!$D$18="Yes 10%",'AES Indiana Bill Calc.'!$D$20="Yes 2019"),'AES Indiana Bill Calc.'!$D$22)</f>
        <v>0</v>
      </c>
      <c r="E881" s="103" t="b">
        <f>IF(AND('AES Indiana Bill Calc.'!$D$17="HL1",'AES Indiana Bill Calc.'!$D$18="Yes 10%",'AES Indiana Bill Calc.'!$D$20="Yes 2019"),'AES Indiana Bill Calc.'!$D$21)</f>
        <v>0</v>
      </c>
      <c r="F881" s="36" t="s">
        <v>236</v>
      </c>
      <c r="G881" s="92" t="e">
        <f>SUM(J881:M881,R881:AA881)</f>
        <v>#N/A</v>
      </c>
      <c r="H881" s="19" t="e">
        <f>IF(ISBLANK(B881),0,+#REF!/B881)</f>
        <v>#REF!</v>
      </c>
      <c r="I881" s="19"/>
      <c r="J881" s="88">
        <f>IF(ISBLANK(B881),0,+J$840)</f>
        <v>130</v>
      </c>
      <c r="K881" s="42">
        <f>ROUND($B881*K$840,2)</f>
        <v>-0.04</v>
      </c>
      <c r="L881" s="16">
        <f>IF(ISBLANK($C881),0,IF($C881&lt;$C$841,ROUND($C$841*$L$840,2),IF($C881&gt;L$841,ROUND(L$841*L$840,2),ROUND($C881*L$840,2))))</f>
        <v>55900</v>
      </c>
      <c r="M881" s="17">
        <f>IF($C881&gt;L$841,ROUND(($C881-L$841)*M$840,2),0)</f>
        <v>0</v>
      </c>
      <c r="N881" s="17">
        <f>K881</f>
        <v>-0.04</v>
      </c>
      <c r="O881" s="42"/>
      <c r="P881" s="42"/>
      <c r="Q881" s="17">
        <f>SUM(L881:M881)</f>
        <v>55900</v>
      </c>
      <c r="R881" s="82" t="e">
        <f>ROUND(SUM(K881:M881)*(R880-1),2)</f>
        <v>#N/A</v>
      </c>
      <c r="S881" s="42">
        <f>ROUND($B881*S$840*S880,2)</f>
        <v>0</v>
      </c>
      <c r="T881" s="42">
        <f>ROUND($B881*T$840,2)</f>
        <v>0</v>
      </c>
      <c r="U881" s="42">
        <f>ROUND($B881*U$840,2)</f>
        <v>0</v>
      </c>
      <c r="V881" s="42">
        <f>ROUND($B881*V$833,2)</f>
        <v>0</v>
      </c>
      <c r="W881" s="42">
        <f>ROUND($B881*W$840,2)</f>
        <v>0</v>
      </c>
      <c r="X881" s="42">
        <f>ROUND($B881*X$840,2)</f>
        <v>-0.01</v>
      </c>
      <c r="Y881" s="42">
        <f>ROUND($B881*Y$840,2)</f>
        <v>0</v>
      </c>
      <c r="Z881" s="42">
        <f>ROUND($B881*Z$840,2)</f>
        <v>0</v>
      </c>
      <c r="AA881" s="42">
        <f>ROUND($B881*AA$840,2)</f>
        <v>0</v>
      </c>
      <c r="AB881" s="19" t="e">
        <f>SUM(#REF!)</f>
        <v>#REF!</v>
      </c>
      <c r="AC881" s="94" t="str">
        <f>+F881</f>
        <v>HL19</v>
      </c>
    </row>
    <row r="882" spans="1:29" x14ac:dyDescent="0.2">
      <c r="A882" s="9"/>
      <c r="B882" s="103">
        <v>-1</v>
      </c>
      <c r="D882" s="8"/>
      <c r="E882" s="9"/>
      <c r="F882" s="36"/>
      <c r="G882" s="17"/>
      <c r="H882" s="19"/>
      <c r="I882" s="12"/>
      <c r="J882" s="12"/>
      <c r="K882" s="12"/>
      <c r="L882" s="12"/>
      <c r="M882" s="12"/>
      <c r="N882" s="12"/>
      <c r="O882" s="12"/>
      <c r="P882" s="12"/>
      <c r="Q882" s="12"/>
      <c r="R882" s="38" t="e">
        <f>VLOOKUP((D883),'Pwr Factor'!$A$1:$B$52,2)</f>
        <v>#N/A</v>
      </c>
      <c r="S882" s="50">
        <v>0</v>
      </c>
      <c r="T882" s="12"/>
      <c r="U882" s="12"/>
      <c r="V882" s="12"/>
      <c r="W882" s="12"/>
      <c r="X882" s="12"/>
      <c r="Y882" s="12"/>
      <c r="Z882" s="12"/>
      <c r="AA882" s="12"/>
    </row>
    <row r="883" spans="1:29" x14ac:dyDescent="0.2">
      <c r="A883" s="1" t="s">
        <v>147</v>
      </c>
      <c r="B883" s="103">
        <f>IF(AND('AES Indiana Bill Calc.'!$D$17="HL1",'AES Indiana Bill Calc.'!$D$18="No",'AES Indiana Bill Calc.'!$D$20="Yes 2019"),'AES Indiana Bill Calc.'!$D$19,-1)</f>
        <v>-1</v>
      </c>
      <c r="C883" s="103">
        <f>MAX(E883,$C$837)</f>
        <v>2000</v>
      </c>
      <c r="D883" s="103" t="b">
        <f>IF(AND('AES Indiana Bill Calc.'!$D$17="HL1",'AES Indiana Bill Calc.'!$D$18="No",'AES Indiana Bill Calc.'!$D$20="Yes 2019"),'AES Indiana Bill Calc.'!$D$22)</f>
        <v>0</v>
      </c>
      <c r="E883" s="103" t="b">
        <f>IF(AND('AES Indiana Bill Calc.'!$D$17="HL1",'AES Indiana Bill Calc.'!$D$18="No",'AES Indiana Bill Calc.'!$D$20="Yes 2019"),'AES Indiana Bill Calc.'!$D$21)</f>
        <v>0</v>
      </c>
      <c r="F883" s="36" t="s">
        <v>236</v>
      </c>
      <c r="G883" s="92" t="e">
        <f>SUM(J883:M883,R883:AA883)</f>
        <v>#N/A</v>
      </c>
      <c r="H883" s="19" t="e">
        <f>IF(ISBLANK(B883),0,+#REF!/B883)</f>
        <v>#REF!</v>
      </c>
      <c r="I883" s="19"/>
      <c r="J883" s="88">
        <f>IF(ISBLANK(B883),0,+J$840)</f>
        <v>130</v>
      </c>
      <c r="K883" s="42">
        <f>ROUND($B883*K$840,2)</f>
        <v>-0.04</v>
      </c>
      <c r="L883" s="16">
        <f>IF(ISBLANK($C883),0,IF($C883&lt;$C$841,ROUND($C$841*$L$840,2),IF($C883&gt;L$841,ROUND(L$841*L$840,2),ROUND($C883*L$840,2))))</f>
        <v>55900</v>
      </c>
      <c r="M883" s="17">
        <f>IF($C883&gt;L$841,ROUND(($C883-L$841)*M$840,2),0)</f>
        <v>0</v>
      </c>
      <c r="N883" s="17">
        <f>K883</f>
        <v>-0.04</v>
      </c>
      <c r="O883" s="42"/>
      <c r="P883" s="42"/>
      <c r="Q883" s="17">
        <f>SUM(L883:M883)</f>
        <v>55900</v>
      </c>
      <c r="R883" s="82" t="e">
        <f>ROUND(SUM(K883:M883)*(R882-1),2)</f>
        <v>#N/A</v>
      </c>
      <c r="S883" s="42">
        <f>ROUND($B883*S$840*S882,2)</f>
        <v>0</v>
      </c>
      <c r="T883" s="42">
        <f>ROUND($B883*T$840,2)</f>
        <v>0</v>
      </c>
      <c r="U883" s="42">
        <f>ROUND($B883*U$840,2)</f>
        <v>0</v>
      </c>
      <c r="V883" s="42">
        <f>ROUND($B883*V$833,2)</f>
        <v>0</v>
      </c>
      <c r="W883" s="42">
        <f>ROUND($B883*W$840,2)</f>
        <v>0</v>
      </c>
      <c r="X883" s="42">
        <f>ROUND($B883*X$840,2)</f>
        <v>-0.01</v>
      </c>
      <c r="Y883" s="42">
        <f>ROUND($B883*Y$840,2)</f>
        <v>0</v>
      </c>
      <c r="Z883" s="42">
        <f>ROUND($B883*Z$840,2)</f>
        <v>0</v>
      </c>
      <c r="AA883" s="42">
        <f>ROUND($B883*AA$840,2)</f>
        <v>0</v>
      </c>
      <c r="AB883" s="19" t="e">
        <f>SUM(#REF!)</f>
        <v>#REF!</v>
      </c>
      <c r="AC883" s="94" t="str">
        <f>+F883</f>
        <v>HL19</v>
      </c>
    </row>
    <row r="884" spans="1:29" x14ac:dyDescent="0.2">
      <c r="A884" s="53"/>
      <c r="B884" s="97">
        <v>-1</v>
      </c>
      <c r="D884" s="41"/>
      <c r="E884" s="80"/>
      <c r="F884" s="36"/>
      <c r="G884" s="98"/>
      <c r="H884" s="19"/>
      <c r="I884" s="19"/>
      <c r="J884" s="88"/>
      <c r="K884" s="42"/>
      <c r="L884" s="82"/>
      <c r="M884" s="42"/>
      <c r="N884" s="42"/>
      <c r="O884" s="42"/>
      <c r="P884" s="42"/>
      <c r="Q884" s="42"/>
      <c r="R884" s="38" t="e">
        <f>VLOOKUP((D885),'Pwr Factor'!$A$1:$B$52,2)</f>
        <v>#N/A</v>
      </c>
      <c r="S884" s="50">
        <v>1</v>
      </c>
      <c r="T884" s="42"/>
      <c r="U884" s="42"/>
      <c r="V884" s="42"/>
      <c r="W884" s="42"/>
      <c r="X884" s="42"/>
      <c r="Y884" s="42"/>
      <c r="Z884" s="42"/>
      <c r="AA884" s="42"/>
      <c r="AB884" s="19"/>
      <c r="AC884" s="94"/>
    </row>
    <row r="885" spans="1:29" x14ac:dyDescent="0.2">
      <c r="A885" s="1" t="s">
        <v>148</v>
      </c>
      <c r="B885" s="103">
        <f>IF(AND('AES Indiana Bill Calc.'!$D$17="HL1",'AES Indiana Bill Calc.'!$D$18="Yes 100%",'AES Indiana Bill Calc.'!$D$20="Yes 2020"),'AES Indiana Bill Calc.'!$D$19,-1)</f>
        <v>-1</v>
      </c>
      <c r="C885" s="103">
        <f>MAX(E885,$C$837)</f>
        <v>2000</v>
      </c>
      <c r="D885" s="103" t="b">
        <f>IF(AND('AES Indiana Bill Calc.'!$D$17="HL1",'AES Indiana Bill Calc.'!$D$18="Yes 100%",'AES Indiana Bill Calc.'!$D$20="Yes 2020"),'AES Indiana Bill Calc.'!$D$22)</f>
        <v>0</v>
      </c>
      <c r="E885" s="103" t="b">
        <f>IF(AND('AES Indiana Bill Calc.'!$D$17="HL1",'AES Indiana Bill Calc.'!$D$18="Yes 100%",'AES Indiana Bill Calc.'!$D$20="Yes 2020"),'AES Indiana Bill Calc.'!$D$21)</f>
        <v>0</v>
      </c>
      <c r="F885" s="36" t="s">
        <v>237</v>
      </c>
      <c r="G885" s="92" t="e">
        <f>SUM(J885:M885,R885:AA885)</f>
        <v>#N/A</v>
      </c>
      <c r="H885" s="19" t="e">
        <f>IF(ISBLANK(B885),0,+#REF!/B885)</f>
        <v>#REF!</v>
      </c>
      <c r="I885" s="19"/>
      <c r="J885" s="88">
        <f>IF(ISBLANK(B885),0,+J$840)</f>
        <v>130</v>
      </c>
      <c r="K885" s="42">
        <f>ROUND($B885*K$840,2)</f>
        <v>-0.04</v>
      </c>
      <c r="L885" s="16">
        <f>IF(ISBLANK($C885),0,IF($C885&lt;$C$841,ROUND($C$841*$L$840,2),IF($C885&gt;L$841,ROUND(L$841*L$840,2),ROUND($C885*L$840,2))))</f>
        <v>55900</v>
      </c>
      <c r="M885" s="17">
        <f>IF($C885&gt;L$841,ROUND(($C885-L$841)*M$840,2),0)</f>
        <v>0</v>
      </c>
      <c r="N885" s="17">
        <f>K885</f>
        <v>-0.04</v>
      </c>
      <c r="O885" s="42"/>
      <c r="P885" s="42"/>
      <c r="Q885" s="17">
        <f>SUM(L885:M885)</f>
        <v>55900</v>
      </c>
      <c r="R885" s="82" t="e">
        <f>ROUND(SUM(K885:M885)*(R884-1),2)</f>
        <v>#N/A</v>
      </c>
      <c r="S885" s="42">
        <f>ROUND($B885*S$840*S884,2)</f>
        <v>0</v>
      </c>
      <c r="T885" s="42">
        <f>ROUND($B885*T$840,2)</f>
        <v>0</v>
      </c>
      <c r="U885" s="42">
        <f>ROUND($B885*U$840,2)</f>
        <v>0</v>
      </c>
      <c r="V885" s="42">
        <f>ROUND($B885*V$834,2)</f>
        <v>0</v>
      </c>
      <c r="W885" s="42">
        <f>ROUND($B885*W$840,2)</f>
        <v>0</v>
      </c>
      <c r="X885" s="42">
        <f>ROUND($B885*X$840,2)</f>
        <v>-0.01</v>
      </c>
      <c r="Y885" s="42">
        <f>ROUND($B885*Y$840,2)</f>
        <v>0</v>
      </c>
      <c r="Z885" s="42">
        <f>ROUND($B885*Z$840,2)</f>
        <v>0</v>
      </c>
      <c r="AA885" s="42">
        <f>ROUND($B885*AA$840,2)</f>
        <v>0</v>
      </c>
      <c r="AB885" s="19">
        <f>SUM(U864:AA864)</f>
        <v>0</v>
      </c>
      <c r="AC885" s="94" t="str">
        <f>+F885</f>
        <v>HL10</v>
      </c>
    </row>
    <row r="886" spans="1:29" x14ac:dyDescent="0.2">
      <c r="A886" s="9"/>
      <c r="B886" s="97">
        <v>-1</v>
      </c>
      <c r="D886" s="41"/>
      <c r="E886" s="80"/>
      <c r="F886" s="36"/>
      <c r="G886" s="98"/>
      <c r="H886" s="19"/>
      <c r="I886" s="19"/>
      <c r="J886" s="88"/>
      <c r="K886" s="42"/>
      <c r="L886" s="82"/>
      <c r="M886" s="42"/>
      <c r="N886" s="42"/>
      <c r="O886" s="42"/>
      <c r="P886" s="42"/>
      <c r="Q886" s="42"/>
      <c r="R886" s="38" t="e">
        <f>VLOOKUP((D887),'Pwr Factor'!$A$1:$B$52,2)</f>
        <v>#N/A</v>
      </c>
      <c r="S886" s="50">
        <v>0.5</v>
      </c>
      <c r="T886" s="42"/>
      <c r="U886" s="42"/>
      <c r="V886" s="42"/>
      <c r="W886" s="42"/>
      <c r="X886" s="42"/>
      <c r="Y886" s="42"/>
      <c r="Z886" s="42"/>
      <c r="AA886" s="42"/>
      <c r="AB886" s="19"/>
      <c r="AC886" s="94"/>
    </row>
    <row r="887" spans="1:29" x14ac:dyDescent="0.2">
      <c r="A887" s="1" t="s">
        <v>149</v>
      </c>
      <c r="B887" s="103">
        <f>IF(AND('AES Indiana Bill Calc.'!$D$17="HL1",'AES Indiana Bill Calc.'!$D$18="Yes 50%",'AES Indiana Bill Calc.'!$D$20="Yes 2020"),'AES Indiana Bill Calc.'!$D$19,-1)</f>
        <v>-1</v>
      </c>
      <c r="C887" s="103">
        <f>MAX(E887,$C$837)</f>
        <v>2000</v>
      </c>
      <c r="D887" s="103" t="b">
        <f>IF(AND('AES Indiana Bill Calc.'!$D$17="HL1",'AES Indiana Bill Calc.'!$D$18="Yes 50%",'AES Indiana Bill Calc.'!$D$20="Yes 2020"),'AES Indiana Bill Calc.'!$D$22)</f>
        <v>0</v>
      </c>
      <c r="E887" s="103" t="b">
        <f>IF(AND('AES Indiana Bill Calc.'!$D$17="HL1",'AES Indiana Bill Calc.'!$D$18="Yes 50%",'AES Indiana Bill Calc.'!$D$20="Yes 2020"),'AES Indiana Bill Calc.'!$D$21)</f>
        <v>0</v>
      </c>
      <c r="F887" s="36" t="s">
        <v>237</v>
      </c>
      <c r="G887" s="92" t="e">
        <f>SUM(J887:M887,R887:AA887)</f>
        <v>#N/A</v>
      </c>
      <c r="H887" s="19" t="e">
        <f>IF(ISBLANK(B887),0,+#REF!/B887)</f>
        <v>#REF!</v>
      </c>
      <c r="I887" s="19"/>
      <c r="J887" s="88">
        <f>IF(ISBLANK(B887),0,+J$840)</f>
        <v>130</v>
      </c>
      <c r="K887" s="42">
        <f>ROUND($B887*K$840,2)</f>
        <v>-0.04</v>
      </c>
      <c r="L887" s="16">
        <f>IF(ISBLANK($C887),0,IF($C887&lt;$C$841,ROUND($C$841*$L$840,2),IF($C887&gt;L$841,ROUND(L$841*L$840,2),ROUND($C887*L$840,2))))</f>
        <v>55900</v>
      </c>
      <c r="M887" s="17">
        <f>IF($C887&gt;L$841,ROUND(($C887-L$841)*M$840,2),0)</f>
        <v>0</v>
      </c>
      <c r="N887" s="17">
        <f>K887</f>
        <v>-0.04</v>
      </c>
      <c r="O887" s="42"/>
      <c r="P887" s="42"/>
      <c r="Q887" s="17">
        <f>SUM(L887:M887)</f>
        <v>55900</v>
      </c>
      <c r="R887" s="82" t="e">
        <f>ROUND(SUM(K887:M887)*(R886-1),2)</f>
        <v>#N/A</v>
      </c>
      <c r="S887" s="42">
        <f>ROUND($B887*S$840*S886,2)</f>
        <v>0</v>
      </c>
      <c r="T887" s="42">
        <f>ROUND($B887*T$840,2)</f>
        <v>0</v>
      </c>
      <c r="U887" s="42">
        <f>ROUND($B887*U$840,2)</f>
        <v>0</v>
      </c>
      <c r="V887" s="42">
        <f>ROUND($B887*V$834,2)</f>
        <v>0</v>
      </c>
      <c r="W887" s="42">
        <f>ROUND($B887*W$840,2)</f>
        <v>0</v>
      </c>
      <c r="X887" s="42">
        <f>ROUND($B887*X$840,2)</f>
        <v>-0.01</v>
      </c>
      <c r="Y887" s="42">
        <f>ROUND($B887*Y$840,2)</f>
        <v>0</v>
      </c>
      <c r="Z887" s="42">
        <f>ROUND($B887*Z$840,2)</f>
        <v>0</v>
      </c>
      <c r="AA887" s="42">
        <f>ROUND($B887*AA$840,2)</f>
        <v>0</v>
      </c>
      <c r="AB887" s="19">
        <f>SUM(U866:AA866)</f>
        <v>0</v>
      </c>
      <c r="AC887" s="94" t="str">
        <f>+F887</f>
        <v>HL10</v>
      </c>
    </row>
    <row r="888" spans="1:29" x14ac:dyDescent="0.2">
      <c r="A888" s="9"/>
      <c r="B888" s="97">
        <v>-1</v>
      </c>
      <c r="D888" s="41"/>
      <c r="E888" s="80"/>
      <c r="F888" s="36"/>
      <c r="G888" s="98"/>
      <c r="H888" s="19"/>
      <c r="I888" s="19"/>
      <c r="J888" s="88"/>
      <c r="K888" s="42"/>
      <c r="L888" s="82"/>
      <c r="M888" s="42"/>
      <c r="N888" s="42"/>
      <c r="O888" s="42"/>
      <c r="P888" s="42"/>
      <c r="Q888" s="42"/>
      <c r="R888" s="38" t="e">
        <f>VLOOKUP((D889),'Pwr Factor'!$A$1:$B$52,2)</f>
        <v>#N/A</v>
      </c>
      <c r="S888" s="50">
        <v>0.25</v>
      </c>
      <c r="T888" s="42"/>
      <c r="U888" s="42"/>
      <c r="V888" s="42"/>
      <c r="W888" s="42"/>
      <c r="X888" s="42"/>
      <c r="Y888" s="42"/>
      <c r="Z888" s="42"/>
      <c r="AA888" s="42"/>
      <c r="AB888" s="19"/>
      <c r="AC888" s="94"/>
    </row>
    <row r="889" spans="1:29" x14ac:dyDescent="0.2">
      <c r="A889" s="1" t="s">
        <v>150</v>
      </c>
      <c r="B889" s="103">
        <f>IF(AND('AES Indiana Bill Calc.'!$D$17="HL1",'AES Indiana Bill Calc.'!$D$18="Yes 25%",'AES Indiana Bill Calc.'!$D$20="Yes 2020"),'AES Indiana Bill Calc.'!$D$19,-1)</f>
        <v>-1</v>
      </c>
      <c r="C889" s="103">
        <f>MAX(E889,$C$837)</f>
        <v>2000</v>
      </c>
      <c r="D889" s="103" t="b">
        <f>IF(AND('AES Indiana Bill Calc.'!$D$17="HL1",'AES Indiana Bill Calc.'!$D$18="Yes 25%",'AES Indiana Bill Calc.'!$D$20="Yes 2020"),'AES Indiana Bill Calc.'!$D$22)</f>
        <v>0</v>
      </c>
      <c r="E889" s="103" t="b">
        <f>IF(AND('AES Indiana Bill Calc.'!$D$17="HL1",'AES Indiana Bill Calc.'!$D$18="Yes 25%",'AES Indiana Bill Calc.'!$D$20="Yes 2020"),'AES Indiana Bill Calc.'!$D$21)</f>
        <v>0</v>
      </c>
      <c r="F889" s="36" t="s">
        <v>237</v>
      </c>
      <c r="G889" s="92" t="e">
        <f>SUM(J889:M889,R889:AA889)</f>
        <v>#N/A</v>
      </c>
      <c r="H889" s="19" t="e">
        <f>IF(ISBLANK(B889),0,+#REF!/B889)</f>
        <v>#REF!</v>
      </c>
      <c r="I889" s="19"/>
      <c r="J889" s="88">
        <f>IF(ISBLANK(B889),0,+J$840)</f>
        <v>130</v>
      </c>
      <c r="K889" s="42">
        <f>ROUND($B889*K$840,2)</f>
        <v>-0.04</v>
      </c>
      <c r="L889" s="16">
        <f>IF(ISBLANK($C889),0,IF($C889&lt;$C$841,ROUND($C$841*$L$840,2),IF($C889&gt;L$841,ROUND(L$841*L$840,2),ROUND($C889*L$840,2))))</f>
        <v>55900</v>
      </c>
      <c r="M889" s="17">
        <f>IF($C889&gt;L$841,ROUND(($C889-L$841)*M$840,2),0)</f>
        <v>0</v>
      </c>
      <c r="N889" s="17">
        <f>K889</f>
        <v>-0.04</v>
      </c>
      <c r="O889" s="42"/>
      <c r="P889" s="42"/>
      <c r="Q889" s="17">
        <f>SUM(L889:M889)</f>
        <v>55900</v>
      </c>
      <c r="R889" s="82" t="e">
        <f>ROUND(SUM(K889:M889)*(R888-1),2)</f>
        <v>#N/A</v>
      </c>
      <c r="S889" s="42">
        <f>ROUND($B889*S$840*S888,2)</f>
        <v>0</v>
      </c>
      <c r="T889" s="42">
        <f>ROUND($B889*T$840,2)</f>
        <v>0</v>
      </c>
      <c r="U889" s="42">
        <f>ROUND($B889*U$840,2)</f>
        <v>0</v>
      </c>
      <c r="V889" s="42">
        <f>ROUND($B889*V$834,2)</f>
        <v>0</v>
      </c>
      <c r="W889" s="42">
        <f>ROUND($B889*W$840,2)</f>
        <v>0</v>
      </c>
      <c r="X889" s="42">
        <f>ROUND($B889*X$840,2)</f>
        <v>-0.01</v>
      </c>
      <c r="Y889" s="42">
        <f>ROUND($B889*Y$840,2)</f>
        <v>0</v>
      </c>
      <c r="Z889" s="42">
        <f>ROUND($B889*Z$840,2)</f>
        <v>0</v>
      </c>
      <c r="AA889" s="42">
        <f>ROUND($B889*AA$840,2)</f>
        <v>0</v>
      </c>
      <c r="AB889" s="19">
        <f>SUM(U868:AA868)</f>
        <v>0</v>
      </c>
      <c r="AC889" s="94" t="str">
        <f>+F889</f>
        <v>HL10</v>
      </c>
    </row>
    <row r="890" spans="1:29" x14ac:dyDescent="0.2">
      <c r="A890" s="9"/>
      <c r="B890" s="97">
        <v>-1</v>
      </c>
      <c r="D890" s="41"/>
      <c r="E890" s="80"/>
      <c r="F890" s="36"/>
      <c r="G890" s="98"/>
      <c r="H890" s="19"/>
      <c r="I890" s="19"/>
      <c r="J890" s="88"/>
      <c r="K890" s="42"/>
      <c r="L890" s="82"/>
      <c r="M890" s="42"/>
      <c r="N890" s="42"/>
      <c r="O890" s="42"/>
      <c r="P890" s="42"/>
      <c r="Q890" s="42"/>
      <c r="R890" s="38" t="e">
        <f>VLOOKUP((D891),'Pwr Factor'!$A$1:$B$52,2)</f>
        <v>#N/A</v>
      </c>
      <c r="S890" s="50">
        <v>0.1</v>
      </c>
      <c r="T890" s="42"/>
      <c r="U890" s="42"/>
      <c r="V890" s="42"/>
      <c r="W890" s="42"/>
      <c r="X890" s="42"/>
      <c r="Y890" s="42"/>
      <c r="Z890" s="42"/>
      <c r="AA890" s="42"/>
      <c r="AB890" s="19"/>
      <c r="AC890" s="94"/>
    </row>
    <row r="891" spans="1:29" x14ac:dyDescent="0.2">
      <c r="A891" s="1" t="s">
        <v>164</v>
      </c>
      <c r="B891" s="103">
        <f>IF(AND('AES Indiana Bill Calc.'!$D$17="HL1",'AES Indiana Bill Calc.'!$D$18="Yes 10%",'AES Indiana Bill Calc.'!$D$20="Yes 2020"),'AES Indiana Bill Calc.'!$D$19,-1)</f>
        <v>-1</v>
      </c>
      <c r="C891" s="103">
        <f>MAX(E891,$C$837)</f>
        <v>2000</v>
      </c>
      <c r="D891" s="103" t="b">
        <f>IF(AND('AES Indiana Bill Calc.'!$D$17="HL1",'AES Indiana Bill Calc.'!$D$18="Yes 10%",'AES Indiana Bill Calc.'!$D$20="Yes 2020"),'AES Indiana Bill Calc.'!$D$22)</f>
        <v>0</v>
      </c>
      <c r="E891" s="103" t="b">
        <f>IF(AND('AES Indiana Bill Calc.'!$D$17="HL1",'AES Indiana Bill Calc.'!$D$18="Yes 10%",'AES Indiana Bill Calc.'!$D$20="Yes 2020"),'AES Indiana Bill Calc.'!$D$21)</f>
        <v>0</v>
      </c>
      <c r="F891" s="36" t="s">
        <v>237</v>
      </c>
      <c r="G891" s="92" t="e">
        <f>SUM(J891:M891,R891:AA891)</f>
        <v>#N/A</v>
      </c>
      <c r="H891" s="19" t="e">
        <f>IF(ISBLANK(B891),0,+#REF!/B891)</f>
        <v>#REF!</v>
      </c>
      <c r="I891" s="19"/>
      <c r="J891" s="88">
        <f>IF(ISBLANK(B891),0,+J$840)</f>
        <v>130</v>
      </c>
      <c r="K891" s="42">
        <f>ROUND($B891*K$840,2)</f>
        <v>-0.04</v>
      </c>
      <c r="L891" s="16">
        <f>IF(ISBLANK($C891),0,IF($C891&lt;$C$841,ROUND($C$841*$L$840,2),IF($C891&gt;L$841,ROUND(L$841*L$840,2),ROUND($C891*L$840,2))))</f>
        <v>55900</v>
      </c>
      <c r="M891" s="17">
        <f>IF($C891&gt;L$841,ROUND(($C891-L$841)*M$840,2),0)</f>
        <v>0</v>
      </c>
      <c r="N891" s="17">
        <f>K891</f>
        <v>-0.04</v>
      </c>
      <c r="O891" s="42"/>
      <c r="P891" s="42"/>
      <c r="Q891" s="17">
        <f>SUM(L891:M891)</f>
        <v>55900</v>
      </c>
      <c r="R891" s="82" t="e">
        <f>ROUND(SUM(K891:M891)*(R890-1),2)</f>
        <v>#N/A</v>
      </c>
      <c r="S891" s="42">
        <f>ROUND($B891*S$840*S890,2)</f>
        <v>0</v>
      </c>
      <c r="T891" s="42">
        <f>ROUND($B891*T$840,2)</f>
        <v>0</v>
      </c>
      <c r="U891" s="42">
        <f>ROUND($B891*U$840,2)</f>
        <v>0</v>
      </c>
      <c r="V891" s="42">
        <f>ROUND($B891*V$834,2)</f>
        <v>0</v>
      </c>
      <c r="W891" s="42">
        <f>ROUND($B891*W$840,2)</f>
        <v>0</v>
      </c>
      <c r="X891" s="42">
        <f>ROUND($B891*X$840,2)</f>
        <v>-0.01</v>
      </c>
      <c r="Y891" s="42">
        <f>ROUND($B891*Y$840,2)</f>
        <v>0</v>
      </c>
      <c r="Z891" s="42">
        <f>ROUND($B891*Z$840,2)</f>
        <v>0</v>
      </c>
      <c r="AA891" s="42">
        <f>ROUND($B891*AA$840,2)</f>
        <v>0</v>
      </c>
      <c r="AB891" s="19">
        <f>SUM(U870:AA870)</f>
        <v>0</v>
      </c>
      <c r="AC891" s="94" t="str">
        <f>+F891</f>
        <v>HL10</v>
      </c>
    </row>
    <row r="892" spans="1:29" x14ac:dyDescent="0.2">
      <c r="A892" s="9"/>
      <c r="B892" s="97">
        <v>-1</v>
      </c>
      <c r="D892" s="41"/>
      <c r="E892" s="80"/>
      <c r="F892" s="36"/>
      <c r="G892" s="98"/>
      <c r="H892" s="19"/>
      <c r="I892" s="19"/>
      <c r="J892" s="88"/>
      <c r="K892" s="42"/>
      <c r="L892" s="82"/>
      <c r="M892" s="42"/>
      <c r="N892" s="42"/>
      <c r="O892" s="42"/>
      <c r="P892" s="42"/>
      <c r="Q892" s="42"/>
      <c r="R892" s="38" t="e">
        <f>VLOOKUP((D893),'Pwr Factor'!$A$1:$B$52,2)</f>
        <v>#N/A</v>
      </c>
      <c r="S892" s="50">
        <v>0</v>
      </c>
      <c r="T892" s="42"/>
      <c r="U892" s="42"/>
      <c r="V892" s="42"/>
      <c r="W892" s="42"/>
      <c r="X892" s="42"/>
      <c r="Y892" s="42"/>
      <c r="Z892" s="42"/>
      <c r="AA892" s="42"/>
      <c r="AB892" s="19"/>
      <c r="AC892" s="94"/>
    </row>
    <row r="893" spans="1:29" x14ac:dyDescent="0.2">
      <c r="A893" s="1" t="s">
        <v>147</v>
      </c>
      <c r="B893" s="103">
        <f>IF(AND('AES Indiana Bill Calc.'!$D$17="HL1",'AES Indiana Bill Calc.'!$D$18="No",'AES Indiana Bill Calc.'!$D$20="Yes 2020"),'AES Indiana Bill Calc.'!$D$19,-1)</f>
        <v>-1</v>
      </c>
      <c r="C893" s="103">
        <f>MAX(E893,$C$837)</f>
        <v>2000</v>
      </c>
      <c r="D893" s="103" t="b">
        <f>IF(AND('AES Indiana Bill Calc.'!$D$17="HL1",'AES Indiana Bill Calc.'!$D$18="No",'AES Indiana Bill Calc.'!$D$20="Yes 2020"),'AES Indiana Bill Calc.'!$D$22)</f>
        <v>0</v>
      </c>
      <c r="E893" s="103" t="b">
        <f>IF(AND('AES Indiana Bill Calc.'!$D$17="HL1",'AES Indiana Bill Calc.'!$D$18="No",'AES Indiana Bill Calc.'!$D$20="Yes 2020"),'AES Indiana Bill Calc.'!$D$21)</f>
        <v>0</v>
      </c>
      <c r="F893" s="36" t="s">
        <v>237</v>
      </c>
      <c r="G893" s="92" t="e">
        <f>SUM(J893:M893,R893:AA893)</f>
        <v>#N/A</v>
      </c>
      <c r="H893" s="19" t="e">
        <f>IF(ISBLANK(B893),0,+#REF!/B893)</f>
        <v>#REF!</v>
      </c>
      <c r="I893" s="19"/>
      <c r="J893" s="88">
        <f>IF(ISBLANK(B893),0,+J$840)</f>
        <v>130</v>
      </c>
      <c r="K893" s="42">
        <f>ROUND($B893*K$840,2)</f>
        <v>-0.04</v>
      </c>
      <c r="L893" s="16">
        <f>IF(ISBLANK($C893),0,IF($C893&lt;$C$841,ROUND($C$841*$L$840,2),IF($C893&gt;L$841,ROUND(L$841*L$840,2),ROUND($C893*L$840,2))))</f>
        <v>55900</v>
      </c>
      <c r="M893" s="17">
        <f>IF($C893&gt;L$841,ROUND(($C893-L$841)*M$840,2),0)</f>
        <v>0</v>
      </c>
      <c r="N893" s="17">
        <f>K893</f>
        <v>-0.04</v>
      </c>
      <c r="O893" s="42"/>
      <c r="P893" s="42"/>
      <c r="Q893" s="17">
        <f>SUM(L893:M893)</f>
        <v>55900</v>
      </c>
      <c r="R893" s="82" t="e">
        <f>ROUND(SUM(K893:M893)*(R892-1),2)</f>
        <v>#N/A</v>
      </c>
      <c r="S893" s="42">
        <f>ROUND($B893*S$840*S892,2)</f>
        <v>0</v>
      </c>
      <c r="T893" s="42">
        <f>ROUND($B893*T$840,2)</f>
        <v>0</v>
      </c>
      <c r="U893" s="42">
        <f>ROUND($B893*U$840,2)</f>
        <v>0</v>
      </c>
      <c r="V893" s="42">
        <f>ROUND($B893*V$834,2)</f>
        <v>0</v>
      </c>
      <c r="W893" s="42">
        <f>ROUND($B893*W$840,2)</f>
        <v>0</v>
      </c>
      <c r="X893" s="42">
        <f>ROUND($B893*X$840,2)</f>
        <v>-0.01</v>
      </c>
      <c r="Y893" s="42">
        <f>ROUND($B893*Y$840,2)</f>
        <v>0</v>
      </c>
      <c r="Z893" s="42">
        <f>ROUND($B893*Z$840,2)</f>
        <v>0</v>
      </c>
      <c r="AA893" s="42">
        <f>ROUND($B893*AA$840,2)</f>
        <v>0</v>
      </c>
      <c r="AB893" s="19">
        <f>SUM(U872:AA872)</f>
        <v>0</v>
      </c>
      <c r="AC893" s="94" t="str">
        <f>+F893</f>
        <v>HL10</v>
      </c>
    </row>
    <row r="894" spans="1:29" x14ac:dyDescent="0.2">
      <c r="A894" s="53"/>
      <c r="B894" s="97">
        <v>-1</v>
      </c>
      <c r="D894" s="41"/>
      <c r="E894" s="80"/>
      <c r="F894" s="36"/>
      <c r="G894" s="98"/>
      <c r="H894" s="19"/>
      <c r="I894" s="19"/>
      <c r="J894" s="88"/>
      <c r="K894" s="42"/>
      <c r="L894" s="82"/>
      <c r="M894" s="42"/>
      <c r="N894" s="42"/>
      <c r="O894" s="42"/>
      <c r="P894" s="42"/>
      <c r="Q894" s="42"/>
      <c r="R894" s="38" t="e">
        <f>VLOOKUP((D895),'Pwr Factor'!$A$1:$B$52,2)</f>
        <v>#N/A</v>
      </c>
      <c r="S894" s="50">
        <v>1</v>
      </c>
      <c r="T894" s="42"/>
      <c r="U894" s="42"/>
      <c r="V894" s="42"/>
      <c r="W894" s="42"/>
      <c r="X894" s="42"/>
      <c r="Y894" s="42"/>
      <c r="Z894" s="42"/>
      <c r="AA894" s="42"/>
      <c r="AB894" s="19"/>
      <c r="AC894" s="94"/>
    </row>
    <row r="895" spans="1:29" x14ac:dyDescent="0.2">
      <c r="A895" s="1" t="s">
        <v>148</v>
      </c>
      <c r="B895" s="103">
        <f>IF(AND('AES Indiana Bill Calc.'!$D$17="HL1",'AES Indiana Bill Calc.'!$D$18="Yes 100%",'AES Indiana Bill Calc.'!$D$20="Yes 2021"),'AES Indiana Bill Calc.'!$D$19,-1)</f>
        <v>-1</v>
      </c>
      <c r="C895" s="103">
        <f>MAX(E895,$C$837)</f>
        <v>2000</v>
      </c>
      <c r="D895" s="103" t="b">
        <f>IF(AND('AES Indiana Bill Calc.'!$D$17="HL1",'AES Indiana Bill Calc.'!$D$18="Yes 100%",'AES Indiana Bill Calc.'!$D$20="Yes 2021"),'AES Indiana Bill Calc.'!$D$22)</f>
        <v>0</v>
      </c>
      <c r="E895" s="103" t="b">
        <f>IF(AND('AES Indiana Bill Calc.'!$D$17="HL1",'AES Indiana Bill Calc.'!$D$18="Yes 100%",'AES Indiana Bill Calc.'!$D$20="Yes 2021"),'AES Indiana Bill Calc.'!$D$21)</f>
        <v>0</v>
      </c>
      <c r="F895" s="36" t="s">
        <v>238</v>
      </c>
      <c r="G895" s="92" t="e">
        <f>SUM(J895:M895,R895:AA895)</f>
        <v>#N/A</v>
      </c>
      <c r="H895" s="19" t="e">
        <f>IF(ISBLANK(B895),0,+#REF!/B895)</f>
        <v>#REF!</v>
      </c>
      <c r="I895" s="19"/>
      <c r="J895" s="88">
        <f>IF(ISBLANK(B895),0,+J$840)</f>
        <v>130</v>
      </c>
      <c r="K895" s="42">
        <f>ROUND($B895*K$840,2)</f>
        <v>-0.04</v>
      </c>
      <c r="L895" s="16">
        <f>IF(ISBLANK($C895),0,IF($C895&lt;$C$841,ROUND($C$841*$L$840,2),IF($C895&gt;L$841,ROUND(L$841*L$840,2),ROUND($C895*L$840,2))))</f>
        <v>55900</v>
      </c>
      <c r="M895" s="17">
        <f>IF($C895&gt;L$841,ROUND(($C895-L$841)*M$840,2),0)</f>
        <v>0</v>
      </c>
      <c r="N895" s="17">
        <f>K895</f>
        <v>-0.04</v>
      </c>
      <c r="O895" s="42"/>
      <c r="P895" s="42"/>
      <c r="Q895" s="17">
        <f>SUM(L895:M895)</f>
        <v>55900</v>
      </c>
      <c r="R895" s="82" t="e">
        <f>ROUND(SUM(K895:M895)*(R894-1),2)</f>
        <v>#N/A</v>
      </c>
      <c r="S895" s="42">
        <f>ROUND($B895*S$840*S894,2)</f>
        <v>0</v>
      </c>
      <c r="T895" s="42">
        <f>ROUND($B895*T$840,2)</f>
        <v>0</v>
      </c>
      <c r="U895" s="42">
        <f>ROUND($B895*U$840,2)</f>
        <v>0</v>
      </c>
      <c r="V895" s="42">
        <f>ROUND($B895*V$835,2)</f>
        <v>0</v>
      </c>
      <c r="W895" s="42">
        <f>ROUND($B895*W$840,2)</f>
        <v>0</v>
      </c>
      <c r="X895" s="42">
        <f>ROUND($B895*X$840,2)</f>
        <v>-0.01</v>
      </c>
      <c r="Y895" s="42">
        <f>ROUND($B895*Y$840,2)</f>
        <v>0</v>
      </c>
      <c r="Z895" s="42">
        <f>ROUND($B895*Z$840,2)</f>
        <v>0</v>
      </c>
      <c r="AA895" s="42">
        <f>ROUND($B895*AA$840,2)</f>
        <v>0</v>
      </c>
      <c r="AB895" s="19">
        <f>SUM(U874:AA874)</f>
        <v>0</v>
      </c>
      <c r="AC895" s="94" t="str">
        <f>+F895</f>
        <v>HL11</v>
      </c>
    </row>
    <row r="896" spans="1:29" x14ac:dyDescent="0.2">
      <c r="A896" s="9"/>
      <c r="B896" s="97">
        <v>-1</v>
      </c>
      <c r="D896" s="41"/>
      <c r="E896" s="80"/>
      <c r="F896" s="36"/>
      <c r="G896" s="98"/>
      <c r="H896" s="19"/>
      <c r="I896" s="19"/>
      <c r="J896" s="88"/>
      <c r="K896" s="42"/>
      <c r="L896" s="82"/>
      <c r="M896" s="42"/>
      <c r="N896" s="42"/>
      <c r="O896" s="42"/>
      <c r="P896" s="42"/>
      <c r="Q896" s="42"/>
      <c r="R896" s="38" t="e">
        <f>VLOOKUP((D897),'Pwr Factor'!$A$1:$B$52,2)</f>
        <v>#N/A</v>
      </c>
      <c r="S896" s="50">
        <v>0.5</v>
      </c>
      <c r="T896" s="42"/>
      <c r="U896" s="42"/>
      <c r="V896" s="42"/>
      <c r="W896" s="42"/>
      <c r="X896" s="42"/>
      <c r="Y896" s="42"/>
      <c r="Z896" s="42"/>
      <c r="AA896" s="42"/>
      <c r="AB896" s="19"/>
      <c r="AC896" s="94"/>
    </row>
    <row r="897" spans="1:29" x14ac:dyDescent="0.2">
      <c r="A897" s="1" t="s">
        <v>149</v>
      </c>
      <c r="B897" s="103">
        <f>IF(AND('AES Indiana Bill Calc.'!$D$17="HL1",'AES Indiana Bill Calc.'!$D$18="Yes 50%",'AES Indiana Bill Calc.'!$D$20="Yes 2021"),'AES Indiana Bill Calc.'!$D$19,-1)</f>
        <v>-1</v>
      </c>
      <c r="C897" s="103">
        <f>MAX(E897,$C$837)</f>
        <v>2000</v>
      </c>
      <c r="D897" s="103" t="b">
        <f>IF(AND('AES Indiana Bill Calc.'!$D$17="HL1",'AES Indiana Bill Calc.'!$D$18="Yes 50%",'AES Indiana Bill Calc.'!$D$20="Yes 2021"),'AES Indiana Bill Calc.'!$D$22)</f>
        <v>0</v>
      </c>
      <c r="E897" s="103" t="b">
        <f>IF(AND('AES Indiana Bill Calc.'!$D$17="HL1",'AES Indiana Bill Calc.'!$D$18="Yes 50%",'AES Indiana Bill Calc.'!$D$20="Yes 2021"),'AES Indiana Bill Calc.'!$D$21)</f>
        <v>0</v>
      </c>
      <c r="F897" s="36" t="s">
        <v>238</v>
      </c>
      <c r="G897" s="92" t="e">
        <f>SUM(J897:M897,R897:AA897)</f>
        <v>#N/A</v>
      </c>
      <c r="H897" s="19" t="e">
        <f>IF(ISBLANK(B897),0,+#REF!/B897)</f>
        <v>#REF!</v>
      </c>
      <c r="I897" s="19"/>
      <c r="J897" s="88">
        <f>IF(ISBLANK(B897),0,+J$840)</f>
        <v>130</v>
      </c>
      <c r="K897" s="42">
        <f>ROUND($B897*K$840,2)</f>
        <v>-0.04</v>
      </c>
      <c r="L897" s="16">
        <f>IF(ISBLANK($C897),0,IF($C897&lt;$C$841,ROUND($C$841*$L$840,2),IF($C897&gt;L$841,ROUND(L$841*L$840,2),ROUND($C897*L$840,2))))</f>
        <v>55900</v>
      </c>
      <c r="M897" s="17">
        <f>IF($C897&gt;L$841,ROUND(($C897-L$841)*M$840,2),0)</f>
        <v>0</v>
      </c>
      <c r="N897" s="17">
        <f>K897</f>
        <v>-0.04</v>
      </c>
      <c r="O897" s="42"/>
      <c r="P897" s="42"/>
      <c r="Q897" s="17">
        <f>SUM(L897:M897)</f>
        <v>55900</v>
      </c>
      <c r="R897" s="82" t="e">
        <f>ROUND(SUM(K897:M897)*(R896-1),2)</f>
        <v>#N/A</v>
      </c>
      <c r="S897" s="42">
        <f>ROUND($B897*S$840*S896,2)</f>
        <v>0</v>
      </c>
      <c r="T897" s="42">
        <f>ROUND($B897*T$840,2)</f>
        <v>0</v>
      </c>
      <c r="U897" s="42">
        <f>ROUND($B897*U$840,2)</f>
        <v>0</v>
      </c>
      <c r="V897" s="42">
        <f>ROUND($B897*V$835,2)</f>
        <v>0</v>
      </c>
      <c r="W897" s="42">
        <f>ROUND($B897*W$840,2)</f>
        <v>0</v>
      </c>
      <c r="X897" s="42">
        <f>ROUND($B897*X$840,2)</f>
        <v>-0.01</v>
      </c>
      <c r="Y897" s="42">
        <f>ROUND($B897*Y$840,2)</f>
        <v>0</v>
      </c>
      <c r="Z897" s="42">
        <f>ROUND($B897*Z$840,2)</f>
        <v>0</v>
      </c>
      <c r="AA897" s="42">
        <f>ROUND($B897*AA$840,2)</f>
        <v>0</v>
      </c>
      <c r="AB897" s="19">
        <f>SUM(U876:AA876)</f>
        <v>0</v>
      </c>
      <c r="AC897" s="94" t="str">
        <f>+F897</f>
        <v>HL11</v>
      </c>
    </row>
    <row r="898" spans="1:29" x14ac:dyDescent="0.2">
      <c r="A898" s="9"/>
      <c r="B898" s="97">
        <v>-1</v>
      </c>
      <c r="D898" s="41"/>
      <c r="E898" s="80"/>
      <c r="F898" s="36"/>
      <c r="G898" s="98"/>
      <c r="H898" s="19"/>
      <c r="I898" s="19"/>
      <c r="J898" s="88"/>
      <c r="K898" s="42"/>
      <c r="L898" s="82"/>
      <c r="M898" s="42"/>
      <c r="N898" s="42"/>
      <c r="O898" s="42"/>
      <c r="P898" s="42"/>
      <c r="Q898" s="42"/>
      <c r="R898" s="38" t="e">
        <f>VLOOKUP((D899),'Pwr Factor'!$A$1:$B$52,2)</f>
        <v>#N/A</v>
      </c>
      <c r="S898" s="50">
        <v>0.25</v>
      </c>
      <c r="T898" s="42"/>
      <c r="U898" s="42"/>
      <c r="V898" s="42"/>
      <c r="W898" s="42"/>
      <c r="X898" s="42"/>
      <c r="Y898" s="42"/>
      <c r="Z898" s="42"/>
      <c r="AA898" s="42"/>
      <c r="AB898" s="19"/>
      <c r="AC898" s="94"/>
    </row>
    <row r="899" spans="1:29" x14ac:dyDescent="0.2">
      <c r="A899" s="1" t="s">
        <v>150</v>
      </c>
      <c r="B899" s="103">
        <f>IF(AND('AES Indiana Bill Calc.'!$D$17="HL1",'AES Indiana Bill Calc.'!$D$18="Yes 25%",'AES Indiana Bill Calc.'!$D$20="Yes 2021"),'AES Indiana Bill Calc.'!$D$19,-1)</f>
        <v>-1</v>
      </c>
      <c r="C899" s="103">
        <f>MAX(E899,$C$837)</f>
        <v>2000</v>
      </c>
      <c r="D899" s="103" t="b">
        <f>IF(AND('AES Indiana Bill Calc.'!$D$17="HL1",'AES Indiana Bill Calc.'!$D$18="Yes 25%",'AES Indiana Bill Calc.'!$D$20="Yes 2021"),'AES Indiana Bill Calc.'!$D$22)</f>
        <v>0</v>
      </c>
      <c r="E899" s="103" t="b">
        <f>IF(AND('AES Indiana Bill Calc.'!$D$17="HL1",'AES Indiana Bill Calc.'!$D$18="Yes 25%",'AES Indiana Bill Calc.'!$D$20="Yes 2021"),'AES Indiana Bill Calc.'!$D$21)</f>
        <v>0</v>
      </c>
      <c r="F899" s="36" t="s">
        <v>238</v>
      </c>
      <c r="G899" s="92" t="e">
        <f>SUM(J899:M899,R899:AA899)</f>
        <v>#N/A</v>
      </c>
      <c r="H899" s="19" t="e">
        <f>IF(ISBLANK(B899),0,+#REF!/B899)</f>
        <v>#REF!</v>
      </c>
      <c r="I899" s="19"/>
      <c r="J899" s="88">
        <f>IF(ISBLANK(B899),0,+J$840)</f>
        <v>130</v>
      </c>
      <c r="K899" s="42">
        <f>ROUND($B899*K$840,2)</f>
        <v>-0.04</v>
      </c>
      <c r="L899" s="16">
        <f>IF(ISBLANK($C899),0,IF($C899&lt;$C$841,ROUND($C$841*$L$840,2),IF($C899&gt;L$841,ROUND(L$841*L$840,2),ROUND($C899*L$840,2))))</f>
        <v>55900</v>
      </c>
      <c r="M899" s="17">
        <f>IF($C899&gt;L$841,ROUND(($C899-L$841)*M$840,2),0)</f>
        <v>0</v>
      </c>
      <c r="N899" s="17">
        <f>K899</f>
        <v>-0.04</v>
      </c>
      <c r="O899" s="42"/>
      <c r="P899" s="42"/>
      <c r="Q899" s="17">
        <f>SUM(L899:M899)</f>
        <v>55900</v>
      </c>
      <c r="R899" s="82" t="e">
        <f>ROUND(SUM(K899:M899)*(R898-1),2)</f>
        <v>#N/A</v>
      </c>
      <c r="S899" s="42">
        <f>ROUND($B899*S$840*S898,2)</f>
        <v>0</v>
      </c>
      <c r="T899" s="42">
        <f>ROUND($B899*T$840,2)</f>
        <v>0</v>
      </c>
      <c r="U899" s="42">
        <f>ROUND($B899*U$840,2)</f>
        <v>0</v>
      </c>
      <c r="V899" s="42">
        <f>ROUND($B899*V$835,2)</f>
        <v>0</v>
      </c>
      <c r="W899" s="42">
        <f>ROUND($B899*W$840,2)</f>
        <v>0</v>
      </c>
      <c r="X899" s="42">
        <f>ROUND($B899*X$840,2)</f>
        <v>-0.01</v>
      </c>
      <c r="Y899" s="42">
        <f>ROUND($B899*Y$840,2)</f>
        <v>0</v>
      </c>
      <c r="Z899" s="42">
        <f>ROUND($B899*Z$840,2)</f>
        <v>0</v>
      </c>
      <c r="AA899" s="42">
        <f>ROUND($B899*AA$840,2)</f>
        <v>0</v>
      </c>
      <c r="AB899" s="19">
        <f>SUM(U878:AA878)</f>
        <v>0</v>
      </c>
      <c r="AC899" s="94" t="str">
        <f>+F899</f>
        <v>HL11</v>
      </c>
    </row>
    <row r="900" spans="1:29" x14ac:dyDescent="0.2">
      <c r="A900" s="9"/>
      <c r="B900" s="97">
        <v>-1</v>
      </c>
      <c r="D900" s="41"/>
      <c r="E900" s="80"/>
      <c r="F900" s="36"/>
      <c r="G900" s="98"/>
      <c r="H900" s="19"/>
      <c r="I900" s="19"/>
      <c r="J900" s="88"/>
      <c r="K900" s="42"/>
      <c r="L900" s="82"/>
      <c r="M900" s="42"/>
      <c r="N900" s="42"/>
      <c r="O900" s="42"/>
      <c r="P900" s="42"/>
      <c r="Q900" s="42"/>
      <c r="R900" s="38" t="e">
        <f>VLOOKUP((D901),'Pwr Factor'!$A$1:$B$52,2)</f>
        <v>#N/A</v>
      </c>
      <c r="S900" s="50">
        <v>0.1</v>
      </c>
      <c r="T900" s="42"/>
      <c r="U900" s="42"/>
      <c r="V900" s="42"/>
      <c r="W900" s="42"/>
      <c r="X900" s="42"/>
      <c r="Y900" s="42"/>
      <c r="Z900" s="42"/>
      <c r="AA900" s="42"/>
      <c r="AB900" s="19"/>
      <c r="AC900" s="94"/>
    </row>
    <row r="901" spans="1:29" x14ac:dyDescent="0.2">
      <c r="A901" s="1" t="s">
        <v>164</v>
      </c>
      <c r="B901" s="103">
        <f>IF(AND('AES Indiana Bill Calc.'!$D$17="HL1",'AES Indiana Bill Calc.'!$D$18="Yes 10%",'AES Indiana Bill Calc.'!$D$20="Yes 2021"),'AES Indiana Bill Calc.'!$D$19,-1)</f>
        <v>-1</v>
      </c>
      <c r="C901" s="103">
        <f>MAX(E901,$C$837)</f>
        <v>2000</v>
      </c>
      <c r="D901" s="103" t="b">
        <f>IF(AND('AES Indiana Bill Calc.'!$D$17="HL1",'AES Indiana Bill Calc.'!$D$18="Yes 10%",'AES Indiana Bill Calc.'!$D$20="Yes 2021"),'AES Indiana Bill Calc.'!$D$22)</f>
        <v>0</v>
      </c>
      <c r="E901" s="103" t="b">
        <f>IF(AND('AES Indiana Bill Calc.'!$D$17="HL1",'AES Indiana Bill Calc.'!$D$18="Yes 10%",'AES Indiana Bill Calc.'!$D$20="Yes 2021"),'AES Indiana Bill Calc.'!$D$21)</f>
        <v>0</v>
      </c>
      <c r="F901" s="36" t="s">
        <v>238</v>
      </c>
      <c r="G901" s="92" t="e">
        <f>SUM(J901:M901,R901:AA901)</f>
        <v>#N/A</v>
      </c>
      <c r="H901" s="19" t="e">
        <f>IF(ISBLANK(B901),0,+#REF!/B901)</f>
        <v>#REF!</v>
      </c>
      <c r="I901" s="19"/>
      <c r="J901" s="88">
        <f>IF(ISBLANK(B901),0,+J$840)</f>
        <v>130</v>
      </c>
      <c r="K901" s="42">
        <f>ROUND($B901*K$840,2)</f>
        <v>-0.04</v>
      </c>
      <c r="L901" s="16">
        <f>IF(ISBLANK($C901),0,IF($C901&lt;$C$841,ROUND($C$841*$L$840,2),IF($C901&gt;L$841,ROUND(L$841*L$840,2),ROUND($C901*L$840,2))))</f>
        <v>55900</v>
      </c>
      <c r="M901" s="17">
        <f>IF($C901&gt;L$841,ROUND(($C901-L$841)*M$840,2),0)</f>
        <v>0</v>
      </c>
      <c r="N901" s="17">
        <f>K901</f>
        <v>-0.04</v>
      </c>
      <c r="O901" s="42"/>
      <c r="P901" s="42"/>
      <c r="Q901" s="17">
        <f>SUM(L901:M901)</f>
        <v>55900</v>
      </c>
      <c r="R901" s="82" t="e">
        <f>ROUND(SUM(K901:M901)*(R900-1),2)</f>
        <v>#N/A</v>
      </c>
      <c r="S901" s="42">
        <f>ROUND($B901*S$840*S900,2)</f>
        <v>0</v>
      </c>
      <c r="T901" s="42">
        <f>ROUND($B901*T$840,2)</f>
        <v>0</v>
      </c>
      <c r="U901" s="42">
        <f>ROUND($B901*U$840,2)</f>
        <v>0</v>
      </c>
      <c r="V901" s="42">
        <f>ROUND($B901*V$835,2)</f>
        <v>0</v>
      </c>
      <c r="W901" s="42">
        <f>ROUND($B901*W$840,2)</f>
        <v>0</v>
      </c>
      <c r="X901" s="42">
        <f>ROUND($B901*X$840,2)</f>
        <v>-0.01</v>
      </c>
      <c r="Y901" s="42">
        <f>ROUND($B901*Y$840,2)</f>
        <v>0</v>
      </c>
      <c r="Z901" s="42">
        <f>ROUND($B901*Z$840,2)</f>
        <v>0</v>
      </c>
      <c r="AA901" s="42">
        <f>ROUND($B901*AA$840,2)</f>
        <v>0</v>
      </c>
      <c r="AB901" s="19">
        <f>SUM(U880:AA880)</f>
        <v>0</v>
      </c>
      <c r="AC901" s="94" t="str">
        <f>+F901</f>
        <v>HL11</v>
      </c>
    </row>
    <row r="902" spans="1:29" x14ac:dyDescent="0.2">
      <c r="A902" s="9"/>
      <c r="B902" s="97">
        <v>-1</v>
      </c>
      <c r="D902" s="41"/>
      <c r="E902" s="80"/>
      <c r="F902" s="36"/>
      <c r="G902" s="98"/>
      <c r="H902" s="19"/>
      <c r="I902" s="19"/>
      <c r="J902" s="88"/>
      <c r="K902" s="42"/>
      <c r="L902" s="82"/>
      <c r="M902" s="42"/>
      <c r="N902" s="42"/>
      <c r="O902" s="42"/>
      <c r="P902" s="42"/>
      <c r="Q902" s="42"/>
      <c r="R902" s="38" t="e">
        <f>VLOOKUP((D903),'Pwr Factor'!$A$1:$B$52,2)</f>
        <v>#N/A</v>
      </c>
      <c r="S902" s="50">
        <v>0</v>
      </c>
      <c r="T902" s="42"/>
      <c r="U902" s="42"/>
      <c r="V902" s="42"/>
      <c r="W902" s="42"/>
      <c r="X902" s="42"/>
      <c r="Y902" s="42"/>
      <c r="Z902" s="42"/>
      <c r="AA902" s="42"/>
      <c r="AB902" s="19"/>
      <c r="AC902" s="94"/>
    </row>
    <row r="903" spans="1:29" x14ac:dyDescent="0.2">
      <c r="A903" s="1" t="s">
        <v>147</v>
      </c>
      <c r="B903" s="103">
        <f>IF(AND('AES Indiana Bill Calc.'!$D$17="HL1",'AES Indiana Bill Calc.'!$D$18="No",'AES Indiana Bill Calc.'!$D$20="Yes 2021"),'AES Indiana Bill Calc.'!$D$19,-1)</f>
        <v>-1</v>
      </c>
      <c r="C903" s="103">
        <f>MAX(E903,$C$837)</f>
        <v>2000</v>
      </c>
      <c r="D903" s="103" t="b">
        <f>IF(AND('AES Indiana Bill Calc.'!$D$17="HL1",'AES Indiana Bill Calc.'!$D$18="No",'AES Indiana Bill Calc.'!$D$20="Yes 2021"),'AES Indiana Bill Calc.'!$D$22)</f>
        <v>0</v>
      </c>
      <c r="E903" s="103" t="b">
        <f>IF(AND('AES Indiana Bill Calc.'!$D$17="HL1",'AES Indiana Bill Calc.'!$D$18="No",'AES Indiana Bill Calc.'!$D$20="Yes 2021"),'AES Indiana Bill Calc.'!$D$21)</f>
        <v>0</v>
      </c>
      <c r="F903" s="36" t="s">
        <v>238</v>
      </c>
      <c r="G903" s="92" t="e">
        <f>SUM(J903:M903,R903:AA903)</f>
        <v>#N/A</v>
      </c>
      <c r="H903" s="19" t="e">
        <f>IF(ISBLANK(B903),0,+#REF!/B903)</f>
        <v>#REF!</v>
      </c>
      <c r="I903" s="19"/>
      <c r="J903" s="88">
        <f>IF(ISBLANK(B903),0,+J$840)</f>
        <v>130</v>
      </c>
      <c r="K903" s="42">
        <f>ROUND($B903*K$840,2)</f>
        <v>-0.04</v>
      </c>
      <c r="L903" s="16">
        <f>IF(ISBLANK($C903),0,IF($C903&lt;$C$841,ROUND($C$841*$L$840,2),IF($C903&gt;L$841,ROUND(L$841*L$840,2),ROUND($C903*L$840,2))))</f>
        <v>55900</v>
      </c>
      <c r="M903" s="17">
        <f>IF($C903&gt;L$841,ROUND(($C903-L$841)*M$840,2),0)</f>
        <v>0</v>
      </c>
      <c r="N903" s="17">
        <f>K903</f>
        <v>-0.04</v>
      </c>
      <c r="O903" s="42"/>
      <c r="P903" s="42"/>
      <c r="Q903" s="17">
        <f>SUM(L903:M903)</f>
        <v>55900</v>
      </c>
      <c r="R903" s="82" t="e">
        <f>ROUND(SUM(K903:M903)*(R902-1),2)</f>
        <v>#N/A</v>
      </c>
      <c r="S903" s="42">
        <f>ROUND($B903*S$840*S902,2)</f>
        <v>0</v>
      </c>
      <c r="T903" s="42">
        <f>ROUND($B903*T$840,2)</f>
        <v>0</v>
      </c>
      <c r="U903" s="42">
        <f>ROUND($B903*U$840,2)</f>
        <v>0</v>
      </c>
      <c r="V903" s="42">
        <f>ROUND($B903*V$835,2)</f>
        <v>0</v>
      </c>
      <c r="W903" s="42">
        <f>ROUND($B903*W$840,2)</f>
        <v>0</v>
      </c>
      <c r="X903" s="42">
        <f>ROUND($B903*X$840,2)</f>
        <v>-0.01</v>
      </c>
      <c r="Y903" s="42">
        <f>ROUND($B903*Y$840,2)</f>
        <v>0</v>
      </c>
      <c r="Z903" s="42">
        <f>ROUND($B903*Z$840,2)</f>
        <v>0</v>
      </c>
      <c r="AA903" s="42">
        <f>ROUND($B903*AA$840,2)</f>
        <v>0</v>
      </c>
      <c r="AB903" s="19">
        <f>SUM(U882:AA882)</f>
        <v>0</v>
      </c>
      <c r="AC903" s="94" t="str">
        <f>+F903</f>
        <v>HL11</v>
      </c>
    </row>
    <row r="904" spans="1:29" x14ac:dyDescent="0.2">
      <c r="A904" s="53"/>
      <c r="B904" s="97">
        <v>-1</v>
      </c>
      <c r="D904" s="41"/>
      <c r="E904" s="80"/>
      <c r="F904" s="36"/>
      <c r="G904" s="98"/>
      <c r="H904" s="19"/>
      <c r="I904" s="19"/>
      <c r="J904" s="88"/>
      <c r="K904" s="42"/>
      <c r="L904" s="82"/>
      <c r="M904" s="42"/>
      <c r="N904" s="42"/>
      <c r="O904" s="42"/>
      <c r="P904" s="42"/>
      <c r="Q904" s="42"/>
      <c r="R904" s="38" t="e">
        <f>VLOOKUP((D905),'Pwr Factor'!$A$1:$B$52,2)</f>
        <v>#N/A</v>
      </c>
      <c r="S904" s="50">
        <v>1</v>
      </c>
      <c r="T904" s="42"/>
      <c r="U904" s="42"/>
      <c r="V904" s="42"/>
      <c r="W904" s="42"/>
      <c r="X904" s="42"/>
      <c r="Y904" s="42"/>
      <c r="Z904" s="42"/>
      <c r="AA904" s="42"/>
      <c r="AB904" s="19"/>
      <c r="AC904" s="94"/>
    </row>
    <row r="905" spans="1:29" x14ac:dyDescent="0.2">
      <c r="A905" s="1" t="s">
        <v>148</v>
      </c>
      <c r="B905" s="103">
        <f>IF(AND('AES Indiana Bill Calc.'!$D$17="HL1",'AES Indiana Bill Calc.'!$D$18="Yes 100%",'AES Indiana Bill Calc.'!$D$20="Yes 2022"),'AES Indiana Bill Calc.'!$D$19,-1)</f>
        <v>-1</v>
      </c>
      <c r="C905" s="103">
        <f>MAX(E905,$C$837)</f>
        <v>2000</v>
      </c>
      <c r="D905" s="103" t="b">
        <f>IF(AND('AES Indiana Bill Calc.'!$D$17="HL1",'AES Indiana Bill Calc.'!$D$18="Yes 100%",'AES Indiana Bill Calc.'!$D$20="Yes 2022"),'AES Indiana Bill Calc.'!$D$22)</f>
        <v>0</v>
      </c>
      <c r="E905" s="103" t="b">
        <f>IF(AND('AES Indiana Bill Calc.'!$D$17="HL1",'AES Indiana Bill Calc.'!$D$18="Yes 100%",'AES Indiana Bill Calc.'!$D$20="Yes 2022"),'AES Indiana Bill Calc.'!$D$21)</f>
        <v>0</v>
      </c>
      <c r="F905" s="36" t="s">
        <v>239</v>
      </c>
      <c r="G905" s="98" t="e">
        <v>#N/A</v>
      </c>
      <c r="H905" s="19" t="e">
        <f>IF(ISBLANK(B905),0,+#REF!/B905)</f>
        <v>#REF!</v>
      </c>
      <c r="I905" s="19"/>
      <c r="J905" s="88">
        <f>IF(ISBLANK(B905),0,+J$840)</f>
        <v>130</v>
      </c>
      <c r="K905" s="42">
        <f>ROUND($B905*K$840,2)</f>
        <v>-0.04</v>
      </c>
      <c r="L905" s="16">
        <f>IF(ISBLANK($C905),0,IF($C905&lt;$C$841,ROUND($C$841*$L$840,2),IF($C905&gt;L$841,ROUND(L$841*L$840,2),ROUND($C905*L$840,2))))</f>
        <v>55900</v>
      </c>
      <c r="M905" s="17">
        <f>IF($C905&gt;L$841,ROUND(($C905-L$841)*M$840,2),0)</f>
        <v>0</v>
      </c>
      <c r="N905" s="17">
        <f>K905</f>
        <v>-0.04</v>
      </c>
      <c r="O905" s="42"/>
      <c r="P905" s="42"/>
      <c r="Q905" s="17">
        <f>SUM(L905:M905)</f>
        <v>55900</v>
      </c>
      <c r="R905" s="82" t="e">
        <f>ROUND(SUM(K905:M905)*(R904-1),2)</f>
        <v>#N/A</v>
      </c>
      <c r="S905" s="42">
        <f>ROUND($B905*S$840*S904,2)</f>
        <v>0</v>
      </c>
      <c r="T905" s="42">
        <f>ROUND($B905*T$840,2)</f>
        <v>0</v>
      </c>
      <c r="U905" s="42">
        <f>ROUND($B905*U$840,2)</f>
        <v>0</v>
      </c>
      <c r="V905" s="42">
        <f>ROUND($B905*V$836,2)</f>
        <v>0</v>
      </c>
      <c r="W905" s="42">
        <f>ROUND($B905*W$840,2)</f>
        <v>0</v>
      </c>
      <c r="X905" s="42">
        <f>ROUND($B905*X$840,2)</f>
        <v>-0.01</v>
      </c>
      <c r="Y905" s="42">
        <f>ROUND($B905*Y$840,2)</f>
        <v>0</v>
      </c>
      <c r="Z905" s="42">
        <f>ROUND($B905*Z$840,2)</f>
        <v>0</v>
      </c>
      <c r="AA905" s="42">
        <f>ROUND($B905*AA$840,2)</f>
        <v>0</v>
      </c>
      <c r="AB905" s="19">
        <f>SUM(U884:AA884)</f>
        <v>0</v>
      </c>
      <c r="AC905" s="94" t="str">
        <f>+F905</f>
        <v>HL12</v>
      </c>
    </row>
    <row r="906" spans="1:29" x14ac:dyDescent="0.2">
      <c r="A906" s="9"/>
      <c r="B906" s="97">
        <v>-1</v>
      </c>
      <c r="D906" s="41"/>
      <c r="E906" s="80"/>
      <c r="F906" s="36"/>
      <c r="G906" s="98"/>
      <c r="H906" s="19"/>
      <c r="I906" s="19"/>
      <c r="J906" s="88"/>
      <c r="K906" s="42"/>
      <c r="L906" s="82"/>
      <c r="M906" s="42"/>
      <c r="N906" s="42"/>
      <c r="O906" s="42"/>
      <c r="P906" s="42"/>
      <c r="Q906" s="42"/>
      <c r="R906" s="38" t="e">
        <f>VLOOKUP((D907),'Pwr Factor'!$A$1:$B$52,2)</f>
        <v>#N/A</v>
      </c>
      <c r="S906" s="50">
        <v>0.5</v>
      </c>
      <c r="T906" s="42"/>
      <c r="U906" s="42"/>
      <c r="V906" s="42"/>
      <c r="W906" s="42"/>
      <c r="X906" s="42"/>
      <c r="Y906" s="42"/>
      <c r="Z906" s="42"/>
      <c r="AA906" s="42"/>
      <c r="AB906" s="19"/>
      <c r="AC906" s="94"/>
    </row>
    <row r="907" spans="1:29" x14ac:dyDescent="0.2">
      <c r="A907" s="1" t="s">
        <v>149</v>
      </c>
      <c r="B907" s="103">
        <f>IF(AND('AES Indiana Bill Calc.'!$D$17="HL1",'AES Indiana Bill Calc.'!$D$18="Yes 50%",'AES Indiana Bill Calc.'!$D$20="Yes 2022"),'AES Indiana Bill Calc.'!$D$19,-1)</f>
        <v>-1</v>
      </c>
      <c r="C907" s="103">
        <f>MAX(E907,$C$837)</f>
        <v>2000</v>
      </c>
      <c r="D907" s="103" t="b">
        <f>IF(AND('AES Indiana Bill Calc.'!$D$17="HL1",'AES Indiana Bill Calc.'!$D$18="Yes 50%",'AES Indiana Bill Calc.'!$D$20="Yes 2022"),'AES Indiana Bill Calc.'!$D$22)</f>
        <v>0</v>
      </c>
      <c r="E907" s="103" t="b">
        <f>IF(AND('AES Indiana Bill Calc.'!$D$17="HL1",'AES Indiana Bill Calc.'!$D$18="Yes 50%",'AES Indiana Bill Calc.'!$D$20="Yes 2022"),'AES Indiana Bill Calc.'!$D$21)</f>
        <v>0</v>
      </c>
      <c r="F907" s="36" t="s">
        <v>239</v>
      </c>
      <c r="G907" s="92" t="e">
        <f>SUM(J907:M907,R907:AA907)</f>
        <v>#N/A</v>
      </c>
      <c r="H907" s="19" t="e">
        <f>IF(ISBLANK(B907),0,+#REF!/B907)</f>
        <v>#REF!</v>
      </c>
      <c r="I907" s="19"/>
      <c r="J907" s="88">
        <f>IF(ISBLANK(B907),0,+J$840)</f>
        <v>130</v>
      </c>
      <c r="K907" s="42">
        <f>ROUND($B907*K$840,2)</f>
        <v>-0.04</v>
      </c>
      <c r="L907" s="16">
        <f>IF(ISBLANK($C907),0,IF($C907&lt;$C$841,ROUND($C$841*$L$840,2),IF($C907&gt;L$841,ROUND(L$841*L$840,2),ROUND($C907*L$840,2))))</f>
        <v>55900</v>
      </c>
      <c r="M907" s="17">
        <f>IF($C907&gt;L$841,ROUND(($C907-L$841)*M$840,2),0)</f>
        <v>0</v>
      </c>
      <c r="N907" s="17">
        <f>K907</f>
        <v>-0.04</v>
      </c>
      <c r="O907" s="42"/>
      <c r="P907" s="42"/>
      <c r="Q907" s="17">
        <f>SUM(L907:M907)</f>
        <v>55900</v>
      </c>
      <c r="R907" s="82" t="e">
        <f>ROUND(SUM(K907:M907)*(R906-1),2)</f>
        <v>#N/A</v>
      </c>
      <c r="S907" s="42">
        <f>ROUND($B907*S$840*S906,2)</f>
        <v>0</v>
      </c>
      <c r="T907" s="42">
        <f>ROUND($B907*T$840,2)</f>
        <v>0</v>
      </c>
      <c r="U907" s="42">
        <f>ROUND($B907*U$840,2)</f>
        <v>0</v>
      </c>
      <c r="V907" s="42">
        <f>ROUND($B907*V$836,2)</f>
        <v>0</v>
      </c>
      <c r="W907" s="42">
        <f>ROUND($B907*W$840,2)</f>
        <v>0</v>
      </c>
      <c r="X907" s="42">
        <f>ROUND($B907*X$840,2)</f>
        <v>-0.01</v>
      </c>
      <c r="Y907" s="42">
        <f>ROUND($B907*Y$840,2)</f>
        <v>0</v>
      </c>
      <c r="Z907" s="42">
        <f>ROUND($B907*Z$840,2)</f>
        <v>0</v>
      </c>
      <c r="AA907" s="42">
        <f>ROUND($B907*AA$840,2)</f>
        <v>0</v>
      </c>
      <c r="AB907" s="19">
        <f>SUM(U886:AA886)</f>
        <v>0</v>
      </c>
      <c r="AC907" s="94" t="str">
        <f>+F907</f>
        <v>HL12</v>
      </c>
    </row>
    <row r="908" spans="1:29" x14ac:dyDescent="0.2">
      <c r="A908" s="9"/>
      <c r="B908" s="97">
        <v>-1</v>
      </c>
      <c r="D908" s="41"/>
      <c r="E908" s="80"/>
      <c r="F908" s="36"/>
      <c r="G908" s="98"/>
      <c r="H908" s="19"/>
      <c r="I908" s="19"/>
      <c r="J908" s="88"/>
      <c r="K908" s="42"/>
      <c r="L908" s="82"/>
      <c r="M908" s="42"/>
      <c r="N908" s="42"/>
      <c r="O908" s="42"/>
      <c r="P908" s="42"/>
      <c r="Q908" s="42"/>
      <c r="R908" s="38" t="e">
        <f>VLOOKUP((D909),'Pwr Factor'!$A$1:$B$52,2)</f>
        <v>#N/A</v>
      </c>
      <c r="S908" s="50">
        <v>0.25</v>
      </c>
      <c r="T908" s="42"/>
      <c r="U908" s="42"/>
      <c r="V908" s="42"/>
      <c r="W908" s="42"/>
      <c r="X908" s="42"/>
      <c r="Y908" s="42"/>
      <c r="Z908" s="42"/>
      <c r="AA908" s="42"/>
      <c r="AB908" s="19"/>
      <c r="AC908" s="94"/>
    </row>
    <row r="909" spans="1:29" x14ac:dyDescent="0.2">
      <c r="A909" s="1" t="s">
        <v>150</v>
      </c>
      <c r="B909" s="103">
        <f>IF(AND('AES Indiana Bill Calc.'!$D$17="HL1",'AES Indiana Bill Calc.'!$D$18="Yes 25%",'AES Indiana Bill Calc.'!$D$20="Yes 2022"),'AES Indiana Bill Calc.'!$D$19,-1)</f>
        <v>-1</v>
      </c>
      <c r="C909" s="103">
        <f>MAX(E909,$C$837)</f>
        <v>2000</v>
      </c>
      <c r="D909" s="103" t="b">
        <f>IF(AND('AES Indiana Bill Calc.'!$D$17="HL1",'AES Indiana Bill Calc.'!$D$18="Yes 25%",'AES Indiana Bill Calc.'!$D$20="Yes 2022"),'AES Indiana Bill Calc.'!$D$22)</f>
        <v>0</v>
      </c>
      <c r="E909" s="103" t="b">
        <f>IF(AND('AES Indiana Bill Calc.'!$D$17="HL1",'AES Indiana Bill Calc.'!$D$18="Yes 25%",'AES Indiana Bill Calc.'!$D$20="Yes 2022"),'AES Indiana Bill Calc.'!$D$21)</f>
        <v>0</v>
      </c>
      <c r="F909" s="36" t="s">
        <v>239</v>
      </c>
      <c r="G909" s="92" t="e">
        <f>SUM(J909:M909,R909:AA909)</f>
        <v>#N/A</v>
      </c>
      <c r="H909" s="19" t="e">
        <f>IF(ISBLANK(B909),0,+#REF!/B909)</f>
        <v>#REF!</v>
      </c>
      <c r="I909" s="19"/>
      <c r="J909" s="88">
        <f>IF(ISBLANK(B909),0,+J$840)</f>
        <v>130</v>
      </c>
      <c r="K909" s="42">
        <f>ROUND($B909*K$840,2)</f>
        <v>-0.04</v>
      </c>
      <c r="L909" s="16">
        <f>IF(ISBLANK($C909),0,IF($C909&lt;$C$841,ROUND($C$841*$L$840,2),IF($C909&gt;L$841,ROUND(L$841*L$840,2),ROUND($C909*L$840,2))))</f>
        <v>55900</v>
      </c>
      <c r="M909" s="17">
        <f>IF($C909&gt;L$841,ROUND(($C909-L$841)*M$840,2),0)</f>
        <v>0</v>
      </c>
      <c r="N909" s="17">
        <f>K909</f>
        <v>-0.04</v>
      </c>
      <c r="O909" s="42"/>
      <c r="P909" s="42"/>
      <c r="Q909" s="17">
        <f>SUM(L909:M909)</f>
        <v>55900</v>
      </c>
      <c r="R909" s="82" t="e">
        <f>ROUND(SUM(K909:M909)*(R908-1),2)</f>
        <v>#N/A</v>
      </c>
      <c r="S909" s="42">
        <f>ROUND($B909*S$840*S908,2)</f>
        <v>0</v>
      </c>
      <c r="T909" s="42">
        <f>ROUND($B909*T$840,2)</f>
        <v>0</v>
      </c>
      <c r="U909" s="42">
        <f>ROUND($B909*U$840,2)</f>
        <v>0</v>
      </c>
      <c r="V909" s="42">
        <f>ROUND($B909*V$836,2)</f>
        <v>0</v>
      </c>
      <c r="W909" s="42">
        <f>ROUND($B909*W$840,2)</f>
        <v>0</v>
      </c>
      <c r="X909" s="42">
        <f>ROUND($B909*X$840,2)</f>
        <v>-0.01</v>
      </c>
      <c r="Y909" s="42">
        <f>ROUND($B909*Y$840,2)</f>
        <v>0</v>
      </c>
      <c r="Z909" s="42">
        <f>ROUND($B909*Z$840,2)</f>
        <v>0</v>
      </c>
      <c r="AA909" s="42">
        <f>ROUND($B909*AA$840,2)</f>
        <v>0</v>
      </c>
      <c r="AB909" s="19">
        <f>SUM(U888:AA888)</f>
        <v>0</v>
      </c>
      <c r="AC909" s="94" t="str">
        <f>+F909</f>
        <v>HL12</v>
      </c>
    </row>
    <row r="910" spans="1:29" x14ac:dyDescent="0.2">
      <c r="A910" s="9"/>
      <c r="B910" s="97">
        <v>-1</v>
      </c>
      <c r="D910" s="41"/>
      <c r="E910" s="80"/>
      <c r="F910" s="36"/>
      <c r="G910" s="98"/>
      <c r="H910" s="19"/>
      <c r="I910" s="19"/>
      <c r="J910" s="88"/>
      <c r="K910" s="42"/>
      <c r="L910" s="82"/>
      <c r="M910" s="42"/>
      <c r="N910" s="42"/>
      <c r="O910" s="42"/>
      <c r="P910" s="42"/>
      <c r="Q910" s="42"/>
      <c r="R910" s="38" t="e">
        <f>VLOOKUP((D911),'Pwr Factor'!$A$1:$B$52,2)</f>
        <v>#N/A</v>
      </c>
      <c r="S910" s="50">
        <v>0.1</v>
      </c>
      <c r="T910" s="42"/>
      <c r="U910" s="42"/>
      <c r="V910" s="42"/>
      <c r="W910" s="42"/>
      <c r="X910" s="42"/>
      <c r="Y910" s="42"/>
      <c r="Z910" s="42"/>
      <c r="AA910" s="42"/>
      <c r="AB910" s="19"/>
      <c r="AC910" s="94"/>
    </row>
    <row r="911" spans="1:29" x14ac:dyDescent="0.2">
      <c r="A911" s="1" t="s">
        <v>164</v>
      </c>
      <c r="B911" s="103">
        <f>IF(AND('AES Indiana Bill Calc.'!$D$17="HL1",'AES Indiana Bill Calc.'!$D$18="Yes 10%",'AES Indiana Bill Calc.'!$D$20="Yes 2022"),'AES Indiana Bill Calc.'!$D$19,-1)</f>
        <v>-1</v>
      </c>
      <c r="C911" s="103">
        <f>MAX(E911,$C$837)</f>
        <v>2000</v>
      </c>
      <c r="D911" s="103" t="b">
        <f>IF(AND('AES Indiana Bill Calc.'!$D$17="HL1",'AES Indiana Bill Calc.'!$D$18="Yes 10%",'AES Indiana Bill Calc.'!$D$20="Yes 2022"),'AES Indiana Bill Calc.'!$D$22)</f>
        <v>0</v>
      </c>
      <c r="E911" s="103" t="b">
        <f>IF(AND('AES Indiana Bill Calc.'!$D$17="HL1",'AES Indiana Bill Calc.'!$D$18="Yes 10%",'AES Indiana Bill Calc.'!$D$20="Yes 2022"),'AES Indiana Bill Calc.'!$D$21)</f>
        <v>0</v>
      </c>
      <c r="F911" s="36" t="s">
        <v>239</v>
      </c>
      <c r="G911" s="92" t="e">
        <f>SUM(J911:M911,R911:AA911)</f>
        <v>#N/A</v>
      </c>
      <c r="H911" s="19" t="e">
        <f>IF(ISBLANK(B911),0,+#REF!/B911)</f>
        <v>#REF!</v>
      </c>
      <c r="I911" s="19"/>
      <c r="J911" s="88">
        <f>IF(ISBLANK(B911),0,+J$840)</f>
        <v>130</v>
      </c>
      <c r="K911" s="42">
        <f>ROUND($B911*K$840,2)</f>
        <v>-0.04</v>
      </c>
      <c r="L911" s="16">
        <f>IF(ISBLANK($C911),0,IF($C911&lt;$C$841,ROUND($C$841*$L$840,2),IF($C911&gt;L$841,ROUND(L$841*L$840,2),ROUND($C911*L$840,2))))</f>
        <v>55900</v>
      </c>
      <c r="M911" s="17">
        <f>IF($C911&gt;L$841,ROUND(($C911-L$841)*M$840,2),0)</f>
        <v>0</v>
      </c>
      <c r="N911" s="17">
        <f>K911</f>
        <v>-0.04</v>
      </c>
      <c r="O911" s="42"/>
      <c r="P911" s="42"/>
      <c r="Q911" s="17">
        <f>SUM(L911:M911)</f>
        <v>55900</v>
      </c>
      <c r="R911" s="82" t="e">
        <f>ROUND(SUM(K911:M911)*(R910-1),2)</f>
        <v>#N/A</v>
      </c>
      <c r="S911" s="42">
        <f>ROUND($B911*S$840*S910,2)</f>
        <v>0</v>
      </c>
      <c r="T911" s="42">
        <f>ROUND($B911*T$840,2)</f>
        <v>0</v>
      </c>
      <c r="U911" s="42">
        <f>ROUND($B911*U$840,2)</f>
        <v>0</v>
      </c>
      <c r="V911" s="42">
        <f>ROUND($B911*V$836,2)</f>
        <v>0</v>
      </c>
      <c r="W911" s="42">
        <f>ROUND($B911*W$840,2)</f>
        <v>0</v>
      </c>
      <c r="X911" s="42">
        <f>ROUND($B911*X$840,2)</f>
        <v>-0.01</v>
      </c>
      <c r="Y911" s="42">
        <f>ROUND($B911*Y$840,2)</f>
        <v>0</v>
      </c>
      <c r="Z911" s="42">
        <f>ROUND($B911*Z$840,2)</f>
        <v>0</v>
      </c>
      <c r="AA911" s="42">
        <f>ROUND($B911*AA$840,2)</f>
        <v>0</v>
      </c>
      <c r="AB911" s="19">
        <f>SUM(U890:AA890)</f>
        <v>0</v>
      </c>
      <c r="AC911" s="94" t="str">
        <f>+F911</f>
        <v>HL12</v>
      </c>
    </row>
    <row r="912" spans="1:29" x14ac:dyDescent="0.2">
      <c r="A912" s="9"/>
      <c r="B912" s="97">
        <v>-1</v>
      </c>
      <c r="D912" s="41"/>
      <c r="E912" s="80"/>
      <c r="F912" s="36"/>
      <c r="G912" s="98"/>
      <c r="H912" s="19"/>
      <c r="I912" s="19"/>
      <c r="J912" s="88"/>
      <c r="K912" s="42"/>
      <c r="L912" s="82"/>
      <c r="M912" s="42"/>
      <c r="N912" s="42"/>
      <c r="O912" s="42"/>
      <c r="P912" s="42"/>
      <c r="Q912" s="42"/>
      <c r="R912" s="38" t="e">
        <f>VLOOKUP((D913),'Pwr Factor'!$A$1:$B$52,2)</f>
        <v>#N/A</v>
      </c>
      <c r="S912" s="50">
        <v>0</v>
      </c>
      <c r="T912" s="42"/>
      <c r="U912" s="42"/>
      <c r="V912" s="42"/>
      <c r="W912" s="42"/>
      <c r="X912" s="42"/>
      <c r="Y912" s="42"/>
      <c r="Z912" s="42"/>
      <c r="AA912" s="42"/>
      <c r="AB912" s="19"/>
      <c r="AC912" s="94"/>
    </row>
    <row r="913" spans="1:29" x14ac:dyDescent="0.2">
      <c r="A913" s="1" t="s">
        <v>147</v>
      </c>
      <c r="B913" s="103">
        <f>IF(AND('AES Indiana Bill Calc.'!$D$17="HL1",'AES Indiana Bill Calc.'!$D$18="No",'AES Indiana Bill Calc.'!$D$20="Yes 2022"),'AES Indiana Bill Calc.'!$D$19,-1)</f>
        <v>-1</v>
      </c>
      <c r="C913" s="103">
        <f>MAX(E913,$C$837)</f>
        <v>2000</v>
      </c>
      <c r="D913" s="103" t="b">
        <f>IF(AND('AES Indiana Bill Calc.'!$D$17="HL1",'AES Indiana Bill Calc.'!$D$18="No",'AES Indiana Bill Calc.'!$D$20="Yes 2022"),'AES Indiana Bill Calc.'!$D$22)</f>
        <v>0</v>
      </c>
      <c r="E913" s="103" t="b">
        <f>IF(AND('AES Indiana Bill Calc.'!$D$17="HL1",'AES Indiana Bill Calc.'!$D$18="No",'AES Indiana Bill Calc.'!$D$20="Yes 2022"),'AES Indiana Bill Calc.'!$D$21)</f>
        <v>0</v>
      </c>
      <c r="F913" s="36" t="s">
        <v>239</v>
      </c>
      <c r="G913" s="92" t="e">
        <f>SUM(J913:M913,R913:AA913)</f>
        <v>#N/A</v>
      </c>
      <c r="H913" s="19" t="e">
        <f>IF(ISBLANK(B913),0,+#REF!/B913)</f>
        <v>#REF!</v>
      </c>
      <c r="I913" s="19"/>
      <c r="J913" s="88">
        <f>IF(ISBLANK(B913),0,+J$840)</f>
        <v>130</v>
      </c>
      <c r="K913" s="42">
        <f>ROUND($B913*K$840,2)</f>
        <v>-0.04</v>
      </c>
      <c r="L913" s="16">
        <f>IF(ISBLANK($C913),0,IF($C913&lt;$C$841,ROUND($C$841*$L$840,2),IF($C913&gt;L$841,ROUND(L$841*L$840,2),ROUND($C913*L$840,2))))</f>
        <v>55900</v>
      </c>
      <c r="M913" s="17">
        <f>IF($C913&gt;L$841,ROUND(($C913-L$841)*M$840,2),0)</f>
        <v>0</v>
      </c>
      <c r="N913" s="17">
        <f>K913</f>
        <v>-0.04</v>
      </c>
      <c r="O913" s="42"/>
      <c r="P913" s="42"/>
      <c r="Q913" s="17">
        <f>SUM(L913:M913)</f>
        <v>55900</v>
      </c>
      <c r="R913" s="82" t="e">
        <f>ROUND(SUM(K913:M913)*(R912-1),2)</f>
        <v>#N/A</v>
      </c>
      <c r="S913" s="42">
        <f>ROUND($B913*S$840*S912,2)</f>
        <v>0</v>
      </c>
      <c r="T913" s="42">
        <f>ROUND($B913*T$840,2)</f>
        <v>0</v>
      </c>
      <c r="U913" s="42">
        <f>ROUND($B913*U$840,2)</f>
        <v>0</v>
      </c>
      <c r="V913" s="42">
        <f>ROUND($B913*V$836,2)</f>
        <v>0</v>
      </c>
      <c r="W913" s="42">
        <f>ROUND($B913*W$840,2)</f>
        <v>0</v>
      </c>
      <c r="X913" s="42">
        <f>ROUND($B913*X$840,2)</f>
        <v>-0.01</v>
      </c>
      <c r="Y913" s="42">
        <f>ROUND($B913*Y$840,2)</f>
        <v>0</v>
      </c>
      <c r="Z913" s="42">
        <f>ROUND($B913*Z$840,2)</f>
        <v>0</v>
      </c>
      <c r="AA913" s="42">
        <f>ROUND($B913*AA$840,2)</f>
        <v>0</v>
      </c>
      <c r="AB913" s="19">
        <f>SUM(U892:AA892)</f>
        <v>0</v>
      </c>
      <c r="AC913" s="94" t="str">
        <f>+F913</f>
        <v>HL12</v>
      </c>
    </row>
    <row r="914" spans="1:29" x14ac:dyDescent="0.2">
      <c r="A914" s="53"/>
      <c r="B914" s="97">
        <v>-1</v>
      </c>
      <c r="D914" s="41"/>
      <c r="E914" s="80"/>
      <c r="F914" s="36"/>
      <c r="G914" s="98"/>
      <c r="H914" s="19"/>
      <c r="I914" s="19"/>
      <c r="J914" s="88"/>
      <c r="K914" s="42"/>
      <c r="L914" s="82"/>
      <c r="M914" s="42"/>
      <c r="N914" s="42"/>
      <c r="O914" s="42"/>
      <c r="P914" s="42"/>
      <c r="Q914" s="42"/>
      <c r="R914" s="38" t="e">
        <f>VLOOKUP((D915),'Pwr Factor'!$A$1:$B$52,2)</f>
        <v>#N/A</v>
      </c>
      <c r="S914" s="50">
        <v>1</v>
      </c>
      <c r="T914" s="42"/>
      <c r="U914" s="42"/>
      <c r="V914" s="42"/>
      <c r="W914" s="42"/>
      <c r="X914" s="42"/>
      <c r="Y914" s="42"/>
      <c r="Z914" s="42"/>
      <c r="AA914" s="42"/>
      <c r="AB914" s="19"/>
      <c r="AC914" s="94"/>
    </row>
    <row r="915" spans="1:29" x14ac:dyDescent="0.2">
      <c r="A915" s="1" t="s">
        <v>148</v>
      </c>
      <c r="B915" s="103">
        <f>IF(AND('AES Indiana Bill Calc.'!$D$17="HL1",'AES Indiana Bill Calc.'!$D$18="Yes 100%",'AES Indiana Bill Calc.'!$D$20="Yes 2023"),'AES Indiana Bill Calc.'!$D$19,-1)</f>
        <v>-1</v>
      </c>
      <c r="C915" s="103">
        <f>MAX(E915,$C$837)</f>
        <v>2000</v>
      </c>
      <c r="D915" s="103" t="b">
        <f>IF(AND('AES Indiana Bill Calc.'!$D$17="HL1",'AES Indiana Bill Calc.'!$D$18="Yes 100%",'AES Indiana Bill Calc.'!$D$20="Yes 2023"),'AES Indiana Bill Calc.'!$D$22)</f>
        <v>0</v>
      </c>
      <c r="E915" s="103" t="b">
        <f>IF(AND('AES Indiana Bill Calc.'!$D$17="HL1",'AES Indiana Bill Calc.'!$D$18="Yes 100%",'AES Indiana Bill Calc.'!$D$20="Yes 2023"),'AES Indiana Bill Calc.'!$D$21)</f>
        <v>0</v>
      </c>
      <c r="F915" s="36" t="s">
        <v>240</v>
      </c>
      <c r="G915" s="98" t="e">
        <v>#N/A</v>
      </c>
      <c r="H915" s="19" t="e">
        <f>IF(ISBLANK(B915),0,+#REF!/B915)</f>
        <v>#REF!</v>
      </c>
      <c r="I915" s="19"/>
      <c r="J915" s="88">
        <f>IF(ISBLANK(B915),0,+J$840)</f>
        <v>130</v>
      </c>
      <c r="K915" s="42">
        <f>ROUND($B915*K$840,2)</f>
        <v>-0.04</v>
      </c>
      <c r="L915" s="16">
        <f>IF(ISBLANK($C915),0,IF($C915&lt;$C$841,ROUND($C$841*$L$840,2),IF($C915&gt;L$841,ROUND(L$841*L$840,2),ROUND($C915*L$840,2))))</f>
        <v>55900</v>
      </c>
      <c r="M915" s="17">
        <f>IF($C915&gt;L$841,ROUND(($C915-L$841)*M$840,2),0)</f>
        <v>0</v>
      </c>
      <c r="N915" s="17">
        <f>K915</f>
        <v>-0.04</v>
      </c>
      <c r="O915" s="42"/>
      <c r="P915" s="42"/>
      <c r="Q915" s="17">
        <f>SUM(L915:M915)</f>
        <v>55900</v>
      </c>
      <c r="R915" s="82" t="e">
        <f>ROUND(SUM(K915:M915)*(R914-1),2)</f>
        <v>#N/A</v>
      </c>
      <c r="S915" s="42">
        <f>ROUND($B915*S$840*S914,2)</f>
        <v>0</v>
      </c>
      <c r="T915" s="42">
        <f>ROUND($B915*T$840,2)</f>
        <v>0</v>
      </c>
      <c r="U915" s="42">
        <f>ROUND($B915*U$840,2)</f>
        <v>0</v>
      </c>
      <c r="V915" s="42">
        <f>ROUND($B915*V$837,2)</f>
        <v>0</v>
      </c>
      <c r="W915" s="42">
        <f>ROUND($B915*W$840,2)</f>
        <v>0</v>
      </c>
      <c r="X915" s="42">
        <f>ROUND($B915*X$840,2)</f>
        <v>-0.01</v>
      </c>
      <c r="Y915" s="42">
        <f>ROUND($B915*Y$840,2)</f>
        <v>0</v>
      </c>
      <c r="Z915" s="42">
        <f>ROUND($B915*Z$840,2)</f>
        <v>0</v>
      </c>
      <c r="AA915" s="42">
        <f>ROUND($B915*AA$840,2)</f>
        <v>0</v>
      </c>
      <c r="AB915" s="19">
        <f>SUM(U894:AA894)</f>
        <v>0</v>
      </c>
      <c r="AC915" s="94" t="str">
        <f>+F915</f>
        <v>HL13</v>
      </c>
    </row>
    <row r="916" spans="1:29" x14ac:dyDescent="0.2">
      <c r="A916" s="9"/>
      <c r="B916" s="97">
        <v>-1</v>
      </c>
      <c r="D916" s="41"/>
      <c r="E916" s="80"/>
      <c r="F916" s="36"/>
      <c r="G916" s="98"/>
      <c r="H916" s="19"/>
      <c r="I916" s="19"/>
      <c r="J916" s="88"/>
      <c r="K916" s="42"/>
      <c r="L916" s="82"/>
      <c r="M916" s="42"/>
      <c r="N916" s="42"/>
      <c r="O916" s="42"/>
      <c r="P916" s="42"/>
      <c r="Q916" s="42"/>
      <c r="R916" s="38" t="e">
        <f>VLOOKUP((D917),'Pwr Factor'!$A$1:$B$52,2)</f>
        <v>#N/A</v>
      </c>
      <c r="S916" s="50">
        <v>0.5</v>
      </c>
      <c r="T916" s="42"/>
      <c r="U916" s="42"/>
      <c r="V916" s="42"/>
      <c r="W916" s="42"/>
      <c r="X916" s="42"/>
      <c r="Y916" s="42"/>
      <c r="Z916" s="42"/>
      <c r="AA916" s="42"/>
      <c r="AB916" s="19"/>
      <c r="AC916" s="94"/>
    </row>
    <row r="917" spans="1:29" x14ac:dyDescent="0.2">
      <c r="A917" s="1" t="s">
        <v>149</v>
      </c>
      <c r="B917" s="103">
        <f>IF(AND('AES Indiana Bill Calc.'!$D$17="HL1",'AES Indiana Bill Calc.'!$D$18="Yes 50%",'AES Indiana Bill Calc.'!$D$20="Yes 2023"),'AES Indiana Bill Calc.'!$D$19,-1)</f>
        <v>-1</v>
      </c>
      <c r="C917" s="103">
        <f>MAX(E917,$C$837)</f>
        <v>2000</v>
      </c>
      <c r="D917" s="103" t="b">
        <f>IF(AND('AES Indiana Bill Calc.'!$D$17="HL1",'AES Indiana Bill Calc.'!$D$18="Yes 50%",'AES Indiana Bill Calc.'!$D$20="Yes 2023"),'AES Indiana Bill Calc.'!$D$22)</f>
        <v>0</v>
      </c>
      <c r="E917" s="103" t="b">
        <f>IF(AND('AES Indiana Bill Calc.'!$D$17="HL1",'AES Indiana Bill Calc.'!$D$18="Yes 50%",'AES Indiana Bill Calc.'!$D$20="Yes 2023"),'AES Indiana Bill Calc.'!$D$21)</f>
        <v>0</v>
      </c>
      <c r="F917" s="36" t="s">
        <v>240</v>
      </c>
      <c r="G917" s="92" t="e">
        <f>SUM(J917:M917,R917:AA917)</f>
        <v>#N/A</v>
      </c>
      <c r="H917" s="19" t="e">
        <f>IF(ISBLANK(B917),0,+#REF!/B917)</f>
        <v>#REF!</v>
      </c>
      <c r="I917" s="19"/>
      <c r="J917" s="88">
        <f>IF(ISBLANK(B917),0,+J$840)</f>
        <v>130</v>
      </c>
      <c r="K917" s="42">
        <f>ROUND($B917*K$840,2)</f>
        <v>-0.04</v>
      </c>
      <c r="L917" s="16">
        <f>IF(ISBLANK($C917),0,IF($C917&lt;$C$841,ROUND($C$841*$L$840,2),IF($C917&gt;L$841,ROUND(L$841*L$840,2),ROUND($C917*L$840,2))))</f>
        <v>55900</v>
      </c>
      <c r="M917" s="17">
        <f>IF($C917&gt;L$841,ROUND(($C917-L$841)*M$840,2),0)</f>
        <v>0</v>
      </c>
      <c r="N917" s="17">
        <f>K917</f>
        <v>-0.04</v>
      </c>
      <c r="O917" s="42"/>
      <c r="P917" s="42"/>
      <c r="Q917" s="17">
        <f>SUM(L917:M917)</f>
        <v>55900</v>
      </c>
      <c r="R917" s="82" t="e">
        <f>ROUND(SUM(K917:M917)*(R916-1),2)</f>
        <v>#N/A</v>
      </c>
      <c r="S917" s="42">
        <f>ROUND($B917*S$840*S916,2)</f>
        <v>0</v>
      </c>
      <c r="T917" s="42">
        <f>ROUND($B917*T$840,2)</f>
        <v>0</v>
      </c>
      <c r="U917" s="42">
        <f>ROUND($B917*U$840,2)</f>
        <v>0</v>
      </c>
      <c r="V917" s="42">
        <f>ROUND($B917*V$837,2)</f>
        <v>0</v>
      </c>
      <c r="W917" s="42">
        <f>ROUND($B917*W$840,2)</f>
        <v>0</v>
      </c>
      <c r="X917" s="42">
        <f>ROUND($B917*X$840,2)</f>
        <v>-0.01</v>
      </c>
      <c r="Y917" s="42">
        <f>ROUND($B917*Y$840,2)</f>
        <v>0</v>
      </c>
      <c r="Z917" s="42">
        <f>ROUND($B917*Z$840,2)</f>
        <v>0</v>
      </c>
      <c r="AA917" s="42">
        <f>ROUND($B917*AA$840,2)</f>
        <v>0</v>
      </c>
      <c r="AB917" s="19">
        <f>SUM(U896:AA896)</f>
        <v>0</v>
      </c>
      <c r="AC917" s="94" t="str">
        <f>+F917</f>
        <v>HL13</v>
      </c>
    </row>
    <row r="918" spans="1:29" x14ac:dyDescent="0.2">
      <c r="A918" s="9"/>
      <c r="B918" s="97">
        <v>-1</v>
      </c>
      <c r="D918" s="41"/>
      <c r="E918" s="80"/>
      <c r="F918" s="36"/>
      <c r="G918" s="98"/>
      <c r="H918" s="19"/>
      <c r="I918" s="19"/>
      <c r="J918" s="88"/>
      <c r="K918" s="42"/>
      <c r="L918" s="82"/>
      <c r="M918" s="42"/>
      <c r="N918" s="42"/>
      <c r="O918" s="42"/>
      <c r="P918" s="42"/>
      <c r="Q918" s="42"/>
      <c r="R918" s="38" t="e">
        <f>VLOOKUP((D919),'Pwr Factor'!$A$1:$B$52,2)</f>
        <v>#N/A</v>
      </c>
      <c r="S918" s="50">
        <v>0.25</v>
      </c>
      <c r="T918" s="42"/>
      <c r="U918" s="42"/>
      <c r="V918" s="42"/>
      <c r="W918" s="42"/>
      <c r="X918" s="42"/>
      <c r="Y918" s="42"/>
      <c r="Z918" s="42"/>
      <c r="AA918" s="42"/>
      <c r="AB918" s="19"/>
      <c r="AC918" s="94"/>
    </row>
    <row r="919" spans="1:29" x14ac:dyDescent="0.2">
      <c r="A919" s="1" t="s">
        <v>150</v>
      </c>
      <c r="B919" s="103">
        <f>IF(AND('AES Indiana Bill Calc.'!$D$17="HL1",'AES Indiana Bill Calc.'!$D$18="Yes 25%",'AES Indiana Bill Calc.'!$D$20="Yes 2023"),'AES Indiana Bill Calc.'!$D$19,-1)</f>
        <v>-1</v>
      </c>
      <c r="C919" s="103">
        <f>MAX(E919,$C$837)</f>
        <v>2000</v>
      </c>
      <c r="D919" s="103" t="b">
        <f>IF(AND('AES Indiana Bill Calc.'!$D$17="HL1",'AES Indiana Bill Calc.'!$D$18="Yes 25%",'AES Indiana Bill Calc.'!$D$20="Yes 2023"),'AES Indiana Bill Calc.'!$D$22)</f>
        <v>0</v>
      </c>
      <c r="E919" s="103" t="b">
        <f>IF(AND('AES Indiana Bill Calc.'!$D$17="HL1",'AES Indiana Bill Calc.'!$D$18="Yes 25%",'AES Indiana Bill Calc.'!$D$20="Yes 2023"),'AES Indiana Bill Calc.'!$D$21)</f>
        <v>0</v>
      </c>
      <c r="F919" s="36" t="s">
        <v>240</v>
      </c>
      <c r="G919" s="92" t="e">
        <f>SUM(J919:M919,R919:AA919)</f>
        <v>#N/A</v>
      </c>
      <c r="H919" s="19" t="e">
        <f>IF(ISBLANK(B919),0,+#REF!/B919)</f>
        <v>#REF!</v>
      </c>
      <c r="I919" s="19"/>
      <c r="J919" s="88">
        <f>IF(ISBLANK(B919),0,+J$840)</f>
        <v>130</v>
      </c>
      <c r="K919" s="42">
        <f>ROUND($B919*K$840,2)</f>
        <v>-0.04</v>
      </c>
      <c r="L919" s="16">
        <f>IF(ISBLANK($C919),0,IF($C919&lt;$C$841,ROUND($C$841*$L$840,2),IF($C919&gt;L$841,ROUND(L$841*L$840,2),ROUND($C919*L$840,2))))</f>
        <v>55900</v>
      </c>
      <c r="M919" s="17">
        <f>IF($C919&gt;L$841,ROUND(($C919-L$841)*M$840,2),0)</f>
        <v>0</v>
      </c>
      <c r="N919" s="17">
        <f>K919</f>
        <v>-0.04</v>
      </c>
      <c r="O919" s="42"/>
      <c r="P919" s="42"/>
      <c r="Q919" s="17">
        <f>SUM(L919:M919)</f>
        <v>55900</v>
      </c>
      <c r="R919" s="82" t="e">
        <f>ROUND(SUM(K919:M919)*(R918-1),2)</f>
        <v>#N/A</v>
      </c>
      <c r="S919" s="42">
        <f>ROUND($B919*S$840*S918,2)</f>
        <v>0</v>
      </c>
      <c r="T919" s="42">
        <f>ROUND($B919*T$840,2)</f>
        <v>0</v>
      </c>
      <c r="U919" s="42">
        <f>ROUND($B919*U$840,2)</f>
        <v>0</v>
      </c>
      <c r="V919" s="42">
        <f>ROUND($B919*V$836,2)</f>
        <v>0</v>
      </c>
      <c r="W919" s="42">
        <f>ROUND($B919*W$840,2)</f>
        <v>0</v>
      </c>
      <c r="X919" s="42">
        <f>ROUND($B919*X$840,2)</f>
        <v>-0.01</v>
      </c>
      <c r="Y919" s="42">
        <f>ROUND($B919*Y$840,2)</f>
        <v>0</v>
      </c>
      <c r="Z919" s="42">
        <f>ROUND($B919*Z$840,2)</f>
        <v>0</v>
      </c>
      <c r="AA919" s="42">
        <f>ROUND($B919*AA$840,2)</f>
        <v>0</v>
      </c>
      <c r="AB919" s="19">
        <f>SUM(U898:AA898)</f>
        <v>0</v>
      </c>
      <c r="AC919" s="94" t="str">
        <f>+F919</f>
        <v>HL13</v>
      </c>
    </row>
    <row r="920" spans="1:29" x14ac:dyDescent="0.2">
      <c r="A920" s="9"/>
      <c r="B920" s="97">
        <v>-1</v>
      </c>
      <c r="D920" s="41"/>
      <c r="E920" s="80"/>
      <c r="F920" s="36"/>
      <c r="G920" s="98"/>
      <c r="H920" s="19"/>
      <c r="I920" s="19"/>
      <c r="J920" s="88"/>
      <c r="K920" s="42"/>
      <c r="L920" s="82"/>
      <c r="M920" s="42"/>
      <c r="N920" s="42"/>
      <c r="O920" s="42"/>
      <c r="P920" s="42"/>
      <c r="Q920" s="42"/>
      <c r="R920" s="38" t="e">
        <f>VLOOKUP((D921),'Pwr Factor'!$A$1:$B$52,2)</f>
        <v>#N/A</v>
      </c>
      <c r="S920" s="50">
        <v>0.1</v>
      </c>
      <c r="T920" s="42"/>
      <c r="U920" s="42"/>
      <c r="V920" s="42"/>
      <c r="W920" s="42"/>
      <c r="X920" s="42"/>
      <c r="Y920" s="42"/>
      <c r="Z920" s="42"/>
      <c r="AA920" s="42"/>
      <c r="AB920" s="19"/>
      <c r="AC920" s="94"/>
    </row>
    <row r="921" spans="1:29" x14ac:dyDescent="0.2">
      <c r="A921" s="1" t="s">
        <v>164</v>
      </c>
      <c r="B921" s="103">
        <f>IF(AND('AES Indiana Bill Calc.'!$D$17="HL1",'AES Indiana Bill Calc.'!$D$18="Yes 10%",'AES Indiana Bill Calc.'!$D$20="Yes 2023"),'AES Indiana Bill Calc.'!$D$19,-1)</f>
        <v>-1</v>
      </c>
      <c r="C921" s="103">
        <f>MAX(E921,$C$837)</f>
        <v>2000</v>
      </c>
      <c r="D921" s="103" t="b">
        <f>IF(AND('AES Indiana Bill Calc.'!$D$17="HL1",'AES Indiana Bill Calc.'!$D$18="Yes 10%",'AES Indiana Bill Calc.'!$D$20="Yes 2023"),'AES Indiana Bill Calc.'!$D$22)</f>
        <v>0</v>
      </c>
      <c r="E921" s="103" t="b">
        <f>IF(AND('AES Indiana Bill Calc.'!$D$17="HL1",'AES Indiana Bill Calc.'!$D$18="Yes 10%",'AES Indiana Bill Calc.'!$D$20="Yes 2023"),'AES Indiana Bill Calc.'!$D$21)</f>
        <v>0</v>
      </c>
      <c r="F921" s="36" t="s">
        <v>240</v>
      </c>
      <c r="G921" s="92" t="e">
        <f>SUM(J921:M921,R921:AA921)</f>
        <v>#N/A</v>
      </c>
      <c r="H921" s="19" t="e">
        <f>IF(ISBLANK(B921),0,+#REF!/B921)</f>
        <v>#REF!</v>
      </c>
      <c r="I921" s="19"/>
      <c r="J921" s="88">
        <f>IF(ISBLANK(B921),0,+J$840)</f>
        <v>130</v>
      </c>
      <c r="K921" s="42">
        <f>ROUND($B921*K$840,2)</f>
        <v>-0.04</v>
      </c>
      <c r="L921" s="16">
        <f>IF(ISBLANK($C921),0,IF($C921&lt;$C$841,ROUND($C$841*$L$840,2),IF($C921&gt;L$841,ROUND(L$841*L$840,2),ROUND($C921*L$840,2))))</f>
        <v>55900</v>
      </c>
      <c r="M921" s="17">
        <f>IF($C921&gt;L$841,ROUND(($C921-L$841)*M$840,2),0)</f>
        <v>0</v>
      </c>
      <c r="N921" s="17">
        <f>K921</f>
        <v>-0.04</v>
      </c>
      <c r="O921" s="42"/>
      <c r="P921" s="42"/>
      <c r="Q921" s="17">
        <f>SUM(L921:M921)</f>
        <v>55900</v>
      </c>
      <c r="R921" s="82" t="e">
        <f>ROUND(SUM(K921:M921)*(R920-1),2)</f>
        <v>#N/A</v>
      </c>
      <c r="S921" s="42">
        <f>ROUND($B921*S$840*S920,2)</f>
        <v>0</v>
      </c>
      <c r="T921" s="42">
        <f>ROUND($B921*T$840,2)</f>
        <v>0</v>
      </c>
      <c r="U921" s="42">
        <f>ROUND($B921*U$840,2)</f>
        <v>0</v>
      </c>
      <c r="V921" s="42">
        <f>ROUND($B921*V$837,2)</f>
        <v>0</v>
      </c>
      <c r="W921" s="42">
        <f>ROUND($B921*W$840,2)</f>
        <v>0</v>
      </c>
      <c r="X921" s="42">
        <f>ROUND($B921*X$840,2)</f>
        <v>-0.01</v>
      </c>
      <c r="Y921" s="42">
        <f>ROUND($B921*Y$840,2)</f>
        <v>0</v>
      </c>
      <c r="Z921" s="42">
        <f>ROUND($B921*Z$840,2)</f>
        <v>0</v>
      </c>
      <c r="AA921" s="42">
        <f>ROUND($B921*AA$840,2)</f>
        <v>0</v>
      </c>
      <c r="AB921" s="19">
        <f>SUM(U900:AA900)</f>
        <v>0</v>
      </c>
      <c r="AC921" s="94" t="str">
        <f>+F921</f>
        <v>HL13</v>
      </c>
    </row>
    <row r="922" spans="1:29" x14ac:dyDescent="0.2">
      <c r="A922" s="9"/>
      <c r="B922" s="97">
        <v>-1</v>
      </c>
      <c r="D922" s="41"/>
      <c r="E922" s="80"/>
      <c r="F922" s="36"/>
      <c r="G922" s="98"/>
      <c r="H922" s="19"/>
      <c r="I922" s="19"/>
      <c r="J922" s="88"/>
      <c r="K922" s="42"/>
      <c r="L922" s="82"/>
      <c r="M922" s="42"/>
      <c r="N922" s="42"/>
      <c r="O922" s="42"/>
      <c r="P922" s="42"/>
      <c r="Q922" s="42"/>
      <c r="R922" s="38" t="e">
        <f>VLOOKUP((D923),'Pwr Factor'!$A$1:$B$52,2)</f>
        <v>#N/A</v>
      </c>
      <c r="S922" s="50">
        <v>0</v>
      </c>
      <c r="T922" s="42"/>
      <c r="U922" s="42"/>
      <c r="V922" s="42"/>
      <c r="W922" s="42"/>
      <c r="X922" s="42"/>
      <c r="Y922" s="42"/>
      <c r="Z922" s="42"/>
      <c r="AA922" s="42"/>
      <c r="AB922" s="19"/>
      <c r="AC922" s="94"/>
    </row>
    <row r="923" spans="1:29" x14ac:dyDescent="0.2">
      <c r="A923" s="1" t="s">
        <v>147</v>
      </c>
      <c r="B923" s="103">
        <f>IF(AND('AES Indiana Bill Calc.'!$D$17="HL1",'AES Indiana Bill Calc.'!$D$18="No",'AES Indiana Bill Calc.'!$D$20="Yes 2023"),'AES Indiana Bill Calc.'!$D$19,-1)</f>
        <v>-1</v>
      </c>
      <c r="C923" s="103">
        <f>MAX(E923,$C$837)</f>
        <v>2000</v>
      </c>
      <c r="D923" s="103" t="b">
        <f>IF(AND('AES Indiana Bill Calc.'!$D$17="HL1",'AES Indiana Bill Calc.'!$D$18="No",'AES Indiana Bill Calc.'!$D$20="Yes 2023"),'AES Indiana Bill Calc.'!$D$22)</f>
        <v>0</v>
      </c>
      <c r="E923" s="103" t="b">
        <f>IF(AND('AES Indiana Bill Calc.'!$D$17="HL1",'AES Indiana Bill Calc.'!$D$18="No",'AES Indiana Bill Calc.'!$D$20="Yes 2023"),'AES Indiana Bill Calc.'!$D$21)</f>
        <v>0</v>
      </c>
      <c r="F923" s="36" t="s">
        <v>240</v>
      </c>
      <c r="G923" s="92" t="e">
        <f>SUM(J923:M923,R923:AA923)</f>
        <v>#N/A</v>
      </c>
      <c r="H923" s="19" t="e">
        <f>IF(ISBLANK(B923),0,+#REF!/B923)</f>
        <v>#REF!</v>
      </c>
      <c r="I923" s="19"/>
      <c r="J923" s="88">
        <f>IF(ISBLANK(B923),0,+J$840)</f>
        <v>130</v>
      </c>
      <c r="K923" s="42">
        <f>ROUND($B923*K$840,2)</f>
        <v>-0.04</v>
      </c>
      <c r="L923" s="16">
        <f>IF(ISBLANK($C923),0,IF($C923&lt;$C$841,ROUND($C$841*$L$840,2),IF($C923&gt;L$841,ROUND(L$841*L$840,2),ROUND($C923*L$840,2))))</f>
        <v>55900</v>
      </c>
      <c r="M923" s="17">
        <f>IF($C923&gt;L$841,ROUND(($C923-L$841)*M$840,2),0)</f>
        <v>0</v>
      </c>
      <c r="N923" s="17">
        <f>K923</f>
        <v>-0.04</v>
      </c>
      <c r="O923" s="42"/>
      <c r="P923" s="42"/>
      <c r="Q923" s="17">
        <f>SUM(L923:M923)</f>
        <v>55900</v>
      </c>
      <c r="R923" s="82" t="e">
        <f>ROUND(SUM(K923:M923)*(R922-1),2)</f>
        <v>#N/A</v>
      </c>
      <c r="S923" s="42">
        <f>ROUND($B923*S$840*S922,2)</f>
        <v>0</v>
      </c>
      <c r="T923" s="42">
        <f>ROUND($B923*T$840,2)</f>
        <v>0</v>
      </c>
      <c r="U923" s="42">
        <f>ROUND($B923*U$840,2)</f>
        <v>0</v>
      </c>
      <c r="V923" s="42">
        <f>ROUND($B923*V$837,2)</f>
        <v>0</v>
      </c>
      <c r="W923" s="42">
        <f>ROUND($B923*W$840,2)</f>
        <v>0</v>
      </c>
      <c r="X923" s="42">
        <f>ROUND($B923*X$840,2)</f>
        <v>-0.01</v>
      </c>
      <c r="Y923" s="42">
        <f>ROUND($B923*Y$840,2)</f>
        <v>0</v>
      </c>
      <c r="Z923" s="42">
        <f>ROUND($B923*Z$840,2)</f>
        <v>0</v>
      </c>
      <c r="AA923" s="42">
        <f>ROUND($B923*AA$840,2)</f>
        <v>0</v>
      </c>
      <c r="AB923" s="19">
        <f>SUM(U902:AA902)</f>
        <v>0</v>
      </c>
      <c r="AC923" s="94" t="str">
        <f>+F923</f>
        <v>HL13</v>
      </c>
    </row>
    <row r="924" spans="1:29" x14ac:dyDescent="0.2">
      <c r="A924" s="53"/>
      <c r="B924" s="97">
        <v>-1</v>
      </c>
      <c r="D924" s="41"/>
      <c r="E924" s="80"/>
      <c r="F924" s="36"/>
      <c r="G924" s="98"/>
      <c r="H924" s="19"/>
      <c r="I924" s="19"/>
      <c r="J924" s="88"/>
      <c r="K924" s="42"/>
      <c r="L924" s="82"/>
      <c r="M924" s="42"/>
      <c r="N924" s="42"/>
      <c r="O924" s="42"/>
      <c r="P924" s="42"/>
      <c r="Q924" s="42"/>
      <c r="R924" s="38" t="e">
        <f>VLOOKUP((D925),'Pwr Factor'!$A$1:$B$52,2)</f>
        <v>#N/A</v>
      </c>
      <c r="S924" s="50">
        <v>1</v>
      </c>
      <c r="T924" s="42"/>
      <c r="U924" s="42"/>
      <c r="V924" s="42"/>
      <c r="W924" s="42"/>
      <c r="X924" s="42"/>
      <c r="Y924" s="42"/>
      <c r="Z924" s="42"/>
      <c r="AA924" s="42"/>
      <c r="AB924" s="19"/>
      <c r="AC924" s="94"/>
    </row>
    <row r="925" spans="1:29" x14ac:dyDescent="0.2">
      <c r="A925" s="1" t="s">
        <v>148</v>
      </c>
      <c r="B925" s="103">
        <f>IF(AND('AES Indiana Bill Calc.'!$D$17="HL1",'AES Indiana Bill Calc.'!$D$18="Yes 100%",'AES Indiana Bill Calc.'!$D$20="Yes 2024"),'AES Indiana Bill Calc.'!$D$19,-1)</f>
        <v>-1</v>
      </c>
      <c r="C925" s="103">
        <f>MAX(E925,$C$837)</f>
        <v>2000</v>
      </c>
      <c r="D925" s="103" t="b">
        <f>IF(AND('AES Indiana Bill Calc.'!$D$17="HL1",'AES Indiana Bill Calc.'!$D$18="Yes 100%",'AES Indiana Bill Calc.'!$D$20="Yes 2024"),'AES Indiana Bill Calc.'!$D$22)</f>
        <v>0</v>
      </c>
      <c r="E925" s="103" t="b">
        <f>IF(AND('AES Indiana Bill Calc.'!$D$17="HL1",'AES Indiana Bill Calc.'!$D$18="Yes 100%",'AES Indiana Bill Calc.'!$D$20="Yes 2024"),'AES Indiana Bill Calc.'!$D$21)</f>
        <v>0</v>
      </c>
      <c r="F925" s="36" t="s">
        <v>305</v>
      </c>
      <c r="G925" s="98" t="e">
        <v>#N/A</v>
      </c>
      <c r="H925" s="19" t="e">
        <f>IF(ISBLANK(B925),0,+#REF!/B925)</f>
        <v>#REF!</v>
      </c>
      <c r="I925" s="19"/>
      <c r="J925" s="88">
        <f>IF(ISBLANK(B925),0,+J$840)</f>
        <v>130</v>
      </c>
      <c r="K925" s="42">
        <f>ROUND($B925*K$840,2)</f>
        <v>-0.04</v>
      </c>
      <c r="L925" s="16">
        <f>IF(ISBLANK($C925),0,IF($C925&lt;$C$841,ROUND($C$841*$L$840,2),IF($C925&gt;L$841,ROUND(L$841*L$840,2),ROUND($C925*L$840,2))))</f>
        <v>55900</v>
      </c>
      <c r="M925" s="17">
        <f>IF($C925&gt;L$841,ROUND(($C925-L$841)*M$840,2),0)</f>
        <v>0</v>
      </c>
      <c r="N925" s="17">
        <f>K925</f>
        <v>-0.04</v>
      </c>
      <c r="O925" s="42"/>
      <c r="P925" s="42"/>
      <c r="Q925" s="17">
        <f>SUM(L925:M925)</f>
        <v>55900</v>
      </c>
      <c r="R925" s="82" t="e">
        <f>ROUND(SUM(K925:M925)*(R924-1),2)</f>
        <v>#N/A</v>
      </c>
      <c r="S925" s="42">
        <f>ROUND($B925*S$840*S924,2)</f>
        <v>0</v>
      </c>
      <c r="T925" s="42">
        <f>ROUND($B925*T$840,2)</f>
        <v>0</v>
      </c>
      <c r="U925" s="42">
        <f>ROUND($B925*U$840,2)</f>
        <v>0</v>
      </c>
      <c r="V925" s="42">
        <f>ROUND($B925*V$838,2)</f>
        <v>-0.01</v>
      </c>
      <c r="W925" s="42">
        <f>ROUND($B925*W$840,2)</f>
        <v>0</v>
      </c>
      <c r="X925" s="42">
        <f>ROUND($B925*X$840,2)</f>
        <v>-0.01</v>
      </c>
      <c r="Y925" s="42">
        <f>ROUND($B925*Y$840,2)</f>
        <v>0</v>
      </c>
      <c r="Z925" s="42">
        <f>ROUND($B925*Z$840,2)</f>
        <v>0</v>
      </c>
      <c r="AA925" s="42">
        <f>ROUND($B925*AA$840,2)</f>
        <v>0</v>
      </c>
      <c r="AB925" s="19">
        <f>SUM(U904:AA904)</f>
        <v>0</v>
      </c>
      <c r="AC925" s="94" t="str">
        <f>+F925</f>
        <v>HL14</v>
      </c>
    </row>
    <row r="926" spans="1:29" x14ac:dyDescent="0.2">
      <c r="A926" s="9"/>
      <c r="B926" s="97">
        <v>-1</v>
      </c>
      <c r="D926" s="41"/>
      <c r="E926" s="80"/>
      <c r="F926" s="36"/>
      <c r="G926" s="98"/>
      <c r="H926" s="19"/>
      <c r="I926" s="19"/>
      <c r="J926" s="88"/>
      <c r="K926" s="42"/>
      <c r="L926" s="82"/>
      <c r="M926" s="42"/>
      <c r="N926" s="42"/>
      <c r="O926" s="42"/>
      <c r="P926" s="42"/>
      <c r="Q926" s="42"/>
      <c r="R926" s="38" t="e">
        <f>VLOOKUP((D927),'Pwr Factor'!$A$1:$B$52,2)</f>
        <v>#N/A</v>
      </c>
      <c r="S926" s="50">
        <v>0.5</v>
      </c>
      <c r="T926" s="42"/>
      <c r="U926" s="42"/>
      <c r="V926" s="42"/>
      <c r="W926" s="42"/>
      <c r="X926" s="42"/>
      <c r="Y926" s="42"/>
      <c r="Z926" s="42"/>
      <c r="AA926" s="42"/>
      <c r="AB926" s="19"/>
      <c r="AC926" s="94"/>
    </row>
    <row r="927" spans="1:29" x14ac:dyDescent="0.2">
      <c r="A927" s="1" t="s">
        <v>149</v>
      </c>
      <c r="B927" s="103">
        <f>IF(AND('AES Indiana Bill Calc.'!$D$17="HL1",'AES Indiana Bill Calc.'!$D$18="Yes 50%",'AES Indiana Bill Calc.'!$D$20="Yes 2024"),'AES Indiana Bill Calc.'!$D$19,-1)</f>
        <v>-1</v>
      </c>
      <c r="C927" s="103">
        <f>MAX(E927,$C$837)</f>
        <v>2000</v>
      </c>
      <c r="D927" s="103" t="b">
        <f>IF(AND('AES Indiana Bill Calc.'!$D$17="HL1",'AES Indiana Bill Calc.'!$D$18="Yes 50%",'AES Indiana Bill Calc.'!$D$20="Yes 2024"),'AES Indiana Bill Calc.'!$D$22)</f>
        <v>0</v>
      </c>
      <c r="E927" s="103" t="b">
        <f>IF(AND('AES Indiana Bill Calc.'!$D$17="HL1",'AES Indiana Bill Calc.'!$D$18="Yes 50%",'AES Indiana Bill Calc.'!$D$20="Yes 2024"),'AES Indiana Bill Calc.'!$D$21)</f>
        <v>0</v>
      </c>
      <c r="F927" s="36" t="s">
        <v>305</v>
      </c>
      <c r="G927" s="92" t="e">
        <f>SUM(J927:M927,R927:AA927)</f>
        <v>#N/A</v>
      </c>
      <c r="H927" s="19" t="e">
        <f>IF(ISBLANK(B927),0,+#REF!/B927)</f>
        <v>#REF!</v>
      </c>
      <c r="I927" s="19"/>
      <c r="J927" s="88">
        <f>IF(ISBLANK(B927),0,+J$840)</f>
        <v>130</v>
      </c>
      <c r="K927" s="42">
        <f>ROUND($B927*K$840,2)</f>
        <v>-0.04</v>
      </c>
      <c r="L927" s="16">
        <f>IF(ISBLANK($C927),0,IF($C927&lt;$C$841,ROUND($C$841*$L$840,2),IF($C927&gt;L$841,ROUND(L$841*L$840,2),ROUND($C927*L$840,2))))</f>
        <v>55900</v>
      </c>
      <c r="M927" s="17">
        <f>IF($C927&gt;L$841,ROUND(($C927-L$841)*M$840,2),0)</f>
        <v>0</v>
      </c>
      <c r="N927" s="17">
        <f>K927</f>
        <v>-0.04</v>
      </c>
      <c r="O927" s="42"/>
      <c r="P927" s="42"/>
      <c r="Q927" s="17">
        <f>SUM(L927:M927)</f>
        <v>55900</v>
      </c>
      <c r="R927" s="82" t="e">
        <f>ROUND(SUM(K927:M927)*(R926-1),2)</f>
        <v>#N/A</v>
      </c>
      <c r="S927" s="42">
        <f>ROUND($B927*S$840*S926,2)</f>
        <v>0</v>
      </c>
      <c r="T927" s="42">
        <f>ROUND($B927*T$840,2)</f>
        <v>0</v>
      </c>
      <c r="U927" s="42">
        <f>ROUND($B927*U$840,2)</f>
        <v>0</v>
      </c>
      <c r="V927" s="42">
        <f>ROUND($B927*V$838,2)</f>
        <v>-0.01</v>
      </c>
      <c r="W927" s="42">
        <f>ROUND($B927*W$840,2)</f>
        <v>0</v>
      </c>
      <c r="X927" s="42">
        <f>ROUND($B927*X$840,2)</f>
        <v>-0.01</v>
      </c>
      <c r="Y927" s="42">
        <f>ROUND($B927*Y$840,2)</f>
        <v>0</v>
      </c>
      <c r="Z927" s="42">
        <f>ROUND($B927*Z$840,2)</f>
        <v>0</v>
      </c>
      <c r="AA927" s="42">
        <f>ROUND($B927*AA$840,2)</f>
        <v>0</v>
      </c>
      <c r="AB927" s="19">
        <f>SUM(U906:AA906)</f>
        <v>0</v>
      </c>
      <c r="AC927" s="94" t="str">
        <f>+F927</f>
        <v>HL14</v>
      </c>
    </row>
    <row r="928" spans="1:29" x14ac:dyDescent="0.2">
      <c r="A928" s="9"/>
      <c r="B928" s="97">
        <v>-1</v>
      </c>
      <c r="D928" s="41"/>
      <c r="E928" s="80"/>
      <c r="F928" s="36"/>
      <c r="G928" s="98"/>
      <c r="H928" s="19"/>
      <c r="I928" s="19"/>
      <c r="J928" s="88"/>
      <c r="K928" s="42"/>
      <c r="L928" s="82"/>
      <c r="M928" s="42"/>
      <c r="N928" s="42"/>
      <c r="O928" s="42"/>
      <c r="P928" s="42"/>
      <c r="Q928" s="42"/>
      <c r="R928" s="38" t="e">
        <f>VLOOKUP((D929),'Pwr Factor'!$A$1:$B$52,2)</f>
        <v>#N/A</v>
      </c>
      <c r="S928" s="50">
        <v>0.25</v>
      </c>
      <c r="T928" s="42"/>
      <c r="U928" s="42"/>
      <c r="V928" s="42"/>
      <c r="W928" s="42"/>
      <c r="X928" s="42"/>
      <c r="Y928" s="42"/>
      <c r="Z928" s="42"/>
      <c r="AA928" s="42"/>
      <c r="AB928" s="19"/>
      <c r="AC928" s="94"/>
    </row>
    <row r="929" spans="1:29" x14ac:dyDescent="0.2">
      <c r="A929" s="1" t="s">
        <v>150</v>
      </c>
      <c r="B929" s="103">
        <f>IF(AND('AES Indiana Bill Calc.'!$D$17="HL1",'AES Indiana Bill Calc.'!$D$18="Yes 25%",'AES Indiana Bill Calc.'!$D$20="Yes 2024"),'AES Indiana Bill Calc.'!$D$19,-1)</f>
        <v>-1</v>
      </c>
      <c r="C929" s="103">
        <f>MAX(E929,$C$837)</f>
        <v>2000</v>
      </c>
      <c r="D929" s="103" t="b">
        <f>IF(AND('AES Indiana Bill Calc.'!$D$17="HL1",'AES Indiana Bill Calc.'!$D$18="Yes 25%",'AES Indiana Bill Calc.'!$D$20="Yes 2024"),'AES Indiana Bill Calc.'!$D$22)</f>
        <v>0</v>
      </c>
      <c r="E929" s="103" t="b">
        <f>IF(AND('AES Indiana Bill Calc.'!$D$17="HL1",'AES Indiana Bill Calc.'!$D$18="Yes 25%",'AES Indiana Bill Calc.'!$D$20="Yes 2024"),'AES Indiana Bill Calc.'!$D$21)</f>
        <v>0</v>
      </c>
      <c r="F929" s="36" t="s">
        <v>305</v>
      </c>
      <c r="G929" s="92" t="e">
        <f>SUM(J929:M929,R929:AA929)</f>
        <v>#N/A</v>
      </c>
      <c r="H929" s="19" t="e">
        <f>IF(ISBLANK(B929),0,+#REF!/B929)</f>
        <v>#REF!</v>
      </c>
      <c r="I929" s="19"/>
      <c r="J929" s="88">
        <f>IF(ISBLANK(B929),0,+J$840)</f>
        <v>130</v>
      </c>
      <c r="K929" s="42">
        <f>ROUND($B929*K$840,2)</f>
        <v>-0.04</v>
      </c>
      <c r="L929" s="16">
        <f>IF(ISBLANK($C929),0,IF($C929&lt;$C$841,ROUND($C$841*$L$840,2),IF($C929&gt;L$841,ROUND(L$841*L$840,2),ROUND($C929*L$840,2))))</f>
        <v>55900</v>
      </c>
      <c r="M929" s="17">
        <f>IF($C929&gt;L$841,ROUND(($C929-L$841)*M$840,2),0)</f>
        <v>0</v>
      </c>
      <c r="N929" s="17">
        <f>K929</f>
        <v>-0.04</v>
      </c>
      <c r="O929" s="42"/>
      <c r="P929" s="42"/>
      <c r="Q929" s="17">
        <f>SUM(L929:M929)</f>
        <v>55900</v>
      </c>
      <c r="R929" s="82" t="e">
        <f>ROUND(SUM(K929:M929)*(R928-1),2)</f>
        <v>#N/A</v>
      </c>
      <c r="S929" s="42">
        <f>ROUND($B929*S$840*S928,2)</f>
        <v>0</v>
      </c>
      <c r="T929" s="42">
        <f>ROUND($B929*T$840,2)</f>
        <v>0</v>
      </c>
      <c r="U929" s="42">
        <f>ROUND($B929*U$840,2)</f>
        <v>0</v>
      </c>
      <c r="V929" s="42">
        <f>ROUND($B929*V$838,2)</f>
        <v>-0.01</v>
      </c>
      <c r="W929" s="42">
        <f>ROUND($B929*W$840,2)</f>
        <v>0</v>
      </c>
      <c r="X929" s="42">
        <f>ROUND($B929*X$840,2)</f>
        <v>-0.01</v>
      </c>
      <c r="Y929" s="42">
        <f>ROUND($B929*Y$840,2)</f>
        <v>0</v>
      </c>
      <c r="Z929" s="42">
        <f>ROUND($B929*Z$840,2)</f>
        <v>0</v>
      </c>
      <c r="AA929" s="42">
        <f>ROUND($B929*AA$840,2)</f>
        <v>0</v>
      </c>
      <c r="AB929" s="19">
        <f>SUM(U908:AA908)</f>
        <v>0</v>
      </c>
      <c r="AC929" s="94" t="str">
        <f>+F929</f>
        <v>HL14</v>
      </c>
    </row>
    <row r="930" spans="1:29" x14ac:dyDescent="0.2">
      <c r="A930" s="9"/>
      <c r="B930" s="97">
        <v>-1</v>
      </c>
      <c r="D930" s="41"/>
      <c r="E930" s="80"/>
      <c r="F930" s="36"/>
      <c r="G930" s="98"/>
      <c r="H930" s="19"/>
      <c r="I930" s="19"/>
      <c r="J930" s="88"/>
      <c r="K930" s="42"/>
      <c r="L930" s="82"/>
      <c r="M930" s="42"/>
      <c r="N930" s="42"/>
      <c r="O930" s="42"/>
      <c r="P930" s="42"/>
      <c r="Q930" s="42"/>
      <c r="R930" s="38" t="e">
        <f>VLOOKUP((D931),'Pwr Factor'!$A$1:$B$52,2)</f>
        <v>#N/A</v>
      </c>
      <c r="S930" s="50">
        <v>0.1</v>
      </c>
      <c r="T930" s="42"/>
      <c r="U930" s="42"/>
      <c r="V930" s="42"/>
      <c r="W930" s="42"/>
      <c r="X930" s="42"/>
      <c r="Y930" s="42"/>
      <c r="Z930" s="42"/>
      <c r="AA930" s="42"/>
      <c r="AB930" s="19"/>
      <c r="AC930" s="94"/>
    </row>
    <row r="931" spans="1:29" x14ac:dyDescent="0.2">
      <c r="A931" s="1" t="s">
        <v>164</v>
      </c>
      <c r="B931" s="103">
        <f>IF(AND('AES Indiana Bill Calc.'!$D$17="HL1",'AES Indiana Bill Calc.'!$D$18="Yes 10%",'AES Indiana Bill Calc.'!$D$20="Yes 2024"),'AES Indiana Bill Calc.'!$D$19,-1)</f>
        <v>-1</v>
      </c>
      <c r="C931" s="103">
        <f>MAX(E931,$C$837)</f>
        <v>2000</v>
      </c>
      <c r="D931" s="103" t="b">
        <f>IF(AND('AES Indiana Bill Calc.'!$D$17="HL1",'AES Indiana Bill Calc.'!$D$18="Yes 10%",'AES Indiana Bill Calc.'!$D$20="Yes 2024"),'AES Indiana Bill Calc.'!$D$22)</f>
        <v>0</v>
      </c>
      <c r="E931" s="103" t="b">
        <f>IF(AND('AES Indiana Bill Calc.'!$D$17="HL1",'AES Indiana Bill Calc.'!$D$18="Yes 10%",'AES Indiana Bill Calc.'!$D$20="Yes 2024"),'AES Indiana Bill Calc.'!$D$21)</f>
        <v>0</v>
      </c>
      <c r="F931" s="36" t="s">
        <v>305</v>
      </c>
      <c r="G931" s="92" t="e">
        <f>SUM(J931:M931,R931:AA931)</f>
        <v>#N/A</v>
      </c>
      <c r="H931" s="19" t="e">
        <f>IF(ISBLANK(B931),0,+#REF!/B931)</f>
        <v>#REF!</v>
      </c>
      <c r="I931" s="19"/>
      <c r="J931" s="88">
        <f>IF(ISBLANK(B931),0,+J$840)</f>
        <v>130</v>
      </c>
      <c r="K931" s="42">
        <f>ROUND($B931*K$840,2)</f>
        <v>-0.04</v>
      </c>
      <c r="L931" s="16">
        <f>IF(ISBLANK($C931),0,IF($C931&lt;$C$841,ROUND($C$841*$L$840,2),IF($C931&gt;L$841,ROUND(L$841*L$840,2),ROUND($C931*L$840,2))))</f>
        <v>55900</v>
      </c>
      <c r="M931" s="17">
        <f>IF($C931&gt;L$841,ROUND(($C931-L$841)*M$840,2),0)</f>
        <v>0</v>
      </c>
      <c r="N931" s="17">
        <f>K931</f>
        <v>-0.04</v>
      </c>
      <c r="O931" s="42"/>
      <c r="P931" s="42"/>
      <c r="Q931" s="17">
        <f>SUM(L931:M931)</f>
        <v>55900</v>
      </c>
      <c r="R931" s="82" t="e">
        <f>ROUND(SUM(K931:M931)*(R930-1),2)</f>
        <v>#N/A</v>
      </c>
      <c r="S931" s="42">
        <f>ROUND($B931*S$840*S930,2)</f>
        <v>0</v>
      </c>
      <c r="T931" s="42">
        <f>ROUND($B931*T$840,2)</f>
        <v>0</v>
      </c>
      <c r="U931" s="42">
        <f>ROUND($B931*U$840,2)</f>
        <v>0</v>
      </c>
      <c r="V931" s="42">
        <f>ROUND($B931*V$838,2)</f>
        <v>-0.01</v>
      </c>
      <c r="W931" s="42">
        <f>ROUND($B931*W$840,2)</f>
        <v>0</v>
      </c>
      <c r="X931" s="42">
        <f>ROUND($B931*X$840,2)</f>
        <v>-0.01</v>
      </c>
      <c r="Y931" s="42">
        <f>ROUND($B931*Y$840,2)</f>
        <v>0</v>
      </c>
      <c r="Z931" s="42">
        <f>ROUND($B931*Z$840,2)</f>
        <v>0</v>
      </c>
      <c r="AA931" s="42">
        <f>ROUND($B931*AA$840,2)</f>
        <v>0</v>
      </c>
      <c r="AB931" s="19">
        <f>SUM(U910:AA910)</f>
        <v>0</v>
      </c>
      <c r="AC931" s="94" t="str">
        <f>+F931</f>
        <v>HL14</v>
      </c>
    </row>
    <row r="932" spans="1:29" x14ac:dyDescent="0.2">
      <c r="A932" s="9"/>
      <c r="B932" s="97">
        <v>-1</v>
      </c>
      <c r="D932" s="41"/>
      <c r="E932" s="80"/>
      <c r="F932" s="36"/>
      <c r="G932" s="98"/>
      <c r="H932" s="19"/>
      <c r="I932" s="19"/>
      <c r="J932" s="88"/>
      <c r="K932" s="42"/>
      <c r="L932" s="82"/>
      <c r="M932" s="42"/>
      <c r="N932" s="42"/>
      <c r="O932" s="42"/>
      <c r="P932" s="42"/>
      <c r="Q932" s="42"/>
      <c r="R932" s="38" t="e">
        <f>VLOOKUP((D933),'Pwr Factor'!$A$1:$B$52,2)</f>
        <v>#N/A</v>
      </c>
      <c r="S932" s="50">
        <v>0</v>
      </c>
      <c r="T932" s="42"/>
      <c r="U932" s="42"/>
      <c r="V932" s="42"/>
      <c r="W932" s="42"/>
      <c r="X932" s="42"/>
      <c r="Y932" s="42"/>
      <c r="Z932" s="42"/>
      <c r="AA932" s="42"/>
      <c r="AB932" s="19"/>
      <c r="AC932" s="94"/>
    </row>
    <row r="933" spans="1:29" x14ac:dyDescent="0.2">
      <c r="A933" s="1" t="s">
        <v>147</v>
      </c>
      <c r="B933" s="103">
        <f>IF(AND('AES Indiana Bill Calc.'!$D$17="HL1",'AES Indiana Bill Calc.'!$D$18="No",'AES Indiana Bill Calc.'!$D$20="Yes 2024"),'AES Indiana Bill Calc.'!$D$19,-1)</f>
        <v>-1</v>
      </c>
      <c r="C933" s="103">
        <f>MAX(E933,$C$837)</f>
        <v>2000</v>
      </c>
      <c r="D933" s="103" t="b">
        <f>IF(AND('AES Indiana Bill Calc.'!$D$17="HL1",'AES Indiana Bill Calc.'!$D$18="No",'AES Indiana Bill Calc.'!$D$20="Yes 2024"),'AES Indiana Bill Calc.'!$D$22)</f>
        <v>0</v>
      </c>
      <c r="E933" s="103" t="b">
        <f>IF(AND('AES Indiana Bill Calc.'!$D$17="HL1",'AES Indiana Bill Calc.'!$D$18="No",'AES Indiana Bill Calc.'!$D$20="Yes 2024"),'AES Indiana Bill Calc.'!$D$21)</f>
        <v>0</v>
      </c>
      <c r="F933" s="36" t="s">
        <v>305</v>
      </c>
      <c r="G933" s="92" t="e">
        <f>SUM(J933:M933,R933:AA933)</f>
        <v>#N/A</v>
      </c>
      <c r="H933" s="19" t="e">
        <f>IF(ISBLANK(B933),0,+#REF!/B933)</f>
        <v>#REF!</v>
      </c>
      <c r="I933" s="19"/>
      <c r="J933" s="88">
        <f>IF(ISBLANK(B933),0,+J$840)</f>
        <v>130</v>
      </c>
      <c r="K933" s="42">
        <f>ROUND($B933*K$840,2)</f>
        <v>-0.04</v>
      </c>
      <c r="L933" s="16">
        <f>IF(ISBLANK($C933),0,IF($C933&lt;$C$841,ROUND($C$841*$L$840,2),IF($C933&gt;L$841,ROUND(L$841*L$840,2),ROUND($C933*L$840,2))))</f>
        <v>55900</v>
      </c>
      <c r="M933" s="17">
        <f>IF($C933&gt;L$841,ROUND(($C933-L$841)*M$840,2),0)</f>
        <v>0</v>
      </c>
      <c r="N933" s="17">
        <f>K933</f>
        <v>-0.04</v>
      </c>
      <c r="O933" s="42"/>
      <c r="P933" s="42"/>
      <c r="Q933" s="17">
        <f>SUM(L933:M933)</f>
        <v>55900</v>
      </c>
      <c r="R933" s="82" t="e">
        <f>ROUND(SUM(K933:M933)*(R932-1),2)</f>
        <v>#N/A</v>
      </c>
      <c r="S933" s="42">
        <f>ROUND($B933*S$840*S932,2)</f>
        <v>0</v>
      </c>
      <c r="T933" s="42">
        <f>ROUND($B933*T$840,2)</f>
        <v>0</v>
      </c>
      <c r="U933" s="42">
        <f>ROUND($B933*U$840,2)</f>
        <v>0</v>
      </c>
      <c r="V933" s="42">
        <f>ROUND($B933*V$838,2)</f>
        <v>-0.01</v>
      </c>
      <c r="W933" s="42">
        <f>ROUND($B933*W$840,2)</f>
        <v>0</v>
      </c>
      <c r="X933" s="42">
        <f>ROUND($B933*X$840,2)</f>
        <v>-0.01</v>
      </c>
      <c r="Y933" s="42">
        <f>ROUND($B933*Y$840,2)</f>
        <v>0</v>
      </c>
      <c r="Z933" s="42">
        <f>ROUND($B933*Z$840,2)</f>
        <v>0</v>
      </c>
      <c r="AA933" s="42">
        <f>ROUND($B933*AA$840,2)</f>
        <v>0</v>
      </c>
      <c r="AB933" s="19">
        <f>SUM(U912:AA912)</f>
        <v>0</v>
      </c>
      <c r="AC933" s="94" t="str">
        <f>+F933</f>
        <v>HL14</v>
      </c>
    </row>
    <row r="934" spans="1:29" x14ac:dyDescent="0.2">
      <c r="A934" s="53"/>
      <c r="B934" s="97">
        <v>-1</v>
      </c>
      <c r="D934" s="41"/>
      <c r="E934" s="80"/>
      <c r="F934" s="36"/>
      <c r="G934" s="98"/>
      <c r="H934" s="19"/>
      <c r="I934" s="19"/>
      <c r="J934" s="88"/>
      <c r="K934" s="42"/>
      <c r="L934" s="82"/>
      <c r="M934" s="42"/>
      <c r="N934" s="42"/>
      <c r="O934" s="42"/>
      <c r="P934" s="42"/>
      <c r="Q934" s="42"/>
      <c r="R934" s="38" t="e">
        <f>VLOOKUP((D935),'Pwr Factor'!$A$1:$B$52,2)</f>
        <v>#N/A</v>
      </c>
      <c r="S934" s="50">
        <v>1</v>
      </c>
      <c r="T934" s="42"/>
      <c r="U934" s="42"/>
      <c r="V934" s="42"/>
      <c r="W934" s="42"/>
      <c r="X934" s="42"/>
      <c r="Y934" s="42"/>
      <c r="Z934" s="42"/>
      <c r="AA934" s="42"/>
      <c r="AB934" s="19"/>
      <c r="AC934" s="94"/>
    </row>
    <row r="935" spans="1:29" x14ac:dyDescent="0.2">
      <c r="A935" s="1" t="s">
        <v>148</v>
      </c>
      <c r="B935" s="103">
        <f>IF(AND('AES Indiana Bill Calc.'!$D$17="HL1",'AES Indiana Bill Calc.'!$D$18="Yes 100%",'AES Indiana Bill Calc.'!$D$20="Yes 2025"),'AES Indiana Bill Calc.'!$D$19,-1)</f>
        <v>-1</v>
      </c>
      <c r="C935" s="103">
        <f>MAX(E935,$C$837)</f>
        <v>2000</v>
      </c>
      <c r="D935" s="103" t="b">
        <f>IF(AND('AES Indiana Bill Calc.'!$D$17="HL1",'AES Indiana Bill Calc.'!$D$18="Yes 100%",'AES Indiana Bill Calc.'!$D$20="Yes 2025"),'AES Indiana Bill Calc.'!$D$22)</f>
        <v>0</v>
      </c>
      <c r="E935" s="103" t="b">
        <f>IF(AND('AES Indiana Bill Calc.'!$D$17="HL1",'AES Indiana Bill Calc.'!$D$18="Yes 100%",'AES Indiana Bill Calc.'!$D$20="Yes 2025"),'AES Indiana Bill Calc.'!$D$21)</f>
        <v>0</v>
      </c>
      <c r="F935" s="36" t="s">
        <v>332</v>
      </c>
      <c r="G935" s="92" t="e">
        <f>SUM(J935:M935,R935:AA935)</f>
        <v>#N/A</v>
      </c>
      <c r="H935" s="19" t="e">
        <f>IF(ISBLANK(B935),0,+#REF!/B935)</f>
        <v>#REF!</v>
      </c>
      <c r="I935" s="19"/>
      <c r="J935" s="88">
        <f>IF(ISBLANK(B935),0,+J$840)</f>
        <v>130</v>
      </c>
      <c r="K935" s="42">
        <f>ROUND($B935*K$840,2)</f>
        <v>-0.04</v>
      </c>
      <c r="L935" s="16">
        <f>IF(ISBLANK($C935),0,IF($C935&lt;$C$841,ROUND($C$841*$L$840,2),IF($C935&gt;L$841,ROUND(L$841*L$840,2),ROUND($C935*L$840,2))))</f>
        <v>55900</v>
      </c>
      <c r="M935" s="17">
        <f>IF($C935&gt;L$841,ROUND(($C935-L$841)*M$840,2),0)</f>
        <v>0</v>
      </c>
      <c r="N935" s="17">
        <f>K935</f>
        <v>-0.04</v>
      </c>
      <c r="O935" s="42"/>
      <c r="P935" s="42"/>
      <c r="Q935" s="17">
        <f>SUM(L935:M935)</f>
        <v>55900</v>
      </c>
      <c r="R935" s="82" t="e">
        <f>ROUND(SUM(K935:M935)*(R934-1),2)</f>
        <v>#N/A</v>
      </c>
      <c r="S935" s="42">
        <f>ROUND($B935*S$840*S934,2)</f>
        <v>0</v>
      </c>
      <c r="T935" s="42">
        <f>ROUND($B935*T$840,2)</f>
        <v>0</v>
      </c>
      <c r="U935" s="42">
        <f>ROUND($B935*U$840,2)</f>
        <v>0</v>
      </c>
      <c r="V935" s="42">
        <f>ROUND($B935*V$839,2)</f>
        <v>-0.01</v>
      </c>
      <c r="W935" s="42">
        <f>ROUND($B935*W$840,2)</f>
        <v>0</v>
      </c>
      <c r="X935" s="42">
        <f>ROUND($B935*X$840,2)</f>
        <v>-0.01</v>
      </c>
      <c r="Y935" s="42">
        <f>ROUND($B935*Y$840,2)</f>
        <v>0</v>
      </c>
      <c r="Z935" s="42">
        <f>ROUND($B935*Z$840,2)</f>
        <v>0</v>
      </c>
      <c r="AA935" s="42">
        <f>ROUND($B935*AA$840,2)</f>
        <v>0</v>
      </c>
      <c r="AB935" s="19">
        <f>SUM(U914:AA914)</f>
        <v>0</v>
      </c>
      <c r="AC935" s="94" t="str">
        <f>+F935</f>
        <v>HL15</v>
      </c>
    </row>
    <row r="936" spans="1:29" x14ac:dyDescent="0.2">
      <c r="A936" s="9"/>
      <c r="B936" s="97">
        <v>-1</v>
      </c>
      <c r="D936" s="41"/>
      <c r="E936" s="80"/>
      <c r="F936" s="36"/>
      <c r="G936" s="98"/>
      <c r="H936" s="19"/>
      <c r="I936" s="19"/>
      <c r="J936" s="88"/>
      <c r="K936" s="42"/>
      <c r="L936" s="82"/>
      <c r="M936" s="42"/>
      <c r="N936" s="42"/>
      <c r="O936" s="42"/>
      <c r="P936" s="42"/>
      <c r="Q936" s="42"/>
      <c r="R936" s="38" t="e">
        <f>VLOOKUP((D937),'Pwr Factor'!$A$1:$B$52,2)</f>
        <v>#N/A</v>
      </c>
      <c r="S936" s="50">
        <v>0.5</v>
      </c>
      <c r="T936" s="42"/>
      <c r="U936" s="42"/>
      <c r="V936" s="42"/>
      <c r="W936" s="42"/>
      <c r="X936" s="42"/>
      <c r="Y936" s="42"/>
      <c r="Z936" s="42"/>
      <c r="AA936" s="42"/>
      <c r="AB936" s="19"/>
      <c r="AC936" s="94"/>
    </row>
    <row r="937" spans="1:29" x14ac:dyDescent="0.2">
      <c r="A937" s="1" t="s">
        <v>149</v>
      </c>
      <c r="B937" s="103">
        <f>IF(AND('AES Indiana Bill Calc.'!$D$17="HL1",'AES Indiana Bill Calc.'!$D$18="Yes 50%",'AES Indiana Bill Calc.'!$D$20="Yes 2025"),'AES Indiana Bill Calc.'!$D$19,-1)</f>
        <v>-1</v>
      </c>
      <c r="C937" s="103">
        <f>MAX(E937,$C$837)</f>
        <v>2000</v>
      </c>
      <c r="D937" s="103" t="b">
        <f>IF(AND('AES Indiana Bill Calc.'!$D$17="HL1",'AES Indiana Bill Calc.'!$D$18="Yes 50%",'AES Indiana Bill Calc.'!$D$20="Yes 2025"),'AES Indiana Bill Calc.'!$D$22)</f>
        <v>0</v>
      </c>
      <c r="E937" s="103" t="b">
        <f>IF(AND('AES Indiana Bill Calc.'!$D$17="HL1",'AES Indiana Bill Calc.'!$D$18="Yes 50%",'AES Indiana Bill Calc.'!$D$20="Yes 2025"),'AES Indiana Bill Calc.'!$D$21)</f>
        <v>0</v>
      </c>
      <c r="F937" s="36" t="s">
        <v>332</v>
      </c>
      <c r="G937" s="92" t="e">
        <f>SUM(J937:M937,R937:AA937)</f>
        <v>#N/A</v>
      </c>
      <c r="H937" s="19" t="e">
        <f>IF(ISBLANK(B937),0,+#REF!/B937)</f>
        <v>#REF!</v>
      </c>
      <c r="I937" s="19"/>
      <c r="J937" s="88">
        <f>IF(ISBLANK(B937),0,+J$840)</f>
        <v>130</v>
      </c>
      <c r="K937" s="42">
        <f>ROUND($B937*K$840,2)</f>
        <v>-0.04</v>
      </c>
      <c r="L937" s="16">
        <f>IF(ISBLANK($C937),0,IF($C937&lt;$C$841,ROUND($C$841*$L$840,2),IF($C937&gt;L$841,ROUND(L$841*L$840,2),ROUND($C937*L$840,2))))</f>
        <v>55900</v>
      </c>
      <c r="M937" s="17">
        <f>IF($C937&gt;L$841,ROUND(($C937-L$841)*M$840,2),0)</f>
        <v>0</v>
      </c>
      <c r="N937" s="17">
        <f>K937</f>
        <v>-0.04</v>
      </c>
      <c r="O937" s="42"/>
      <c r="P937" s="42"/>
      <c r="Q937" s="17">
        <f>SUM(L937:M937)</f>
        <v>55900</v>
      </c>
      <c r="R937" s="82" t="e">
        <f>ROUND(SUM(K937:M937)*(R936-1),2)</f>
        <v>#N/A</v>
      </c>
      <c r="S937" s="42">
        <f>ROUND($B937*S$840*S936,2)</f>
        <v>0</v>
      </c>
      <c r="T937" s="42">
        <f>ROUND($B937*T$840,2)</f>
        <v>0</v>
      </c>
      <c r="U937" s="42">
        <f>ROUND($B937*U$840,2)</f>
        <v>0</v>
      </c>
      <c r="V937" s="42">
        <f>ROUND($B937*V$839,2)</f>
        <v>-0.01</v>
      </c>
      <c r="W937" s="42">
        <f>ROUND($B937*W$840,2)</f>
        <v>0</v>
      </c>
      <c r="X937" s="42">
        <f>ROUND($B937*X$840,2)</f>
        <v>-0.01</v>
      </c>
      <c r="Y937" s="42">
        <f>ROUND($B937*Y$840,2)</f>
        <v>0</v>
      </c>
      <c r="Z937" s="42">
        <f>ROUND($B937*Z$840,2)</f>
        <v>0</v>
      </c>
      <c r="AA937" s="42">
        <f>ROUND($B937*AA$840,2)</f>
        <v>0</v>
      </c>
      <c r="AB937" s="19">
        <f>SUM(U916:AA916)</f>
        <v>0</v>
      </c>
      <c r="AC937" s="94" t="str">
        <f>+F937</f>
        <v>HL15</v>
      </c>
    </row>
    <row r="938" spans="1:29" x14ac:dyDescent="0.2">
      <c r="A938" s="9"/>
      <c r="B938" s="97">
        <v>-1</v>
      </c>
      <c r="D938" s="41"/>
      <c r="E938" s="80"/>
      <c r="F938" s="36"/>
      <c r="G938" s="98"/>
      <c r="H938" s="19"/>
      <c r="I938" s="19"/>
      <c r="J938" s="88"/>
      <c r="K938" s="42"/>
      <c r="L938" s="82"/>
      <c r="M938" s="42"/>
      <c r="N938" s="42"/>
      <c r="O938" s="42"/>
      <c r="P938" s="42"/>
      <c r="Q938" s="42"/>
      <c r="R938" s="38" t="e">
        <f>VLOOKUP((D939),'Pwr Factor'!$A$1:$B$52,2)</f>
        <v>#N/A</v>
      </c>
      <c r="S938" s="50">
        <v>0.25</v>
      </c>
      <c r="T938" s="42"/>
      <c r="U938" s="42"/>
      <c r="V938" s="42"/>
      <c r="W938" s="42"/>
      <c r="X938" s="42"/>
      <c r="Y938" s="42"/>
      <c r="Z938" s="42"/>
      <c r="AA938" s="42"/>
      <c r="AB938" s="19"/>
      <c r="AC938" s="94"/>
    </row>
    <row r="939" spans="1:29" x14ac:dyDescent="0.2">
      <c r="A939" s="1" t="s">
        <v>150</v>
      </c>
      <c r="B939" s="103">
        <f>IF(AND('AES Indiana Bill Calc.'!$D$17="HL1",'AES Indiana Bill Calc.'!$D$18="Yes 25%",'AES Indiana Bill Calc.'!$D$20="Yes 2025"),'AES Indiana Bill Calc.'!$D$19,-1)</f>
        <v>-1</v>
      </c>
      <c r="C939" s="103">
        <f>MAX(E939,$C$837)</f>
        <v>2000</v>
      </c>
      <c r="D939" s="103" t="b">
        <f>IF(AND('AES Indiana Bill Calc.'!$D$17="HL1",'AES Indiana Bill Calc.'!$D$18="Yes 25%",'AES Indiana Bill Calc.'!$D$20="Yes 2025"),'AES Indiana Bill Calc.'!$D$22)</f>
        <v>0</v>
      </c>
      <c r="E939" s="103" t="b">
        <f>IF(AND('AES Indiana Bill Calc.'!$D$17="HL1",'AES Indiana Bill Calc.'!$D$18="Yes 25%",'AES Indiana Bill Calc.'!$D$20="Yes 2025"),'AES Indiana Bill Calc.'!$D$21)</f>
        <v>0</v>
      </c>
      <c r="F939" s="36" t="s">
        <v>332</v>
      </c>
      <c r="G939" s="92" t="e">
        <f>SUM(J939:M939,R939:AA939)</f>
        <v>#N/A</v>
      </c>
      <c r="H939" s="19" t="e">
        <f>IF(ISBLANK(B939),0,+#REF!/B939)</f>
        <v>#REF!</v>
      </c>
      <c r="I939" s="19"/>
      <c r="J939" s="88">
        <f>IF(ISBLANK(B939),0,+J$840)</f>
        <v>130</v>
      </c>
      <c r="K939" s="42">
        <f>ROUND($B939*K$840,2)</f>
        <v>-0.04</v>
      </c>
      <c r="L939" s="16">
        <f>IF(ISBLANK($C939),0,IF($C939&lt;$C$841,ROUND($C$841*$L$840,2),IF($C939&gt;L$841,ROUND(L$841*L$840,2),ROUND($C939*L$840,2))))</f>
        <v>55900</v>
      </c>
      <c r="M939" s="17">
        <f>IF($C939&gt;L$841,ROUND(($C939-L$841)*M$840,2),0)</f>
        <v>0</v>
      </c>
      <c r="N939" s="17">
        <f>K939</f>
        <v>-0.04</v>
      </c>
      <c r="O939" s="42"/>
      <c r="P939" s="42"/>
      <c r="Q939" s="17">
        <f>SUM(L939:M939)</f>
        <v>55900</v>
      </c>
      <c r="R939" s="82" t="e">
        <f>ROUND(SUM(K939:M939)*(R938-1),2)</f>
        <v>#N/A</v>
      </c>
      <c r="S939" s="42">
        <f>ROUND($B939*S$840*S938,2)</f>
        <v>0</v>
      </c>
      <c r="T939" s="42">
        <f>ROUND($B939*T$840,2)</f>
        <v>0</v>
      </c>
      <c r="U939" s="42">
        <f>ROUND($B939*U$840,2)</f>
        <v>0</v>
      </c>
      <c r="V939" s="42">
        <f>ROUND($B939*V$839,2)</f>
        <v>-0.01</v>
      </c>
      <c r="W939" s="42">
        <f>ROUND($B939*W$840,2)</f>
        <v>0</v>
      </c>
      <c r="X939" s="42">
        <f>ROUND($B939*X$840,2)</f>
        <v>-0.01</v>
      </c>
      <c r="Y939" s="42">
        <f>ROUND($B939*Y$840,2)</f>
        <v>0</v>
      </c>
      <c r="Z939" s="42">
        <f>ROUND($B939*Z$840,2)</f>
        <v>0</v>
      </c>
      <c r="AA939" s="42">
        <f>ROUND($B939*AA$840,2)</f>
        <v>0</v>
      </c>
      <c r="AB939" s="19">
        <f>SUM(U918:AA918)</f>
        <v>0</v>
      </c>
      <c r="AC939" s="94" t="str">
        <f>+F939</f>
        <v>HL15</v>
      </c>
    </row>
    <row r="940" spans="1:29" x14ac:dyDescent="0.2">
      <c r="A940" s="9"/>
      <c r="B940" s="97">
        <v>-1</v>
      </c>
      <c r="D940" s="41"/>
      <c r="E940" s="80"/>
      <c r="F940" s="36"/>
      <c r="G940" s="98"/>
      <c r="H940" s="19"/>
      <c r="I940" s="19"/>
      <c r="J940" s="88"/>
      <c r="K940" s="42"/>
      <c r="L940" s="82"/>
      <c r="M940" s="42"/>
      <c r="N940" s="42"/>
      <c r="O940" s="42"/>
      <c r="P940" s="42"/>
      <c r="Q940" s="42"/>
      <c r="R940" s="38" t="e">
        <f>VLOOKUP((D941),'Pwr Factor'!$A$1:$B$52,2)</f>
        <v>#N/A</v>
      </c>
      <c r="S940" s="50">
        <v>0.1</v>
      </c>
      <c r="T940" s="42"/>
      <c r="U940" s="42"/>
      <c r="V940" s="42"/>
      <c r="W940" s="42"/>
      <c r="X940" s="42"/>
      <c r="Y940" s="42"/>
      <c r="Z940" s="42"/>
      <c r="AA940" s="42"/>
      <c r="AB940" s="19"/>
      <c r="AC940" s="94"/>
    </row>
    <row r="941" spans="1:29" x14ac:dyDescent="0.2">
      <c r="A941" s="1" t="s">
        <v>164</v>
      </c>
      <c r="B941" s="103">
        <f>IF(AND('AES Indiana Bill Calc.'!$D$17="HL1",'AES Indiana Bill Calc.'!$D$18="Yes 10%",'AES Indiana Bill Calc.'!$D$20="Yes 2025"),'AES Indiana Bill Calc.'!$D$19,-1)</f>
        <v>-1</v>
      </c>
      <c r="C941" s="103">
        <f>MAX(E941,$C$837)</f>
        <v>2000</v>
      </c>
      <c r="D941" s="103" t="b">
        <f>IF(AND('AES Indiana Bill Calc.'!$D$17="HL1",'AES Indiana Bill Calc.'!$D$18="Yes 10%",'AES Indiana Bill Calc.'!$D$20="Yes 2025"),'AES Indiana Bill Calc.'!$D$22)</f>
        <v>0</v>
      </c>
      <c r="E941" s="103" t="b">
        <f>IF(AND('AES Indiana Bill Calc.'!$D$17="HL1",'AES Indiana Bill Calc.'!$D$18="Yes 10%",'AES Indiana Bill Calc.'!$D$20="Yes 2025"),'AES Indiana Bill Calc.'!$D$21)</f>
        <v>0</v>
      </c>
      <c r="F941" s="36" t="s">
        <v>332</v>
      </c>
      <c r="G941" s="92" t="e">
        <f>SUM(J941:M941,R941:AA941)</f>
        <v>#N/A</v>
      </c>
      <c r="H941" s="19" t="e">
        <f>IF(ISBLANK(B941),0,+#REF!/B941)</f>
        <v>#REF!</v>
      </c>
      <c r="I941" s="19"/>
      <c r="J941" s="88">
        <f>IF(ISBLANK(B941),0,+J$840)</f>
        <v>130</v>
      </c>
      <c r="K941" s="42">
        <f>ROUND($B941*K$840,2)</f>
        <v>-0.04</v>
      </c>
      <c r="L941" s="16">
        <f>IF(ISBLANK($C941),0,IF($C941&lt;$C$841,ROUND($C$841*$L$840,2),IF($C941&gt;L$841,ROUND(L$841*L$840,2),ROUND($C941*L$840,2))))</f>
        <v>55900</v>
      </c>
      <c r="M941" s="17">
        <f>IF($C941&gt;L$841,ROUND(($C941-L$841)*M$840,2),0)</f>
        <v>0</v>
      </c>
      <c r="N941" s="17">
        <f>K941</f>
        <v>-0.04</v>
      </c>
      <c r="O941" s="42"/>
      <c r="P941" s="42"/>
      <c r="Q941" s="17">
        <f>SUM(L941:M941)</f>
        <v>55900</v>
      </c>
      <c r="R941" s="82" t="e">
        <f>ROUND(SUM(K941:M941)*(R940-1),2)</f>
        <v>#N/A</v>
      </c>
      <c r="S941" s="42">
        <f>ROUND($B941*S$840*S940,2)</f>
        <v>0</v>
      </c>
      <c r="T941" s="42">
        <f>ROUND($B941*T$840,2)</f>
        <v>0</v>
      </c>
      <c r="U941" s="42">
        <f>ROUND($B941*U$840,2)</f>
        <v>0</v>
      </c>
      <c r="V941" s="42">
        <f>ROUND($B941*V$839,2)</f>
        <v>-0.01</v>
      </c>
      <c r="W941" s="42">
        <f>ROUND($B941*W$840,2)</f>
        <v>0</v>
      </c>
      <c r="X941" s="42">
        <f>ROUND($B941*X$840,2)</f>
        <v>-0.01</v>
      </c>
      <c r="Y941" s="42">
        <f>ROUND($B941*Y$840,2)</f>
        <v>0</v>
      </c>
      <c r="Z941" s="42">
        <f>ROUND($B941*Z$840,2)</f>
        <v>0</v>
      </c>
      <c r="AA941" s="42">
        <f>ROUND($B941*AA$840,2)</f>
        <v>0</v>
      </c>
      <c r="AB941" s="19">
        <f>SUM(U920:AA920)</f>
        <v>0</v>
      </c>
      <c r="AC941" s="94" t="str">
        <f>+F941</f>
        <v>HL15</v>
      </c>
    </row>
    <row r="942" spans="1:29" x14ac:dyDescent="0.2">
      <c r="A942" s="9"/>
      <c r="B942" s="97">
        <v>-1</v>
      </c>
      <c r="D942" s="41"/>
      <c r="E942" s="80"/>
      <c r="F942" s="36"/>
      <c r="G942" s="98"/>
      <c r="H942" s="19"/>
      <c r="I942" s="19"/>
      <c r="J942" s="88"/>
      <c r="K942" s="42"/>
      <c r="L942" s="82"/>
      <c r="M942" s="42"/>
      <c r="N942" s="42"/>
      <c r="O942" s="42"/>
      <c r="P942" s="42"/>
      <c r="Q942" s="42"/>
      <c r="R942" s="38" t="e">
        <f>VLOOKUP((D943),'Pwr Factor'!$A$1:$B$52,2)</f>
        <v>#N/A</v>
      </c>
      <c r="S942" s="50">
        <v>0</v>
      </c>
      <c r="T942" s="42"/>
      <c r="U942" s="42"/>
      <c r="V942" s="42"/>
      <c r="W942" s="42"/>
      <c r="X942" s="42"/>
      <c r="Y942" s="42"/>
      <c r="Z942" s="42"/>
      <c r="AA942" s="42"/>
      <c r="AB942" s="19"/>
      <c r="AC942" s="94"/>
    </row>
    <row r="943" spans="1:29" x14ac:dyDescent="0.2">
      <c r="A943" s="1" t="s">
        <v>147</v>
      </c>
      <c r="B943" s="103">
        <f>IF(AND('AES Indiana Bill Calc.'!$D$17="HL1",'AES Indiana Bill Calc.'!$D$18="No",'AES Indiana Bill Calc.'!$D$20="Yes 2025"),'AES Indiana Bill Calc.'!$D$19,-1)</f>
        <v>-1</v>
      </c>
      <c r="C943" s="103">
        <f>MAX(E943,$C$837)</f>
        <v>2000</v>
      </c>
      <c r="D943" s="103" t="b">
        <f>IF(AND('AES Indiana Bill Calc.'!$D$17="HL1",'AES Indiana Bill Calc.'!$D$18="No",'AES Indiana Bill Calc.'!$D$20="Yes 2025"),'AES Indiana Bill Calc.'!$D$22)</f>
        <v>0</v>
      </c>
      <c r="E943" s="103" t="b">
        <f>IF(AND('AES Indiana Bill Calc.'!$D$17="HL1",'AES Indiana Bill Calc.'!$D$18="No",'AES Indiana Bill Calc.'!$D$20="Yes 2025"),'AES Indiana Bill Calc.'!$D$21)</f>
        <v>0</v>
      </c>
      <c r="F943" s="36" t="s">
        <v>332</v>
      </c>
      <c r="G943" s="92" t="e">
        <f>SUM(J943:M943,R943:AA943)</f>
        <v>#N/A</v>
      </c>
      <c r="H943" s="19" t="e">
        <f>IF(ISBLANK(B943),0,+#REF!/B943)</f>
        <v>#REF!</v>
      </c>
      <c r="I943" s="19"/>
      <c r="J943" s="88">
        <f>IF(ISBLANK(B943),0,+J$840)</f>
        <v>130</v>
      </c>
      <c r="K943" s="42">
        <f>ROUND($B943*K$840,2)</f>
        <v>-0.04</v>
      </c>
      <c r="L943" s="16">
        <f>IF(ISBLANK($C943),0,IF($C943&lt;$C$841,ROUND($C$841*$L$840,2),IF($C943&gt;L$841,ROUND(L$841*L$840,2),ROUND($C943*L$840,2))))</f>
        <v>55900</v>
      </c>
      <c r="M943" s="17">
        <f>IF($C943&gt;L$841,ROUND(($C943-L$841)*M$840,2),0)</f>
        <v>0</v>
      </c>
      <c r="N943" s="17">
        <f>K943</f>
        <v>-0.04</v>
      </c>
      <c r="O943" s="42"/>
      <c r="P943" s="42"/>
      <c r="Q943" s="17">
        <f>SUM(L943:M943)</f>
        <v>55900</v>
      </c>
      <c r="R943" s="82" t="e">
        <f>ROUND(SUM(K943:M943)*(R942-1),2)</f>
        <v>#N/A</v>
      </c>
      <c r="S943" s="42">
        <f>ROUND($B943*S$840*S942,2)</f>
        <v>0</v>
      </c>
      <c r="T943" s="42">
        <f>ROUND($B943*T$840,2)</f>
        <v>0</v>
      </c>
      <c r="U943" s="42">
        <f>ROUND($B943*U$840,2)</f>
        <v>0</v>
      </c>
      <c r="V943" s="42">
        <f>ROUND($B943*V$839,2)</f>
        <v>-0.01</v>
      </c>
      <c r="W943" s="42">
        <f>ROUND($B943*W$840,2)</f>
        <v>0</v>
      </c>
      <c r="X943" s="42">
        <f>ROUND($B943*X$840,2)</f>
        <v>-0.01</v>
      </c>
      <c r="Y943" s="42">
        <f>ROUND($B943*Y$840,2)</f>
        <v>0</v>
      </c>
      <c r="Z943" s="42">
        <f>ROUND($B943*Z$840,2)</f>
        <v>0</v>
      </c>
      <c r="AA943" s="42">
        <f>ROUND($B943*AA$840,2)</f>
        <v>0</v>
      </c>
      <c r="AB943" s="19">
        <f>SUM(U922:AA922)</f>
        <v>0</v>
      </c>
      <c r="AC943" s="94" t="str">
        <f>+F943</f>
        <v>HL15</v>
      </c>
    </row>
    <row r="944" spans="1:29" x14ac:dyDescent="0.2">
      <c r="A944" s="53"/>
      <c r="B944" s="103">
        <v>-1</v>
      </c>
      <c r="C944" s="9"/>
      <c r="D944" s="8"/>
      <c r="F944" s="36"/>
      <c r="G944" s="42"/>
      <c r="H944" s="19"/>
      <c r="J944" s="88"/>
      <c r="K944" s="42"/>
      <c r="L944" s="82"/>
      <c r="M944" s="42"/>
      <c r="N944" s="42"/>
      <c r="O944" s="42"/>
      <c r="P944" s="42"/>
      <c r="Q944" s="42"/>
      <c r="R944" s="82"/>
      <c r="S944" s="42"/>
      <c r="T944" s="42"/>
      <c r="U944" s="42"/>
      <c r="V944" s="41"/>
      <c r="W944" s="42"/>
      <c r="X944" s="42"/>
      <c r="Y944" s="42"/>
      <c r="Z944" s="42"/>
      <c r="AA944" s="42"/>
      <c r="AB944" s="19"/>
      <c r="AC944" s="67"/>
    </row>
    <row r="945" spans="1:28" x14ac:dyDescent="0.2">
      <c r="B945" s="103">
        <v>-1</v>
      </c>
      <c r="C945" s="9"/>
      <c r="D945" s="8"/>
      <c r="R945">
        <v>6571.2</v>
      </c>
      <c r="V945" s="19">
        <f>+T8</f>
        <v>0</v>
      </c>
      <c r="W945" s="6" t="s">
        <v>158</v>
      </c>
      <c r="AB945" s="19">
        <f>+AB$956-V$956+V945</f>
        <v>1.1292E-2</v>
      </c>
    </row>
    <row r="946" spans="1:28" x14ac:dyDescent="0.2">
      <c r="B946" s="103">
        <v>-1</v>
      </c>
      <c r="C946" s="9"/>
      <c r="D946" s="8"/>
      <c r="L946" t="s">
        <v>193</v>
      </c>
      <c r="M946" t="s">
        <v>193</v>
      </c>
      <c r="S946" s="6"/>
      <c r="T946" s="6"/>
      <c r="U946" s="6"/>
      <c r="V946" s="27">
        <f>+$T$12</f>
        <v>0</v>
      </c>
      <c r="W946" s="6" t="s">
        <v>154</v>
      </c>
      <c r="X946" s="6"/>
      <c r="Y946" s="6"/>
      <c r="Z946" s="6"/>
      <c r="AA946" s="6"/>
      <c r="AB946" s="19" t="e">
        <f>+AB$956-V$956+#REF!</f>
        <v>#REF!</v>
      </c>
    </row>
    <row r="947" spans="1:28" x14ac:dyDescent="0.2">
      <c r="B947" s="103">
        <v>-1</v>
      </c>
      <c r="C947" s="9"/>
      <c r="D947" s="8"/>
      <c r="S947" s="6"/>
      <c r="T947" s="6"/>
      <c r="U947" s="6"/>
      <c r="V947" s="27">
        <f>+$T$14</f>
        <v>0</v>
      </c>
      <c r="W947" s="6" t="s">
        <v>155</v>
      </c>
      <c r="X947" s="6"/>
      <c r="Y947" s="6"/>
      <c r="Z947" s="6"/>
      <c r="AA947" s="6"/>
      <c r="AB947" s="19">
        <f>+AB$956-V$956+V946</f>
        <v>1.1292E-2</v>
      </c>
    </row>
    <row r="948" spans="1:28" x14ac:dyDescent="0.2">
      <c r="B948" s="103">
        <v>-1</v>
      </c>
      <c r="C948" s="9"/>
      <c r="D948" s="8"/>
      <c r="S948" s="6"/>
      <c r="T948" s="6"/>
      <c r="U948" s="6"/>
      <c r="V948" s="27">
        <f>$T$16</f>
        <v>1.18E-4</v>
      </c>
      <c r="W948" s="6" t="s">
        <v>156</v>
      </c>
      <c r="X948" s="6"/>
      <c r="Y948" s="6"/>
      <c r="Z948" s="6"/>
      <c r="AA948" s="6"/>
      <c r="AB948" s="19"/>
    </row>
    <row r="949" spans="1:28" x14ac:dyDescent="0.2">
      <c r="B949" s="103">
        <v>-1</v>
      </c>
      <c r="C949" s="9"/>
      <c r="D949" s="8"/>
      <c r="S949" s="6"/>
      <c r="T949" s="6"/>
      <c r="U949" s="6"/>
      <c r="V949" s="27">
        <f>$T$19</f>
        <v>4.55E-4</v>
      </c>
      <c r="W949" s="6" t="s">
        <v>157</v>
      </c>
      <c r="X949" s="6"/>
      <c r="Y949" s="6"/>
      <c r="Z949" s="6"/>
      <c r="AA949" s="6"/>
      <c r="AB949" s="19"/>
    </row>
    <row r="950" spans="1:28" x14ac:dyDescent="0.2">
      <c r="B950" s="103">
        <v>-1</v>
      </c>
      <c r="C950" s="9"/>
      <c r="D950" s="8"/>
      <c r="S950" s="6"/>
      <c r="T950" s="6"/>
      <c r="U950" s="6"/>
      <c r="V950" s="27">
        <f>$T$21</f>
        <v>9.41E-4</v>
      </c>
      <c r="W950" s="6" t="s">
        <v>158</v>
      </c>
      <c r="X950" s="6"/>
      <c r="Y950" s="6"/>
      <c r="Z950" s="6"/>
      <c r="AA950" s="6"/>
      <c r="AB950" s="19"/>
    </row>
    <row r="951" spans="1:28" x14ac:dyDescent="0.2">
      <c r="B951" s="103">
        <v>-1</v>
      </c>
      <c r="C951" s="9"/>
      <c r="D951" s="8"/>
      <c r="S951" s="6"/>
      <c r="T951" s="6"/>
      <c r="U951" s="6"/>
      <c r="V951" s="27">
        <f>$T$23</f>
        <v>-1.0000000000000001E-5</v>
      </c>
      <c r="W951" s="6" t="s">
        <v>159</v>
      </c>
      <c r="X951" s="6"/>
      <c r="Y951" s="6"/>
      <c r="Z951" s="6"/>
      <c r="AA951" s="6"/>
      <c r="AB951" s="19"/>
    </row>
    <row r="952" spans="1:28" x14ac:dyDescent="0.2">
      <c r="B952" s="103">
        <v>-1</v>
      </c>
      <c r="C952" s="9"/>
      <c r="D952" s="8"/>
      <c r="S952" s="6"/>
      <c r="T952" s="6"/>
      <c r="U952" s="6"/>
      <c r="V952" s="27">
        <f>$T$25</f>
        <v>0</v>
      </c>
      <c r="W952" s="6" t="s">
        <v>160</v>
      </c>
      <c r="X952" s="6"/>
      <c r="Y952" s="6"/>
      <c r="Z952" s="6"/>
      <c r="AA952" s="6"/>
      <c r="AB952" s="19"/>
    </row>
    <row r="953" spans="1:28" x14ac:dyDescent="0.2">
      <c r="B953" s="103">
        <v>-1</v>
      </c>
      <c r="C953" s="9"/>
      <c r="D953" s="8"/>
      <c r="S953" s="6"/>
      <c r="T953" s="6"/>
      <c r="U953" s="6"/>
      <c r="V953" s="19">
        <f>T27</f>
        <v>0</v>
      </c>
      <c r="W953" s="6" t="s">
        <v>161</v>
      </c>
      <c r="X953" s="6"/>
      <c r="Y953" s="6"/>
      <c r="Z953" s="6"/>
      <c r="AA953" s="6"/>
      <c r="AB953" s="19"/>
    </row>
    <row r="954" spans="1:28" x14ac:dyDescent="0.2">
      <c r="B954" s="103">
        <v>-1</v>
      </c>
      <c r="C954" s="9"/>
      <c r="D954" s="8"/>
      <c r="S954" s="6"/>
      <c r="T954" s="6"/>
      <c r="U954" s="6"/>
      <c r="V954" s="19">
        <f>T29</f>
        <v>7.4390000000000003E-3</v>
      </c>
      <c r="W954" s="6" t="s">
        <v>296</v>
      </c>
      <c r="X954" s="6"/>
      <c r="Y954" s="6"/>
      <c r="Z954" s="6"/>
      <c r="AA954" s="6"/>
      <c r="AB954" s="19"/>
    </row>
    <row r="955" spans="1:28" x14ac:dyDescent="0.2">
      <c r="B955" s="103">
        <v>-1</v>
      </c>
      <c r="C955" s="9"/>
      <c r="D955" s="8"/>
      <c r="S955" s="6"/>
      <c r="T955" s="6"/>
      <c r="U955" s="6"/>
      <c r="V955" s="19">
        <f>T31</f>
        <v>8.4290000000000007E-3</v>
      </c>
      <c r="W955" s="6" t="s">
        <v>172</v>
      </c>
      <c r="X955" s="6"/>
      <c r="Y955" s="6"/>
      <c r="Z955" s="6"/>
      <c r="AA955" s="6"/>
      <c r="AB955" s="19"/>
    </row>
    <row r="956" spans="1:28" x14ac:dyDescent="0.2">
      <c r="B956" s="103">
        <v>-1</v>
      </c>
      <c r="C956" s="9"/>
      <c r="D956" s="8"/>
      <c r="F956" s="70"/>
      <c r="G956" s="70"/>
      <c r="H956" s="70"/>
      <c r="I956" s="70"/>
      <c r="J956" s="159">
        <v>215</v>
      </c>
      <c r="K956" s="160">
        <v>4.0410000000000001E-2</v>
      </c>
      <c r="L956" s="159">
        <v>25</v>
      </c>
      <c r="M956" s="159">
        <v>25</v>
      </c>
      <c r="N956" s="72"/>
      <c r="O956" s="72"/>
      <c r="P956" s="72"/>
      <c r="Q956" s="72"/>
      <c r="R956" s="5"/>
      <c r="S956" s="27">
        <f>+S724</f>
        <v>1.8E-3</v>
      </c>
      <c r="T956" s="27">
        <f>+T724</f>
        <v>3.9020000000000001E-3</v>
      </c>
      <c r="U956" s="27">
        <f>+$S$32</f>
        <v>1.305E-3</v>
      </c>
      <c r="V956" s="27">
        <f>+V724</f>
        <v>1.3795999999999999E-2</v>
      </c>
      <c r="W956" s="27">
        <f>+W724</f>
        <v>0</v>
      </c>
      <c r="X956" s="27">
        <f>+X840</f>
        <v>7.084E-3</v>
      </c>
      <c r="Y956" s="27">
        <f>+Y840</f>
        <v>-2.5599999999999999E-4</v>
      </c>
      <c r="Z956" s="27">
        <f>+Z840</f>
        <v>3.1589999999999999E-3</v>
      </c>
      <c r="AA956" s="27">
        <f>+AA840</f>
        <v>5.6300000000000002E-4</v>
      </c>
      <c r="AB956" s="19">
        <f>SUM(U956:Z956)</f>
        <v>2.5087999999999999E-2</v>
      </c>
    </row>
    <row r="957" spans="1:28" x14ac:dyDescent="0.2">
      <c r="A957" s="1"/>
      <c r="B957" s="103">
        <v>-1</v>
      </c>
      <c r="C957" s="9"/>
      <c r="D957" s="8"/>
      <c r="F957" s="70"/>
      <c r="G957" s="70"/>
      <c r="H957" s="70"/>
      <c r="I957" s="70"/>
      <c r="J957" s="70"/>
      <c r="K957" s="70"/>
      <c r="L957" s="73">
        <v>4000</v>
      </c>
      <c r="M957" s="70"/>
      <c r="N957" s="70"/>
      <c r="O957" s="70"/>
      <c r="P957" s="70"/>
      <c r="Q957" s="70"/>
    </row>
    <row r="958" spans="1:28" x14ac:dyDescent="0.2">
      <c r="B958" s="103">
        <v>-1</v>
      </c>
      <c r="C958" s="9"/>
      <c r="D958" s="8"/>
      <c r="F958" s="12"/>
      <c r="J958" s="12" t="s">
        <v>137</v>
      </c>
      <c r="K958" s="12" t="s">
        <v>197</v>
      </c>
      <c r="L958" s="258" t="s">
        <v>30</v>
      </c>
      <c r="M958" s="258"/>
      <c r="N958" s="12"/>
      <c r="O958" s="12"/>
      <c r="P958" s="12"/>
      <c r="Q958" s="142" t="s">
        <v>173</v>
      </c>
      <c r="R958" s="12" t="s">
        <v>196</v>
      </c>
      <c r="S958" s="12">
        <v>21</v>
      </c>
      <c r="T958" s="12">
        <v>6</v>
      </c>
      <c r="U958" s="12">
        <v>3</v>
      </c>
      <c r="V958" s="12">
        <v>22</v>
      </c>
      <c r="W958" s="12">
        <v>13</v>
      </c>
      <c r="X958" s="12">
        <v>20</v>
      </c>
      <c r="Y958" s="12">
        <v>24</v>
      </c>
      <c r="Z958" s="12">
        <v>25</v>
      </c>
      <c r="AA958" s="12">
        <v>26</v>
      </c>
    </row>
    <row r="959" spans="1:28" x14ac:dyDescent="0.2">
      <c r="A959" s="13"/>
      <c r="B959" s="103">
        <v>-1</v>
      </c>
      <c r="C959" s="99" t="s">
        <v>209</v>
      </c>
      <c r="D959" s="100" t="s">
        <v>210</v>
      </c>
      <c r="E959" s="130" t="s">
        <v>199</v>
      </c>
      <c r="F959" s="13" t="s">
        <v>141</v>
      </c>
      <c r="G959" s="13" t="s">
        <v>142</v>
      </c>
      <c r="H959" s="13" t="s">
        <v>143</v>
      </c>
      <c r="J959" s="13" t="s">
        <v>144</v>
      </c>
      <c r="K959" s="13" t="s">
        <v>144</v>
      </c>
      <c r="L959" s="13" t="s">
        <v>232</v>
      </c>
      <c r="M959" s="13" t="s">
        <v>233</v>
      </c>
      <c r="N959" s="142" t="s">
        <v>138</v>
      </c>
      <c r="O959" s="13"/>
      <c r="P959" s="13"/>
      <c r="Q959" s="13"/>
      <c r="R959" s="13" t="s">
        <v>201</v>
      </c>
      <c r="S959" s="13" t="s">
        <v>106</v>
      </c>
      <c r="T959" s="13" t="s">
        <v>36</v>
      </c>
      <c r="U959" s="138" t="s">
        <v>38</v>
      </c>
      <c r="V959" s="13" t="s">
        <v>107</v>
      </c>
      <c r="W959" s="13" t="s">
        <v>108</v>
      </c>
      <c r="X959" s="13" t="s">
        <v>109</v>
      </c>
      <c r="Y959" s="138" t="s">
        <v>44</v>
      </c>
      <c r="Z959" s="138" t="s">
        <v>46</v>
      </c>
      <c r="AA959" s="138" t="s">
        <v>48</v>
      </c>
      <c r="AB959" s="66" t="s">
        <v>110</v>
      </c>
    </row>
    <row r="960" spans="1:28" x14ac:dyDescent="0.2">
      <c r="A960" s="48"/>
      <c r="B960" s="103">
        <v>-1</v>
      </c>
      <c r="D960" s="8"/>
      <c r="E960" s="9"/>
      <c r="F960" s="36"/>
      <c r="G960" s="12"/>
      <c r="H960" s="12"/>
      <c r="J960" s="12"/>
      <c r="K960" s="12"/>
      <c r="L960" s="12"/>
      <c r="M960" s="12"/>
      <c r="N960" s="12"/>
      <c r="O960" s="12"/>
      <c r="P960" s="12"/>
      <c r="Q960" s="12"/>
      <c r="R960" s="16" t="e">
        <f>VLOOKUP((D961),'Pwr Factor'!$A$1:$B$52,2)</f>
        <v>#N/A</v>
      </c>
      <c r="S960" s="50">
        <v>1</v>
      </c>
      <c r="T960" s="12"/>
      <c r="U960" s="12"/>
      <c r="V960" s="12"/>
      <c r="W960" s="12"/>
      <c r="X960" s="12"/>
      <c r="Y960" s="12"/>
      <c r="Z960" s="12"/>
      <c r="AA960" s="12"/>
    </row>
    <row r="961" spans="1:29" x14ac:dyDescent="0.2">
      <c r="A961" s="1" t="s">
        <v>148</v>
      </c>
      <c r="B961" s="103">
        <f>IF(AND('AES Indiana Bill Calc.'!$D$17="HL2",'AES Indiana Bill Calc.'!$D$18="Yes 100%",'AES Indiana Bill Calc.'!$D$20="No"),'AES Indiana Bill Calc.'!$D$19,-1)</f>
        <v>-1</v>
      </c>
      <c r="C961" s="103">
        <f>MAX(E961,$C$837)</f>
        <v>2000</v>
      </c>
      <c r="D961" s="103" t="b">
        <f>IF(AND('AES Indiana Bill Calc.'!$D$17="HL2",'AES Indiana Bill Calc.'!$D$18="Yes 100%",'AES Indiana Bill Calc.'!$D$20="No"),'AES Indiana Bill Calc.'!$D$22)</f>
        <v>0</v>
      </c>
      <c r="E961" s="103" t="b">
        <f>IF(AND('AES Indiana Bill Calc.'!$D$17="HL2",'AES Indiana Bill Calc.'!$D$18="Yes 100%",'AES Indiana Bill Calc.'!$D$20="No"),'AES Indiana Bill Calc.'!$D$21)</f>
        <v>0</v>
      </c>
      <c r="F961" s="36" t="s">
        <v>67</v>
      </c>
      <c r="G961" s="92" t="e">
        <f>SUM(J961:M961,R961:AA961)</f>
        <v>#N/A</v>
      </c>
      <c r="H961" s="19" t="e">
        <f>IF(ISBLANK(B961),0,+#REF!/B961)</f>
        <v>#REF!</v>
      </c>
      <c r="I961" s="150"/>
      <c r="J961" s="51">
        <f>IF(ISBLANK(B961),0,+J$956)</f>
        <v>215</v>
      </c>
      <c r="K961" s="17">
        <f>ROUND($B961*K$956,2)</f>
        <v>-0.04</v>
      </c>
      <c r="L961" s="17">
        <f>IF(ISBLANK($C961),0,IF($C961&lt;$C$957,ROUND($C$957*$L$956,2),IF($C961&gt;L$957,ROUND(L$957*L$956,2),ROUND($C961*L$956,2))))</f>
        <v>50000</v>
      </c>
      <c r="M961" s="17">
        <f>IF($C961&gt;L$957,ROUND(($C961-L$957)*M$956,2),0)</f>
        <v>0</v>
      </c>
      <c r="N961" s="17">
        <f>K961</f>
        <v>-0.04</v>
      </c>
      <c r="O961" s="17"/>
      <c r="P961" s="17"/>
      <c r="Q961" s="17">
        <f>SUM(L961:M961)</f>
        <v>50000</v>
      </c>
      <c r="R961" s="16" t="e">
        <f>ROUND(SUM(K961:M961)*(R960-1),2)</f>
        <v>#N/A</v>
      </c>
      <c r="S961" s="17">
        <f>ROUND($B961*S$956*S960,2)</f>
        <v>0</v>
      </c>
      <c r="T961" s="17">
        <f t="shared" ref="T961:AA961" si="56">ROUND($B961*T$956,2)</f>
        <v>0</v>
      </c>
      <c r="U961" s="17">
        <f t="shared" si="56"/>
        <v>0</v>
      </c>
      <c r="V961" s="8">
        <f t="shared" si="56"/>
        <v>-0.01</v>
      </c>
      <c r="W961" s="17">
        <f t="shared" si="56"/>
        <v>0</v>
      </c>
      <c r="X961" s="17">
        <f t="shared" si="56"/>
        <v>-0.01</v>
      </c>
      <c r="Y961" s="17">
        <f t="shared" si="56"/>
        <v>0</v>
      </c>
      <c r="Z961" s="17">
        <f t="shared" si="56"/>
        <v>0</v>
      </c>
      <c r="AA961" s="17">
        <f t="shared" si="56"/>
        <v>0</v>
      </c>
      <c r="AB961" s="19">
        <f>SUM(U956:AA956)</f>
        <v>2.5651E-2</v>
      </c>
      <c r="AC961" s="67" t="str">
        <f>+F961</f>
        <v>HL2</v>
      </c>
    </row>
    <row r="962" spans="1:29" x14ac:dyDescent="0.2">
      <c r="A962" s="9"/>
      <c r="B962" s="103">
        <v>-1</v>
      </c>
      <c r="D962" s="8"/>
      <c r="E962" s="9"/>
      <c r="F962" s="36"/>
      <c r="G962" s="12"/>
      <c r="H962" s="12"/>
      <c r="J962" s="12"/>
      <c r="K962" s="12"/>
      <c r="L962" s="12"/>
      <c r="M962" s="12"/>
      <c r="N962" s="12"/>
      <c r="O962" s="12"/>
      <c r="P962" s="12"/>
      <c r="Q962" s="12"/>
      <c r="R962" s="16" t="e">
        <f>VLOOKUP((D963),'Pwr Factor'!$A$1:$B$52,2)</f>
        <v>#N/A</v>
      </c>
      <c r="S962" s="50">
        <v>0.5</v>
      </c>
      <c r="T962" s="12"/>
      <c r="U962" s="12"/>
      <c r="V962" s="12"/>
      <c r="W962" s="12"/>
      <c r="X962" s="12"/>
      <c r="Y962" s="12"/>
      <c r="Z962" s="12"/>
      <c r="AA962" s="12"/>
    </row>
    <row r="963" spans="1:29" x14ac:dyDescent="0.2">
      <c r="A963" s="1" t="s">
        <v>149</v>
      </c>
      <c r="B963" s="103">
        <f>IF(AND('AES Indiana Bill Calc.'!$D$17="HL2",'AES Indiana Bill Calc.'!$D$18="Yes 50%",'AES Indiana Bill Calc.'!$D$20="No"),'AES Indiana Bill Calc.'!$D$19,-1)</f>
        <v>-1</v>
      </c>
      <c r="C963" s="103">
        <f>MAX(E963,$C$837)</f>
        <v>2000</v>
      </c>
      <c r="D963" s="103" t="b">
        <f>IF(AND('AES Indiana Bill Calc.'!$D$17="HL2",'AES Indiana Bill Calc.'!$D$18="Yes 50%",'AES Indiana Bill Calc.'!$D$20="No"),'AES Indiana Bill Calc.'!$D$22)</f>
        <v>0</v>
      </c>
      <c r="E963" s="103" t="b">
        <f>IF(AND('AES Indiana Bill Calc.'!$D$17="HL2",'AES Indiana Bill Calc.'!$D$18="Yes 50%",'AES Indiana Bill Calc.'!$D$20="No"),'AES Indiana Bill Calc.'!$D$21)</f>
        <v>0</v>
      </c>
      <c r="F963" s="36" t="s">
        <v>67</v>
      </c>
      <c r="G963" s="92" t="e">
        <f>SUM(J963:M963,R963:AA963)</f>
        <v>#N/A</v>
      </c>
      <c r="H963" s="19" t="e">
        <f>IF(ISBLANK(B963),0,+#REF!/B963)</f>
        <v>#REF!</v>
      </c>
      <c r="I963" s="150"/>
      <c r="J963" s="51">
        <f>IF(ISBLANK(B963),0,+J$956)</f>
        <v>215</v>
      </c>
      <c r="K963" s="17">
        <f>ROUND($B963*K$956,2)</f>
        <v>-0.04</v>
      </c>
      <c r="L963" s="17">
        <f>IF(ISBLANK($C963),0,IF($C963&lt;$C$957,ROUND($C$957*$L$956,2),IF($C963&gt;L$957,ROUND(L$957*L$956,2),ROUND($C963*L$956,2))))</f>
        <v>50000</v>
      </c>
      <c r="M963" s="17">
        <f>IF($C963&gt;L$957,ROUND(($C963-L$957)*M$956,2),0)</f>
        <v>0</v>
      </c>
      <c r="N963" s="17">
        <f>K963</f>
        <v>-0.04</v>
      </c>
      <c r="O963" s="17"/>
      <c r="P963" s="17"/>
      <c r="Q963" s="17">
        <f>SUM(L963:M963)</f>
        <v>50000</v>
      </c>
      <c r="R963" s="16" t="e">
        <f>ROUND(SUM(K963:M963)*(R962-1),2)</f>
        <v>#N/A</v>
      </c>
      <c r="S963" s="17">
        <f>ROUND($B963*S$956*S962,2)</f>
        <v>0</v>
      </c>
      <c r="T963" s="17">
        <f t="shared" ref="T963:AA963" si="57">ROUND($B963*T$956,2)</f>
        <v>0</v>
      </c>
      <c r="U963" s="17">
        <f t="shared" si="57"/>
        <v>0</v>
      </c>
      <c r="V963" s="8">
        <f t="shared" si="57"/>
        <v>-0.01</v>
      </c>
      <c r="W963" s="17">
        <f t="shared" si="57"/>
        <v>0</v>
      </c>
      <c r="X963" s="17">
        <f t="shared" si="57"/>
        <v>-0.01</v>
      </c>
      <c r="Y963" s="17">
        <f t="shared" si="57"/>
        <v>0</v>
      </c>
      <c r="Z963" s="17">
        <f t="shared" si="57"/>
        <v>0</v>
      </c>
      <c r="AA963" s="17">
        <f t="shared" si="57"/>
        <v>0</v>
      </c>
      <c r="AB963" s="19">
        <f>SUM(U958:AA958)</f>
        <v>133</v>
      </c>
      <c r="AC963" s="67" t="str">
        <f>+F963</f>
        <v>HL2</v>
      </c>
    </row>
    <row r="964" spans="1:29" x14ac:dyDescent="0.2">
      <c r="A964" s="9"/>
      <c r="B964" s="103">
        <v>-1</v>
      </c>
      <c r="D964" s="8"/>
      <c r="E964" s="9"/>
      <c r="F964" s="36"/>
      <c r="G964" s="12"/>
      <c r="H964" s="12"/>
      <c r="J964" s="12"/>
      <c r="K964" s="12"/>
      <c r="L964" s="12"/>
      <c r="M964" s="12"/>
      <c r="N964" s="12"/>
      <c r="O964" s="12"/>
      <c r="P964" s="12"/>
      <c r="Q964" s="12"/>
      <c r="R964" s="16" t="e">
        <f>VLOOKUP((D965),'Pwr Factor'!$A$1:$B$52,2)</f>
        <v>#N/A</v>
      </c>
      <c r="S964" s="50">
        <v>0.25</v>
      </c>
      <c r="T964" s="12"/>
      <c r="U964" s="12"/>
      <c r="V964" s="12"/>
      <c r="W964" s="12"/>
      <c r="X964" s="12"/>
      <c r="Y964" s="12"/>
      <c r="Z964" s="12"/>
      <c r="AA964" s="12"/>
    </row>
    <row r="965" spans="1:29" x14ac:dyDescent="0.2">
      <c r="A965" s="1" t="s">
        <v>150</v>
      </c>
      <c r="B965" s="103">
        <f>IF(AND('AES Indiana Bill Calc.'!$D$17="HL2",'AES Indiana Bill Calc.'!$D$18="Yes 25%",'AES Indiana Bill Calc.'!$D$20="No"),'AES Indiana Bill Calc.'!$D$19,-1)</f>
        <v>-1</v>
      </c>
      <c r="C965" s="103">
        <f>MAX(E965,$C$837)</f>
        <v>2000</v>
      </c>
      <c r="D965" s="103" t="b">
        <f>IF(AND('AES Indiana Bill Calc.'!$D$17="HL2",'AES Indiana Bill Calc.'!$D$18="Yes 25%",'AES Indiana Bill Calc.'!$D$20="No"),'AES Indiana Bill Calc.'!$D$22)</f>
        <v>0</v>
      </c>
      <c r="E965" s="103" t="b">
        <f>IF(AND('AES Indiana Bill Calc.'!$D$17="HL2",'AES Indiana Bill Calc.'!$D$18="Yes 25%",'AES Indiana Bill Calc.'!$D$20="No"),'AES Indiana Bill Calc.'!$D$21)</f>
        <v>0</v>
      </c>
      <c r="F965" s="36" t="s">
        <v>67</v>
      </c>
      <c r="G965" s="92" t="e">
        <f>SUM(J965:M965,R965:AA965)</f>
        <v>#N/A</v>
      </c>
      <c r="H965" s="19" t="e">
        <f>IF(ISBLANK(B965),0,+#REF!/B965)</f>
        <v>#REF!</v>
      </c>
      <c r="I965" s="150"/>
      <c r="J965" s="51">
        <f>IF(ISBLANK(B965),0,+J$956)</f>
        <v>215</v>
      </c>
      <c r="K965" s="17">
        <f>ROUND($B965*K$956,2)</f>
        <v>-0.04</v>
      </c>
      <c r="L965" s="17">
        <f>IF(ISBLANK($C965),0,IF($C965&lt;$C$957,ROUND($C$957*$L$956,2),IF($C965&gt;L$957,ROUND(L$957*L$956,2),ROUND($C965*L$956,2))))</f>
        <v>50000</v>
      </c>
      <c r="M965" s="17">
        <f>IF($C965&gt;L$957,ROUND(($C965-L$957)*M$956,2),0)</f>
        <v>0</v>
      </c>
      <c r="N965" s="17">
        <f>K965</f>
        <v>-0.04</v>
      </c>
      <c r="O965" s="17"/>
      <c r="P965" s="17"/>
      <c r="Q965" s="17">
        <f>SUM(L965:M965)</f>
        <v>50000</v>
      </c>
      <c r="R965" s="16" t="e">
        <f>ROUND(SUM(K965:M965)*(R964-1),2)</f>
        <v>#N/A</v>
      </c>
      <c r="S965" s="17">
        <f>ROUND($B965*S$956*S964,2)</f>
        <v>0</v>
      </c>
      <c r="T965" s="17">
        <f t="shared" ref="T965:AA965" si="58">ROUND($B965*T$956,2)</f>
        <v>0</v>
      </c>
      <c r="U965" s="17">
        <f t="shared" si="58"/>
        <v>0</v>
      </c>
      <c r="V965" s="8">
        <f t="shared" si="58"/>
        <v>-0.01</v>
      </c>
      <c r="W965" s="17">
        <f t="shared" si="58"/>
        <v>0</v>
      </c>
      <c r="X965" s="17">
        <f t="shared" si="58"/>
        <v>-0.01</v>
      </c>
      <c r="Y965" s="17">
        <f t="shared" si="58"/>
        <v>0</v>
      </c>
      <c r="Z965" s="17">
        <f t="shared" si="58"/>
        <v>0</v>
      </c>
      <c r="AA965" s="17">
        <f t="shared" si="58"/>
        <v>0</v>
      </c>
      <c r="AB965" s="19">
        <f>SUM(U960:AA960)</f>
        <v>0</v>
      </c>
      <c r="AC965" s="67" t="str">
        <f>+F965</f>
        <v>HL2</v>
      </c>
    </row>
    <row r="966" spans="1:29" x14ac:dyDescent="0.2">
      <c r="A966" s="9"/>
      <c r="B966" s="103">
        <v>-1</v>
      </c>
      <c r="D966" s="8"/>
      <c r="E966" s="9"/>
      <c r="F966" s="36"/>
      <c r="G966" s="12"/>
      <c r="H966" s="12"/>
      <c r="J966" s="12"/>
      <c r="K966" s="12"/>
      <c r="L966" s="12"/>
      <c r="M966" s="12"/>
      <c r="N966" s="12"/>
      <c r="O966" s="12"/>
      <c r="P966" s="12"/>
      <c r="Q966" s="12"/>
      <c r="R966" s="16" t="e">
        <f>VLOOKUP((D967),'Pwr Factor'!$A$1:$B$52,2)</f>
        <v>#N/A</v>
      </c>
      <c r="S966" s="50">
        <v>0.1</v>
      </c>
      <c r="T966" s="12"/>
      <c r="U966" s="12"/>
      <c r="V966" s="12"/>
      <c r="W966" s="12"/>
      <c r="X966" s="12"/>
      <c r="Y966" s="12"/>
      <c r="Z966" s="12"/>
      <c r="AA966" s="12"/>
    </row>
    <row r="967" spans="1:29" x14ac:dyDescent="0.2">
      <c r="A967" s="1" t="s">
        <v>164</v>
      </c>
      <c r="B967" s="103">
        <f>IF(AND('AES Indiana Bill Calc.'!$D$17="HL2",'AES Indiana Bill Calc.'!$D$18="Yes 10%",'AES Indiana Bill Calc.'!$D$20="No"),'AES Indiana Bill Calc.'!$D$19,-1)</f>
        <v>-1</v>
      </c>
      <c r="C967" s="103">
        <f>MAX(E967,$C$837)</f>
        <v>2000</v>
      </c>
      <c r="D967" s="103" t="b">
        <f>IF(AND('AES Indiana Bill Calc.'!$D$17="HL2",'AES Indiana Bill Calc.'!$D$18="Yes 10%",'AES Indiana Bill Calc.'!$D$20="No"),'AES Indiana Bill Calc.'!$D$22)</f>
        <v>0</v>
      </c>
      <c r="E967" s="103" t="b">
        <f>IF(AND('AES Indiana Bill Calc.'!$D$17="HL2",'AES Indiana Bill Calc.'!$D$18="Yes 10%",'AES Indiana Bill Calc.'!$D$20="No"),'AES Indiana Bill Calc.'!$D$21)</f>
        <v>0</v>
      </c>
      <c r="F967" s="36" t="s">
        <v>67</v>
      </c>
      <c r="G967" s="92" t="e">
        <f>SUM(J967:M967,R967:AA967)</f>
        <v>#N/A</v>
      </c>
      <c r="H967" s="19" t="e">
        <f>IF(ISBLANK(B967),0,+#REF!/B967)</f>
        <v>#REF!</v>
      </c>
      <c r="I967" s="150"/>
      <c r="J967" s="51">
        <f>IF(ISBLANK(B967),0,+J$956)</f>
        <v>215</v>
      </c>
      <c r="K967" s="17">
        <f>ROUND($B967*K$956,2)</f>
        <v>-0.04</v>
      </c>
      <c r="L967" s="17">
        <f>IF(ISBLANK($C967),0,IF($C967&lt;$C$957,ROUND($C$957*$L$956,2),IF($C967&gt;L$957,ROUND(L$957*L$956,2),ROUND($C967*L$956,2))))</f>
        <v>50000</v>
      </c>
      <c r="M967" s="17">
        <f>IF($C967&gt;L$957,ROUND(($C967-L$957)*M$956,2),0)</f>
        <v>0</v>
      </c>
      <c r="N967" s="17">
        <f>K967</f>
        <v>-0.04</v>
      </c>
      <c r="O967" s="17"/>
      <c r="P967" s="17"/>
      <c r="Q967" s="17">
        <f>SUM(L967:M967)</f>
        <v>50000</v>
      </c>
      <c r="R967" s="16" t="e">
        <f>ROUND(SUM(K967:M967)*(R966-1),2)</f>
        <v>#N/A</v>
      </c>
      <c r="S967" s="17">
        <f>ROUND($B967*S$956*S966,2)</f>
        <v>0</v>
      </c>
      <c r="T967" s="17">
        <f t="shared" ref="T967:AA967" si="59">ROUND($B967*T$956,2)</f>
        <v>0</v>
      </c>
      <c r="U967" s="17">
        <f t="shared" si="59"/>
        <v>0</v>
      </c>
      <c r="V967" s="8">
        <f t="shared" si="59"/>
        <v>-0.01</v>
      </c>
      <c r="W967" s="17">
        <f t="shared" si="59"/>
        <v>0</v>
      </c>
      <c r="X967" s="17">
        <f t="shared" si="59"/>
        <v>-0.01</v>
      </c>
      <c r="Y967" s="17">
        <f t="shared" si="59"/>
        <v>0</v>
      </c>
      <c r="Z967" s="17">
        <f t="shared" si="59"/>
        <v>0</v>
      </c>
      <c r="AA967" s="17">
        <f t="shared" si="59"/>
        <v>0</v>
      </c>
      <c r="AB967" s="19">
        <f>SUM(U962:AA962)</f>
        <v>0</v>
      </c>
      <c r="AC967" s="67" t="str">
        <f>+F967</f>
        <v>HL2</v>
      </c>
    </row>
    <row r="968" spans="1:29" x14ac:dyDescent="0.2">
      <c r="A968" s="9"/>
      <c r="B968" s="103">
        <v>-1</v>
      </c>
      <c r="D968" s="8"/>
      <c r="E968" s="9"/>
      <c r="F968" s="36"/>
      <c r="G968" s="12"/>
      <c r="H968" s="12"/>
      <c r="J968" s="12"/>
      <c r="K968" s="12"/>
      <c r="L968" s="12"/>
      <c r="M968" s="12"/>
      <c r="N968" s="12"/>
      <c r="O968" s="12"/>
      <c r="P968" s="12"/>
      <c r="Q968" s="12"/>
      <c r="R968" s="16" t="e">
        <f>VLOOKUP((D969),'Pwr Factor'!$A$1:$B$52,2)</f>
        <v>#N/A</v>
      </c>
      <c r="S968" s="50">
        <v>0</v>
      </c>
      <c r="T968" s="12"/>
      <c r="U968" s="12"/>
      <c r="V968" s="12"/>
      <c r="W968" s="12"/>
      <c r="X968" s="12"/>
      <c r="Y968" s="12"/>
      <c r="Z968" s="12"/>
      <c r="AA968" s="12"/>
    </row>
    <row r="969" spans="1:29" x14ac:dyDescent="0.2">
      <c r="A969" s="1" t="s">
        <v>147</v>
      </c>
      <c r="B969" s="103">
        <f>IF(AND('AES Indiana Bill Calc.'!$D$17="HL2",'AES Indiana Bill Calc.'!$D$18="No",'AES Indiana Bill Calc.'!$D$20="No"),'AES Indiana Bill Calc.'!$D$19,-1)</f>
        <v>-1</v>
      </c>
      <c r="C969" s="103">
        <f>MAX(E969,$C$837)</f>
        <v>2000</v>
      </c>
      <c r="D969" s="103" t="b">
        <f>IF(AND('AES Indiana Bill Calc.'!$D$17="HL2",'AES Indiana Bill Calc.'!$D$18="No",'AES Indiana Bill Calc.'!$D$20="No"),'AES Indiana Bill Calc.'!$D$22)</f>
        <v>0</v>
      </c>
      <c r="E969" s="103" t="b">
        <f>IF(AND('AES Indiana Bill Calc.'!$D$17="HL2",'AES Indiana Bill Calc.'!$D$18="No",'AES Indiana Bill Calc.'!$D$20="No"),'AES Indiana Bill Calc.'!$D$21)</f>
        <v>0</v>
      </c>
      <c r="F969" s="36" t="s">
        <v>67</v>
      </c>
      <c r="G969" s="92" t="e">
        <f>SUM(J969:M969,R969:AA969)</f>
        <v>#N/A</v>
      </c>
      <c r="H969" s="19" t="e">
        <f>IF(ISBLANK(B969),0,+#REF!/B969)</f>
        <v>#REF!</v>
      </c>
      <c r="I969" s="150"/>
      <c r="J969" s="51">
        <f t="shared" ref="J969:J1032" si="60">IF(ISBLANK(B969),0,+J$956)</f>
        <v>215</v>
      </c>
      <c r="K969" s="17">
        <f t="shared" ref="K969:K1032" si="61">ROUND($B969*K$956,2)</f>
        <v>-0.04</v>
      </c>
      <c r="L969" s="17">
        <f>IF(ISBLANK($C969),0,IF($C969&lt;$C$957,ROUND($C$957*$L$956,2),IF($C969&gt;L$957,ROUND(L$957*L$956,2),ROUND($C969*L$956,2))))</f>
        <v>50000</v>
      </c>
      <c r="M969" s="17">
        <f>IF($C969&gt;L$957,ROUND(($C969-L$957)*M$956,2),0)</f>
        <v>0</v>
      </c>
      <c r="N969" s="17">
        <f>K969</f>
        <v>-0.04</v>
      </c>
      <c r="O969" s="17"/>
      <c r="P969" s="17"/>
      <c r="Q969" s="17">
        <f>SUM(L969:M969)</f>
        <v>50000</v>
      </c>
      <c r="R969" s="16" t="e">
        <f>ROUND(SUM(K969:M969)*(R968-1),2)</f>
        <v>#N/A</v>
      </c>
      <c r="S969" s="17">
        <f>ROUND($B969*S$956*S968,2)</f>
        <v>0</v>
      </c>
      <c r="T969" s="17">
        <f t="shared" ref="T969:AA969" si="62">ROUND($B969*T$956,2)</f>
        <v>0</v>
      </c>
      <c r="U969" s="17">
        <f t="shared" si="62"/>
        <v>0</v>
      </c>
      <c r="V969" s="8">
        <f t="shared" si="62"/>
        <v>-0.01</v>
      </c>
      <c r="W969" s="17">
        <f t="shared" si="62"/>
        <v>0</v>
      </c>
      <c r="X969" s="17">
        <f t="shared" si="62"/>
        <v>-0.01</v>
      </c>
      <c r="Y969" s="17">
        <f t="shared" si="62"/>
        <v>0</v>
      </c>
      <c r="Z969" s="17">
        <f t="shared" si="62"/>
        <v>0</v>
      </c>
      <c r="AA969" s="17">
        <f t="shared" si="62"/>
        <v>0</v>
      </c>
      <c r="AB969" s="19">
        <f>SUM(U964:AA964)</f>
        <v>0</v>
      </c>
      <c r="AC969" s="67" t="str">
        <f t="shared" ref="AC969:AC1032" si="63">+F969</f>
        <v>HL2</v>
      </c>
    </row>
    <row r="970" spans="1:29" x14ac:dyDescent="0.2">
      <c r="B970" s="103">
        <v>-1</v>
      </c>
      <c r="D970" s="32"/>
      <c r="E970" s="103"/>
      <c r="F970" s="36"/>
      <c r="G970" s="92"/>
      <c r="H970" s="19" t="e">
        <f>IF(ISBLANK(B970),0,+#REF!/B970)</f>
        <v>#REF!</v>
      </c>
      <c r="J970" s="109">
        <f t="shared" si="60"/>
        <v>215</v>
      </c>
      <c r="K970" s="92">
        <f t="shared" si="61"/>
        <v>-0.04</v>
      </c>
      <c r="L970" s="92">
        <f>IF(ISBLANK($E970),0,IF($E970&lt;$C$957,ROUND($C$957*$L$956,2),IF($E970&gt;L$957,ROUND(L$957*L$956,2),ROUND($E970*L$956,2))))</f>
        <v>0</v>
      </c>
      <c r="M970" s="92">
        <f>IF($E970&gt;L$957,ROUND(($E970-L$957)*M$956,2),0)</f>
        <v>0</v>
      </c>
      <c r="N970" s="92"/>
      <c r="O970" s="92"/>
      <c r="P970" s="92"/>
      <c r="Q970" s="92"/>
      <c r="R970" s="16" t="e">
        <f>VLOOKUP((D971),'Pwr Factor'!$A$1:$B$52,2)</f>
        <v>#N/A</v>
      </c>
      <c r="S970" s="50">
        <v>1</v>
      </c>
      <c r="T970" s="92"/>
      <c r="U970" s="92"/>
      <c r="V970" s="32"/>
      <c r="W970" s="92"/>
      <c r="X970" s="92"/>
      <c r="Y970" s="92"/>
      <c r="Z970" s="92"/>
      <c r="AA970" s="92"/>
      <c r="AB970" s="19"/>
      <c r="AC970" s="105">
        <f t="shared" si="63"/>
        <v>0</v>
      </c>
    </row>
    <row r="971" spans="1:29" x14ac:dyDescent="0.2">
      <c r="A971" s="1" t="s">
        <v>148</v>
      </c>
      <c r="B971" s="103">
        <f>IF(AND('AES Indiana Bill Calc.'!$D$17="HL2",'AES Indiana Bill Calc.'!$D$18="Yes 100%",'AES Indiana Bill Calc.'!$D$20="Yes Before 2018"),'AES Indiana Bill Calc.'!$D$19,-1)</f>
        <v>-1</v>
      </c>
      <c r="C971" s="103">
        <f>MAX(E971,$C$837)</f>
        <v>2000</v>
      </c>
      <c r="D971" s="103" t="b">
        <f>IF(AND('AES Indiana Bill Calc.'!$D$17="HL2",'AES Indiana Bill Calc.'!$D$18="Yes 100%",'AES Indiana Bill Calc.'!$D$20="Yes Before 2018"),'AES Indiana Bill Calc.'!$D$22)</f>
        <v>0</v>
      </c>
      <c r="E971" s="103" t="b">
        <f>IF(AND('AES Indiana Bill Calc.'!$D$17="HL2",'AES Indiana Bill Calc.'!$D$18="Yes 100%",'AES Indiana Bill Calc.'!$D$20="Yes Before 2018"),'AES Indiana Bill Calc.'!$D$21)</f>
        <v>0</v>
      </c>
      <c r="F971" s="36" t="s">
        <v>241</v>
      </c>
      <c r="G971" s="92" t="e">
        <f>SUM(J971:M971,R971:AA971)</f>
        <v>#N/A</v>
      </c>
      <c r="H971" s="19" t="e">
        <f>IF(ISBLANK(B971),0,+#REF!/B971)</f>
        <v>#REF!</v>
      </c>
      <c r="J971" s="109">
        <f t="shared" si="60"/>
        <v>215</v>
      </c>
      <c r="K971" s="92">
        <f t="shared" si="61"/>
        <v>-0.04</v>
      </c>
      <c r="L971" s="17">
        <f>IF(ISBLANK($C971),0,IF($C971&lt;$C$957,ROUND($C$957*$L$956,2),IF($C971&gt;L$957,ROUND(L$957*L$956,2),ROUND($C971*L$956,2))))</f>
        <v>50000</v>
      </c>
      <c r="M971" s="17">
        <f>IF($C971&gt;L$957,ROUND(($C971-L$957)*M$956,2),0)</f>
        <v>0</v>
      </c>
      <c r="N971" s="17">
        <f>K971</f>
        <v>-0.04</v>
      </c>
      <c r="O971" s="92"/>
      <c r="P971" s="92"/>
      <c r="Q971" s="17">
        <f>SUM(L971:M971)</f>
        <v>50000</v>
      </c>
      <c r="R971" s="110" t="e">
        <f>ROUND(SUM(K971:M971)*(R970-1),2)</f>
        <v>#N/A</v>
      </c>
      <c r="S971" s="92">
        <f>ROUND($B971*S$956*S970,2)</f>
        <v>0</v>
      </c>
      <c r="T971" s="92">
        <f>ROUND($B971*T$956,2)</f>
        <v>0</v>
      </c>
      <c r="U971" s="92">
        <f>ROUND($B971*U$956,2)</f>
        <v>0</v>
      </c>
      <c r="V971" s="32">
        <f>ROUND($B971*$V$947,2)</f>
        <v>0</v>
      </c>
      <c r="W971" s="92">
        <f>ROUND($B971*W$956,2)</f>
        <v>0</v>
      </c>
      <c r="X971" s="92">
        <f>ROUND($B971*X$956,2)</f>
        <v>-0.01</v>
      </c>
      <c r="Y971" s="92">
        <f>ROUND($B971*Y$956,2)</f>
        <v>0</v>
      </c>
      <c r="Z971" s="92">
        <f>ROUND($B971*Z$956,2)</f>
        <v>0</v>
      </c>
      <c r="AA971" s="92">
        <f>ROUND($B971*AA$956,2)</f>
        <v>0</v>
      </c>
      <c r="AB971" s="19">
        <f>SUM(U$956:AA$956)+(-V$956+V957)</f>
        <v>1.1855000000000001E-2</v>
      </c>
      <c r="AC971" s="105" t="str">
        <f t="shared" si="63"/>
        <v>HL27</v>
      </c>
    </row>
    <row r="972" spans="1:29" x14ac:dyDescent="0.2">
      <c r="A972" s="9"/>
      <c r="B972" s="103">
        <v>-1</v>
      </c>
      <c r="D972" s="32"/>
      <c r="E972" s="103"/>
      <c r="F972" s="36"/>
      <c r="G972" s="92"/>
      <c r="H972" s="19" t="e">
        <f>IF(ISBLANK(B972),0,+#REF!/B972)</f>
        <v>#REF!</v>
      </c>
      <c r="J972" s="109">
        <f t="shared" si="60"/>
        <v>215</v>
      </c>
      <c r="K972" s="92">
        <f t="shared" si="61"/>
        <v>-0.04</v>
      </c>
      <c r="L972" s="92">
        <f>IF(ISBLANK($E972),0,IF($E972&lt;$C$957,ROUND($C$957*$L$956,2),IF($E972&gt;L$957,ROUND(L$957*L$956,2),ROUND($E972*L$956,2))))</f>
        <v>0</v>
      </c>
      <c r="M972" s="92">
        <f>IF($E972&gt;L$957,ROUND(($E972-L$957)*M$956,2),0)</f>
        <v>0</v>
      </c>
      <c r="N972" s="92"/>
      <c r="O972" s="92"/>
      <c r="P972" s="92"/>
      <c r="Q972" s="92"/>
      <c r="R972" s="16" t="e">
        <f>VLOOKUP((D973),'Pwr Factor'!$A$1:$B$52,2)</f>
        <v>#N/A</v>
      </c>
      <c r="S972" s="50">
        <v>0.5</v>
      </c>
      <c r="T972" s="92"/>
      <c r="U972" s="92"/>
      <c r="V972" s="32"/>
      <c r="W972" s="92"/>
      <c r="X972" s="92"/>
      <c r="Y972" s="92"/>
      <c r="Z972" s="92"/>
      <c r="AA972" s="92"/>
      <c r="AB972" s="19"/>
      <c r="AC972" s="105">
        <f t="shared" si="63"/>
        <v>0</v>
      </c>
    </row>
    <row r="973" spans="1:29" x14ac:dyDescent="0.2">
      <c r="A973" s="1" t="s">
        <v>149</v>
      </c>
      <c r="B973" s="103">
        <f>IF(AND('AES Indiana Bill Calc.'!$D$17="HL2",'AES Indiana Bill Calc.'!$D$18="Yes 50%",'AES Indiana Bill Calc.'!$D$20="Yes Before 2018"),'AES Indiana Bill Calc.'!$D$19,-1)</f>
        <v>-1</v>
      </c>
      <c r="C973" s="103">
        <f>MAX(E973,$C$837)</f>
        <v>2000</v>
      </c>
      <c r="D973" s="103" t="b">
        <f>IF(AND('AES Indiana Bill Calc.'!$D$17="HL2",'AES Indiana Bill Calc.'!$D$18="Yes 50%",'AES Indiana Bill Calc.'!$D$20="Yes Before 2018"),'AES Indiana Bill Calc.'!$D$22)</f>
        <v>0</v>
      </c>
      <c r="E973" s="103" t="b">
        <f>IF(AND('AES Indiana Bill Calc.'!$D$17="HL2",'AES Indiana Bill Calc.'!$D$18="Yes 50%",'AES Indiana Bill Calc.'!$D$20="Yes Before 2018"),'AES Indiana Bill Calc.'!$D$21)</f>
        <v>0</v>
      </c>
      <c r="F973" s="36" t="s">
        <v>241</v>
      </c>
      <c r="G973" s="92" t="e">
        <f>SUM(J973:M973,R973:AA973)</f>
        <v>#N/A</v>
      </c>
      <c r="H973" s="19" t="e">
        <f>IF(ISBLANK(B973),0,+#REF!/B973)</f>
        <v>#REF!</v>
      </c>
      <c r="J973" s="109">
        <f t="shared" si="60"/>
        <v>215</v>
      </c>
      <c r="K973" s="92">
        <f t="shared" si="61"/>
        <v>-0.04</v>
      </c>
      <c r="L973" s="17">
        <f>IF(ISBLANK($C973),0,IF($C973&lt;$C$957,ROUND($C$957*$L$956,2),IF($C973&gt;L$957,ROUND(L$957*L$956,2),ROUND($C973*L$956,2))))</f>
        <v>50000</v>
      </c>
      <c r="M973" s="17">
        <f>IF($C973&gt;L$957,ROUND(($C973-L$957)*M$956,2),0)</f>
        <v>0</v>
      </c>
      <c r="N973" s="17">
        <f>K973</f>
        <v>-0.04</v>
      </c>
      <c r="O973" s="92"/>
      <c r="P973" s="92"/>
      <c r="Q973" s="17">
        <f>SUM(L973:M973)</f>
        <v>50000</v>
      </c>
      <c r="R973" s="110" t="e">
        <f>ROUND(SUM(K973:M973)*(R972-1),2)</f>
        <v>#N/A</v>
      </c>
      <c r="S973" s="92">
        <f>ROUND($B973*S$956*S972,2)</f>
        <v>0</v>
      </c>
      <c r="T973" s="92">
        <f>ROUND($B973*T$956,2)</f>
        <v>0</v>
      </c>
      <c r="U973" s="92">
        <f>ROUND($B973*U$956,2)</f>
        <v>0</v>
      </c>
      <c r="V973" s="32">
        <f>ROUND($B973*$V$947,2)</f>
        <v>0</v>
      </c>
      <c r="W973" s="92">
        <f>ROUND($B973*W$956,2)</f>
        <v>0</v>
      </c>
      <c r="X973" s="92">
        <f>ROUND($B973*X$956,2)</f>
        <v>-0.01</v>
      </c>
      <c r="Y973" s="92">
        <f>ROUND($B973*Y$956,2)</f>
        <v>0</v>
      </c>
      <c r="Z973" s="92">
        <f>ROUND($B973*Z$956,2)</f>
        <v>0</v>
      </c>
      <c r="AA973" s="92">
        <f>ROUND($B973*AA$956,2)</f>
        <v>0</v>
      </c>
      <c r="AB973" s="19" t="e">
        <f>SUM(U$956:AA$956)+(-V$956+V959)</f>
        <v>#VALUE!</v>
      </c>
      <c r="AC973" s="105" t="str">
        <f t="shared" si="63"/>
        <v>HL27</v>
      </c>
    </row>
    <row r="974" spans="1:29" x14ac:dyDescent="0.2">
      <c r="A974" s="9"/>
      <c r="B974" s="103">
        <v>-1</v>
      </c>
      <c r="D974" s="32"/>
      <c r="E974" s="103"/>
      <c r="F974" s="36"/>
      <c r="G974" s="92"/>
      <c r="H974" s="19" t="e">
        <f>IF(ISBLANK(B974),0,+#REF!/B974)</f>
        <v>#REF!</v>
      </c>
      <c r="J974" s="109">
        <f t="shared" si="60"/>
        <v>215</v>
      </c>
      <c r="K974" s="92">
        <f t="shared" si="61"/>
        <v>-0.04</v>
      </c>
      <c r="L974" s="92">
        <f>IF(ISBLANK($E974),0,IF($E974&lt;$C$957,ROUND($C$957*$L$956,2),IF($E974&gt;L$957,ROUND(L$957*L$956,2),ROUND($E974*L$956,2))))</f>
        <v>0</v>
      </c>
      <c r="M974" s="92">
        <f>IF($E974&gt;L$957,ROUND(($E974-L$957)*M$956,2),0)</f>
        <v>0</v>
      </c>
      <c r="N974" s="92"/>
      <c r="O974" s="92"/>
      <c r="P974" s="92"/>
      <c r="Q974" s="92"/>
      <c r="R974" s="16" t="e">
        <f>VLOOKUP((D975),'Pwr Factor'!$A$1:$B$52,2)</f>
        <v>#N/A</v>
      </c>
      <c r="S974" s="50">
        <v>0.25</v>
      </c>
      <c r="T974" s="92"/>
      <c r="U974" s="92"/>
      <c r="V974" s="32"/>
      <c r="W974" s="92"/>
      <c r="X974" s="92"/>
      <c r="Y974" s="92"/>
      <c r="Z974" s="92"/>
      <c r="AA974" s="92"/>
      <c r="AB974" s="19"/>
      <c r="AC974" s="105">
        <f t="shared" si="63"/>
        <v>0</v>
      </c>
    </row>
    <row r="975" spans="1:29" x14ac:dyDescent="0.2">
      <c r="A975" s="1" t="s">
        <v>150</v>
      </c>
      <c r="B975" s="103">
        <f>IF(AND('AES Indiana Bill Calc.'!$D$17="HL2",'AES Indiana Bill Calc.'!$D$18="Yes 25%",'AES Indiana Bill Calc.'!$D$20="Yes Before 2018"),'AES Indiana Bill Calc.'!$D$19,-1)</f>
        <v>-1</v>
      </c>
      <c r="C975" s="103">
        <f>MAX(E975,$C$837)</f>
        <v>2000</v>
      </c>
      <c r="D975" s="103" t="b">
        <f>IF(AND('AES Indiana Bill Calc.'!$D$17="HL2",'AES Indiana Bill Calc.'!$D$18="Yes 25%",'AES Indiana Bill Calc.'!$D$20="Yes Before 2018"),'AES Indiana Bill Calc.'!$D$22)</f>
        <v>0</v>
      </c>
      <c r="E975" s="103" t="b">
        <f>IF(AND('AES Indiana Bill Calc.'!$D$17="HL2",'AES Indiana Bill Calc.'!$D$18="Yes 25%",'AES Indiana Bill Calc.'!$D$20="Yes Before 2018"),'AES Indiana Bill Calc.'!$D$21)</f>
        <v>0</v>
      </c>
      <c r="F975" s="36" t="s">
        <v>241</v>
      </c>
      <c r="G975" s="92" t="e">
        <f>SUM(J975:M975,R975:AA975)</f>
        <v>#N/A</v>
      </c>
      <c r="H975" s="19" t="e">
        <f>IF(ISBLANK(B975),0,+#REF!/B975)</f>
        <v>#REF!</v>
      </c>
      <c r="J975" s="109">
        <f t="shared" si="60"/>
        <v>215</v>
      </c>
      <c r="K975" s="92">
        <f t="shared" si="61"/>
        <v>-0.04</v>
      </c>
      <c r="L975" s="17">
        <f>IF(ISBLANK($C975),0,IF($C975&lt;$C$957,ROUND($C$957*$L$956,2),IF($C975&gt;L$957,ROUND(L$957*L$956,2),ROUND($C975*L$956,2))))</f>
        <v>50000</v>
      </c>
      <c r="M975" s="17">
        <f>IF($C975&gt;L$957,ROUND(($C975-L$957)*M$956,2),0)</f>
        <v>0</v>
      </c>
      <c r="N975" s="17">
        <f>K975</f>
        <v>-0.04</v>
      </c>
      <c r="O975" s="92"/>
      <c r="P975" s="92"/>
      <c r="Q975" s="17">
        <f>SUM(L975:M975)</f>
        <v>50000</v>
      </c>
      <c r="R975" s="110" t="e">
        <f>ROUND(SUM(K975:M975)*(R974-1),2)</f>
        <v>#N/A</v>
      </c>
      <c r="S975" s="92">
        <f>ROUND($B975*S$956*S974,2)</f>
        <v>0</v>
      </c>
      <c r="T975" s="92">
        <f>ROUND($B975*T$956,2)</f>
        <v>0</v>
      </c>
      <c r="U975" s="92">
        <f>ROUND($B975*U$956,2)</f>
        <v>0</v>
      </c>
      <c r="V975" s="32">
        <f>ROUND($B975*$V$947,2)</f>
        <v>0</v>
      </c>
      <c r="W975" s="92">
        <f>ROUND($B975*W$956,2)</f>
        <v>0</v>
      </c>
      <c r="X975" s="92">
        <f>ROUND($B975*X$956,2)</f>
        <v>-0.01</v>
      </c>
      <c r="Y975" s="92">
        <f>ROUND($B975*Y$956,2)</f>
        <v>0</v>
      </c>
      <c r="Z975" s="92">
        <f>ROUND($B975*Z$956,2)</f>
        <v>0</v>
      </c>
      <c r="AA975" s="92">
        <f>ROUND($B975*AA$956,2)</f>
        <v>0</v>
      </c>
      <c r="AB975" s="19">
        <f>SUM(U$956:AA$956)+(-V$956+V961)</f>
        <v>1.8550000000000025E-3</v>
      </c>
      <c r="AC975" s="105" t="str">
        <f t="shared" si="63"/>
        <v>HL27</v>
      </c>
    </row>
    <row r="976" spans="1:29" x14ac:dyDescent="0.2">
      <c r="A976" s="9"/>
      <c r="B976" s="103">
        <v>-1</v>
      </c>
      <c r="D976" s="32"/>
      <c r="E976" s="103"/>
      <c r="F976" s="36"/>
      <c r="G976" s="92"/>
      <c r="H976" s="19" t="e">
        <f>IF(ISBLANK(B976),0,+#REF!/B976)</f>
        <v>#REF!</v>
      </c>
      <c r="J976" s="109">
        <f t="shared" si="60"/>
        <v>215</v>
      </c>
      <c r="K976" s="92">
        <f t="shared" si="61"/>
        <v>-0.04</v>
      </c>
      <c r="L976" s="92">
        <f>IF(ISBLANK($E976),0,IF($E976&lt;$C$957,ROUND($C$957*$L$956,2),IF($E976&gt;L$957,ROUND(L$957*L$956,2),ROUND($E976*L$956,2))))</f>
        <v>0</v>
      </c>
      <c r="M976" s="92">
        <f>IF($E976&gt;L$957,ROUND(($E976-L$957)*M$956,2),0)</f>
        <v>0</v>
      </c>
      <c r="N976" s="92"/>
      <c r="O976" s="92"/>
      <c r="P976" s="92"/>
      <c r="Q976" s="92"/>
      <c r="R976" s="16" t="e">
        <f>VLOOKUP((D977),'Pwr Factor'!$A$1:$B$52,2)</f>
        <v>#N/A</v>
      </c>
      <c r="S976" s="50">
        <v>0.1</v>
      </c>
      <c r="T976" s="92"/>
      <c r="U976" s="92"/>
      <c r="V976" s="32"/>
      <c r="W976" s="92"/>
      <c r="X976" s="92"/>
      <c r="Y976" s="92"/>
      <c r="Z976" s="92"/>
      <c r="AA976" s="92"/>
      <c r="AB976" s="19"/>
      <c r="AC976" s="105">
        <f t="shared" si="63"/>
        <v>0</v>
      </c>
    </row>
    <row r="977" spans="1:252" x14ac:dyDescent="0.2">
      <c r="A977" s="1" t="s">
        <v>164</v>
      </c>
      <c r="B977" s="103">
        <f>IF(AND('AES Indiana Bill Calc.'!$D$17="HL2",'AES Indiana Bill Calc.'!$D$18="Yes 10%",'AES Indiana Bill Calc.'!$D$20="Yes Before 2018"),'AES Indiana Bill Calc.'!$D$19,-1)</f>
        <v>-1</v>
      </c>
      <c r="C977" s="103">
        <f>MAX(E977,$C$837)</f>
        <v>2000</v>
      </c>
      <c r="D977" s="103" t="b">
        <f>IF(AND('AES Indiana Bill Calc.'!$D$17="HL2",'AES Indiana Bill Calc.'!$D$18="Yes 10%",'AES Indiana Bill Calc.'!$D$20="Yes Before 2018"),'AES Indiana Bill Calc.'!$D$22)</f>
        <v>0</v>
      </c>
      <c r="E977" s="103" t="b">
        <f>IF(AND('AES Indiana Bill Calc.'!$D$17="HL2",'AES Indiana Bill Calc.'!$D$18="Yes 10%",'AES Indiana Bill Calc.'!$D$20="Yes Before 2018"),'AES Indiana Bill Calc.'!$D$21)</f>
        <v>0</v>
      </c>
      <c r="F977" s="36" t="s">
        <v>241</v>
      </c>
      <c r="G977" s="92" t="e">
        <f>SUM(J977:M977,R977:AA977)</f>
        <v>#N/A</v>
      </c>
      <c r="H977" s="19" t="e">
        <f>IF(ISBLANK(B977),0,+#REF!/B977)</f>
        <v>#REF!</v>
      </c>
      <c r="J977" s="109">
        <f t="shared" si="60"/>
        <v>215</v>
      </c>
      <c r="K977" s="92">
        <f t="shared" si="61"/>
        <v>-0.04</v>
      </c>
      <c r="L977" s="17">
        <f>IF(ISBLANK($C977),0,IF($C977&lt;$C$957,ROUND($C$957*$L$956,2),IF($C977&gt;L$957,ROUND(L$957*L$956,2),ROUND($C977*L$956,2))))</f>
        <v>50000</v>
      </c>
      <c r="M977" s="17">
        <f>IF($C977&gt;L$957,ROUND(($C977-L$957)*M$956,2),0)</f>
        <v>0</v>
      </c>
      <c r="N977" s="17">
        <f>K977</f>
        <v>-0.04</v>
      </c>
      <c r="O977" s="92"/>
      <c r="P977" s="92"/>
      <c r="Q977" s="17">
        <f>SUM(L977:M977)</f>
        <v>50000</v>
      </c>
      <c r="R977" s="110" t="e">
        <f>ROUND(SUM(K977:M977)*(R976-1),2)</f>
        <v>#N/A</v>
      </c>
      <c r="S977" s="92">
        <f>ROUND($B977*S$956*S976,2)</f>
        <v>0</v>
      </c>
      <c r="T977" s="92">
        <f>ROUND($B977*T$956,2)</f>
        <v>0</v>
      </c>
      <c r="U977" s="92">
        <f>ROUND($B977*U$956,2)</f>
        <v>0</v>
      </c>
      <c r="V977" s="32">
        <f>ROUND($B977*$V$947,2)</f>
        <v>0</v>
      </c>
      <c r="W977" s="92">
        <f>ROUND($B977*W$956,2)</f>
        <v>0</v>
      </c>
      <c r="X977" s="92">
        <f>ROUND($B977*X$956,2)</f>
        <v>-0.01</v>
      </c>
      <c r="Y977" s="92">
        <f>ROUND($B977*Y$956,2)</f>
        <v>0</v>
      </c>
      <c r="Z977" s="92">
        <f>ROUND($B977*Z$956,2)</f>
        <v>0</v>
      </c>
      <c r="AA977" s="92">
        <f>ROUND($B977*AA$956,2)</f>
        <v>0</v>
      </c>
      <c r="AB977" s="19">
        <f>SUM(U$956:AA$956)+(-V$956+V963)</f>
        <v>1.8550000000000025E-3</v>
      </c>
      <c r="AC977" s="105" t="str">
        <f t="shared" si="63"/>
        <v>HL27</v>
      </c>
    </row>
    <row r="978" spans="1:252" x14ac:dyDescent="0.2">
      <c r="A978" s="9"/>
      <c r="B978" s="103">
        <v>-1</v>
      </c>
      <c r="D978" s="32"/>
      <c r="E978" s="103"/>
      <c r="F978" s="36"/>
      <c r="G978" s="92"/>
      <c r="H978" s="19" t="e">
        <f>IF(ISBLANK(B978),0,+#REF!/B978)</f>
        <v>#REF!</v>
      </c>
      <c r="J978" s="109">
        <f t="shared" si="60"/>
        <v>215</v>
      </c>
      <c r="K978" s="92">
        <f t="shared" si="61"/>
        <v>-0.04</v>
      </c>
      <c r="L978" s="92">
        <f>IF(ISBLANK($E978),0,IF($E978&lt;$C$957,ROUND($C$957*$L$956,2),IF($E978&gt;L$957,ROUND(L$957*L$956,2),ROUND($E978*L$956,2))))</f>
        <v>0</v>
      </c>
      <c r="M978" s="92">
        <f>IF($E978&gt;L$957,ROUND(($E978-L$957)*M$956,2),0)</f>
        <v>0</v>
      </c>
      <c r="N978" s="92"/>
      <c r="O978" s="92"/>
      <c r="P978" s="92"/>
      <c r="Q978" s="92"/>
      <c r="R978" s="16" t="e">
        <f>VLOOKUP((D979),'Pwr Factor'!$A$1:$B$52,2)</f>
        <v>#N/A</v>
      </c>
      <c r="S978" s="50">
        <v>0</v>
      </c>
      <c r="T978" s="92"/>
      <c r="U978" s="92"/>
      <c r="V978" s="32"/>
      <c r="W978" s="92"/>
      <c r="X978" s="92"/>
      <c r="Y978" s="92"/>
      <c r="Z978" s="92"/>
      <c r="AA978" s="92"/>
      <c r="AB978" s="19"/>
      <c r="AC978" s="105">
        <f t="shared" si="63"/>
        <v>0</v>
      </c>
    </row>
    <row r="979" spans="1:252" x14ac:dyDescent="0.2">
      <c r="A979" s="1" t="s">
        <v>147</v>
      </c>
      <c r="B979" s="103">
        <f>IF(AND('AES Indiana Bill Calc.'!$D$17="HL2",'AES Indiana Bill Calc.'!$D$18="No",'AES Indiana Bill Calc.'!$D$20="Yes Before 2018"),'AES Indiana Bill Calc.'!$D$19,-1)</f>
        <v>-1</v>
      </c>
      <c r="C979" s="103">
        <f>MAX(E979,$C$837)</f>
        <v>2000</v>
      </c>
      <c r="D979" s="103" t="b">
        <f>IF(AND('AES Indiana Bill Calc.'!$D$17="HL2",'AES Indiana Bill Calc.'!$D$18="No",'AES Indiana Bill Calc.'!$D$20="Yes Before 2018"),'AES Indiana Bill Calc.'!$D$22)</f>
        <v>0</v>
      </c>
      <c r="E979" s="103" t="b">
        <f>IF(AND('AES Indiana Bill Calc.'!$D$17="HL2",'AES Indiana Bill Calc.'!$D$18="No",'AES Indiana Bill Calc.'!$D$20="Yes Before 2018"),'AES Indiana Bill Calc.'!$D$21)</f>
        <v>0</v>
      </c>
      <c r="F979" s="36" t="s">
        <v>241</v>
      </c>
      <c r="G979" s="92" t="e">
        <f>SUM(J979:M979,R979:AA979)</f>
        <v>#N/A</v>
      </c>
      <c r="H979" s="19" t="e">
        <f>IF(ISBLANK(B979),0,+#REF!/B979)</f>
        <v>#REF!</v>
      </c>
      <c r="J979" s="109">
        <f t="shared" si="60"/>
        <v>215</v>
      </c>
      <c r="K979" s="92">
        <f t="shared" si="61"/>
        <v>-0.04</v>
      </c>
      <c r="L979" s="17">
        <f>IF(ISBLANK($C979),0,IF($C979&lt;$C$957,ROUND($C$957*$L$956,2),IF($C979&gt;L$957,ROUND(L$957*L$956,2),ROUND($C979*L$956,2))))</f>
        <v>50000</v>
      </c>
      <c r="M979" s="17">
        <f>IF($C979&gt;L$957,ROUND(($C979-L$957)*M$956,2),0)</f>
        <v>0</v>
      </c>
      <c r="N979" s="17">
        <f>K979</f>
        <v>-0.04</v>
      </c>
      <c r="O979" s="92"/>
      <c r="P979" s="92"/>
      <c r="Q979" s="17">
        <f>SUM(L979:M979)</f>
        <v>50000</v>
      </c>
      <c r="R979" s="110" t="e">
        <f>ROUND(SUM(K979:M979)*(R978-1),2)</f>
        <v>#N/A</v>
      </c>
      <c r="S979" s="92">
        <f>ROUND($B979*S$956*S978,2)</f>
        <v>0</v>
      </c>
      <c r="T979" s="92">
        <f>ROUND($B979*T$956,2)</f>
        <v>0</v>
      </c>
      <c r="U979" s="92">
        <f>ROUND($B979*U$956,2)</f>
        <v>0</v>
      </c>
      <c r="V979" s="32">
        <f>ROUND($B979*$V$947,2)</f>
        <v>0</v>
      </c>
      <c r="W979" s="92">
        <f>ROUND($B979*W$956,2)</f>
        <v>0</v>
      </c>
      <c r="X979" s="92">
        <f>ROUND($B979*X$956,2)</f>
        <v>-0.01</v>
      </c>
      <c r="Y979" s="92">
        <f>ROUND($B979*Y$956,2)</f>
        <v>0</v>
      </c>
      <c r="Z979" s="92">
        <f>ROUND($B979*Z$956,2)</f>
        <v>0</v>
      </c>
      <c r="AA979" s="92">
        <f>ROUND($B979*AA$956,2)</f>
        <v>0</v>
      </c>
      <c r="AB979" s="19">
        <f>SUM(U$956:AA$956)+(-V$956+V965)</f>
        <v>1.8550000000000025E-3</v>
      </c>
      <c r="AC979" s="105" t="str">
        <f t="shared" si="63"/>
        <v>HL27</v>
      </c>
    </row>
    <row r="980" spans="1:252" x14ac:dyDescent="0.2">
      <c r="B980" s="103">
        <v>-1</v>
      </c>
      <c r="D980" s="32"/>
      <c r="E980" s="103"/>
      <c r="F980" s="36"/>
      <c r="G980" s="92"/>
      <c r="H980" s="19" t="e">
        <f>IF(ISBLANK(B980),0,+#REF!/B980)</f>
        <v>#REF!</v>
      </c>
      <c r="J980" s="109">
        <f t="shared" si="60"/>
        <v>215</v>
      </c>
      <c r="K980" s="92">
        <f t="shared" si="61"/>
        <v>-0.04</v>
      </c>
      <c r="L980" s="92">
        <f>IF(ISBLANK($E980),0,IF($E980&lt;$C$957,ROUND($C$957*$L$956,2),IF($E980&gt;L$957,ROUND(L$957*L$956,2),ROUND($E980*L$956,2))))</f>
        <v>0</v>
      </c>
      <c r="M980" s="92">
        <f>IF($E980&gt;L$957,ROUND(($E980-L$957)*M$956,2),0)</f>
        <v>0</v>
      </c>
      <c r="N980" s="92"/>
      <c r="O980" s="92"/>
      <c r="P980" s="92"/>
      <c r="Q980" s="92"/>
      <c r="R980" s="16" t="e">
        <f>VLOOKUP((D981),'Pwr Factor'!$A$1:$B$52,2)</f>
        <v>#N/A</v>
      </c>
      <c r="S980" s="50">
        <v>1</v>
      </c>
      <c r="T980" s="92"/>
      <c r="U980" s="92"/>
      <c r="V980" s="32"/>
      <c r="W980" s="92"/>
      <c r="X980" s="92"/>
      <c r="Y980" s="92"/>
      <c r="Z980" s="92"/>
      <c r="AA980" s="92"/>
      <c r="AB980" s="19"/>
      <c r="AC980" s="105">
        <f t="shared" si="63"/>
        <v>0</v>
      </c>
    </row>
    <row r="981" spans="1:252" x14ac:dyDescent="0.2">
      <c r="A981" s="1" t="s">
        <v>148</v>
      </c>
      <c r="B981" s="103">
        <f>IF(AND('AES Indiana Bill Calc.'!$D$17="HL2",'AES Indiana Bill Calc.'!$D$18="Yes 100%",'AES Indiana Bill Calc.'!$D$20="Yes 2018"),'AES Indiana Bill Calc.'!$D$19,-1)</f>
        <v>-1</v>
      </c>
      <c r="C981" s="103">
        <f>MAX(E981,$C$837)</f>
        <v>2000</v>
      </c>
      <c r="D981" s="103" t="b">
        <f>IF(AND('AES Indiana Bill Calc.'!$D$17="HL2",'AES Indiana Bill Calc.'!$D$18="Yes 100%",'AES Indiana Bill Calc.'!$D$20="Yes 2018"),'AES Indiana Bill Calc.'!$D$22)</f>
        <v>0</v>
      </c>
      <c r="E981" s="103" t="b">
        <f>IF(AND('AES Indiana Bill Calc.'!$D$17="HL2",'AES Indiana Bill Calc.'!$D$18="Yes 100%",'AES Indiana Bill Calc.'!$D$20="Yes 2018"),'AES Indiana Bill Calc.'!$D$21)</f>
        <v>0</v>
      </c>
      <c r="F981" s="36" t="s">
        <v>242</v>
      </c>
      <c r="G981" s="92" t="e">
        <f>SUM(J981:M981,R981:AA981)</f>
        <v>#N/A</v>
      </c>
      <c r="H981" s="19" t="e">
        <f>IF(ISBLANK(B981),0,+#REF!/B981)</f>
        <v>#REF!</v>
      </c>
      <c r="J981" s="109">
        <f t="shared" si="60"/>
        <v>215</v>
      </c>
      <c r="K981" s="92">
        <f t="shared" si="61"/>
        <v>-0.04</v>
      </c>
      <c r="L981" s="17">
        <f>IF(ISBLANK($C981),0,IF($C981&lt;$C$957,ROUND($C$957*$L$956,2),IF($C981&gt;L$957,ROUND(L$957*L$956,2),ROUND($C981*L$956,2))))</f>
        <v>50000</v>
      </c>
      <c r="M981" s="17">
        <f>IF($C981&gt;L$957,ROUND(($C981-L$957)*M$956,2),0)</f>
        <v>0</v>
      </c>
      <c r="N981" s="17">
        <f>K981</f>
        <v>-0.04</v>
      </c>
      <c r="O981" s="92"/>
      <c r="P981" s="92"/>
      <c r="Q981" s="17">
        <f>SUM(L981:M981)</f>
        <v>50000</v>
      </c>
      <c r="R981" s="110" t="e">
        <f>ROUND(SUM(K981:M981)*(R980-1),2)</f>
        <v>#N/A</v>
      </c>
      <c r="S981" s="92">
        <f>ROUND($B981*S$956*S980,2)</f>
        <v>0</v>
      </c>
      <c r="T981" s="92">
        <f>ROUND($B981*T$956,2)</f>
        <v>0</v>
      </c>
      <c r="U981" s="92">
        <f>ROUND($B981*U$956,2)</f>
        <v>0</v>
      </c>
      <c r="V981" s="32">
        <f>ROUND($B981*$V$948,2)</f>
        <v>0</v>
      </c>
      <c r="W981" s="92">
        <f>ROUND($B981*W$956,2)</f>
        <v>0</v>
      </c>
      <c r="X981" s="92">
        <f>ROUND($B981*X$956,2)</f>
        <v>-0.01</v>
      </c>
      <c r="Y981" s="92">
        <f>ROUND($B981*Y$956,2)</f>
        <v>0</v>
      </c>
      <c r="Z981" s="92">
        <f>ROUND($B981*Z$956,2)</f>
        <v>0</v>
      </c>
      <c r="AA981" s="92">
        <f>ROUND($B981*AA$956,2)</f>
        <v>0</v>
      </c>
      <c r="AB981" s="19">
        <f>SUM(U$956:AA$956)+(-V$956+V967)</f>
        <v>1.8550000000000025E-3</v>
      </c>
      <c r="AC981" s="105" t="str">
        <f t="shared" si="63"/>
        <v>HL28</v>
      </c>
    </row>
    <row r="982" spans="1:252" x14ac:dyDescent="0.2">
      <c r="A982" s="9"/>
      <c r="B982" s="103">
        <v>-1</v>
      </c>
      <c r="D982" s="32"/>
      <c r="E982" s="103"/>
      <c r="F982" s="36"/>
      <c r="G982" s="92"/>
      <c r="H982" s="19" t="e">
        <f>IF(ISBLANK(B982),0,+#REF!/B982)</f>
        <v>#REF!</v>
      </c>
      <c r="J982" s="109">
        <f t="shared" si="60"/>
        <v>215</v>
      </c>
      <c r="K982" s="92">
        <f t="shared" si="61"/>
        <v>-0.04</v>
      </c>
      <c r="L982" s="92">
        <f>IF(ISBLANK($E982),0,IF($E982&lt;$C$957,ROUND($C$957*$L$956,2),IF($E982&gt;L$957,ROUND(L$957*L$956,2),ROUND($E982*L$956,2))))</f>
        <v>0</v>
      </c>
      <c r="M982" s="92">
        <f>IF($E982&gt;L$957,ROUND(($E982-L$957)*M$956,2),0)</f>
        <v>0</v>
      </c>
      <c r="N982" s="92"/>
      <c r="O982" s="92"/>
      <c r="P982" s="92"/>
      <c r="Q982" s="92"/>
      <c r="R982" s="16" t="e">
        <f>VLOOKUP((D983),'Pwr Factor'!$A$1:$B$52,2)</f>
        <v>#N/A</v>
      </c>
      <c r="S982" s="50">
        <v>0.5</v>
      </c>
      <c r="T982" s="92"/>
      <c r="U982" s="92"/>
      <c r="V982" s="32"/>
      <c r="W982" s="92"/>
      <c r="X982" s="92"/>
      <c r="Y982" s="92"/>
      <c r="Z982" s="92"/>
      <c r="AA982" s="92"/>
      <c r="AB982" s="19"/>
      <c r="AC982" s="105">
        <f t="shared" si="63"/>
        <v>0</v>
      </c>
    </row>
    <row r="983" spans="1:252" x14ac:dyDescent="0.2">
      <c r="A983" s="1" t="s">
        <v>149</v>
      </c>
      <c r="B983" s="103">
        <f>IF(AND('AES Indiana Bill Calc.'!$D$17="HL2",'AES Indiana Bill Calc.'!$D$18="Yes 50%",'AES Indiana Bill Calc.'!$D$20="Yes 2018"),'AES Indiana Bill Calc.'!$D$19,-1)</f>
        <v>-1</v>
      </c>
      <c r="C983" s="103">
        <f>MAX(E983,$C$837)</f>
        <v>2000</v>
      </c>
      <c r="D983" s="103" t="b">
        <f>IF(AND('AES Indiana Bill Calc.'!$D$17="HL2",'AES Indiana Bill Calc.'!$D$18="Yes 50%",'AES Indiana Bill Calc.'!$D$20="Yes 2018"),'AES Indiana Bill Calc.'!$D$22)</f>
        <v>0</v>
      </c>
      <c r="E983" s="103" t="b">
        <f>IF(AND('AES Indiana Bill Calc.'!$D$17="HL2",'AES Indiana Bill Calc.'!$D$18="Yes 50%",'AES Indiana Bill Calc.'!$D$20="Yes 2018"),'AES Indiana Bill Calc.'!$D$21)</f>
        <v>0</v>
      </c>
      <c r="F983" s="36" t="s">
        <v>242</v>
      </c>
      <c r="G983" s="92" t="e">
        <f>SUM(J983:M983,R983:AA983)</f>
        <v>#N/A</v>
      </c>
      <c r="H983" s="19" t="e">
        <f>IF(ISBLANK(B983),0,+#REF!/B983)</f>
        <v>#REF!</v>
      </c>
      <c r="J983" s="109">
        <f t="shared" si="60"/>
        <v>215</v>
      </c>
      <c r="K983" s="92">
        <f t="shared" si="61"/>
        <v>-0.04</v>
      </c>
      <c r="L983" s="17">
        <f>IF(ISBLANK($C983),0,IF($C983&lt;$C$957,ROUND($C$957*$L$956,2),IF($C983&gt;L$957,ROUND(L$957*L$956,2),ROUND($C983*L$956,2))))</f>
        <v>50000</v>
      </c>
      <c r="M983" s="17">
        <f>IF($C983&gt;L$957,ROUND(($C983-L$957)*M$956,2),0)</f>
        <v>0</v>
      </c>
      <c r="N983" s="17">
        <f>K983</f>
        <v>-0.04</v>
      </c>
      <c r="O983" s="92"/>
      <c r="P983" s="92"/>
      <c r="Q983" s="17">
        <f>SUM(L983:M983)</f>
        <v>50000</v>
      </c>
      <c r="R983" s="110" t="e">
        <f>ROUND(SUM(K983:M983)*(R982-1),2)</f>
        <v>#N/A</v>
      </c>
      <c r="S983" s="92">
        <f>ROUND($B983*S$956*S982,2)</f>
        <v>0</v>
      </c>
      <c r="T983" s="92">
        <f>ROUND($B983*T$956,2)</f>
        <v>0</v>
      </c>
      <c r="U983" s="92">
        <f>ROUND($B983*U$956,2)</f>
        <v>0</v>
      </c>
      <c r="V983" s="32">
        <f>ROUND($B983*$V$948,2)</f>
        <v>0</v>
      </c>
      <c r="W983" s="92">
        <f>ROUND($B983*W$956,2)</f>
        <v>0</v>
      </c>
      <c r="X983" s="92">
        <f>ROUND($B983*X$956,2)</f>
        <v>-0.01</v>
      </c>
      <c r="Y983" s="92">
        <f>ROUND($B983*Y$956,2)</f>
        <v>0</v>
      </c>
      <c r="Z983" s="92">
        <f>ROUND($B983*Z$956,2)</f>
        <v>0</v>
      </c>
      <c r="AA983" s="92">
        <f>ROUND($B983*AA$956,2)</f>
        <v>0</v>
      </c>
      <c r="AB983" s="19">
        <f>SUM(U$956:AA$956)+(-V$956+V969)</f>
        <v>1.8550000000000025E-3</v>
      </c>
      <c r="AC983" s="105" t="str">
        <f t="shared" si="63"/>
        <v>HL28</v>
      </c>
    </row>
    <row r="984" spans="1:252" x14ac:dyDescent="0.2">
      <c r="A984" s="9"/>
      <c r="B984" s="103">
        <v>-1</v>
      </c>
      <c r="D984" s="32"/>
      <c r="E984" s="103"/>
      <c r="F984" s="36"/>
      <c r="G984" s="92"/>
      <c r="H984" s="19" t="e">
        <f>IF(ISBLANK(B984),0,+#REF!/B984)</f>
        <v>#REF!</v>
      </c>
      <c r="J984" s="109">
        <f t="shared" si="60"/>
        <v>215</v>
      </c>
      <c r="K984" s="92">
        <f t="shared" si="61"/>
        <v>-0.04</v>
      </c>
      <c r="L984" s="92">
        <f>IF(ISBLANK($E984),0,IF($E984&lt;$C$957,ROUND($C$957*$L$956,2),IF($E984&gt;L$957,ROUND(L$957*L$956,2),ROUND($E984*L$956,2))))</f>
        <v>0</v>
      </c>
      <c r="M984" s="92">
        <f>IF($E984&gt;L$957,ROUND(($E984-L$957)*M$956,2),0)</f>
        <v>0</v>
      </c>
      <c r="N984" s="92"/>
      <c r="O984" s="92"/>
      <c r="P984" s="92"/>
      <c r="Q984" s="92"/>
      <c r="R984" s="16" t="e">
        <f>VLOOKUP((D985),'Pwr Factor'!$A$1:$B$52,2)</f>
        <v>#N/A</v>
      </c>
      <c r="S984" s="50">
        <v>0.25</v>
      </c>
      <c r="T984" s="92"/>
      <c r="U984" s="92"/>
      <c r="V984" s="32"/>
      <c r="W984" s="92"/>
      <c r="X984" s="92"/>
      <c r="Y984" s="92"/>
      <c r="Z984" s="92"/>
      <c r="AA984" s="92"/>
      <c r="AB984" s="19"/>
      <c r="AC984" s="105">
        <f t="shared" si="63"/>
        <v>0</v>
      </c>
    </row>
    <row r="985" spans="1:252" x14ac:dyDescent="0.2">
      <c r="A985" s="1" t="s">
        <v>150</v>
      </c>
      <c r="B985" s="103">
        <f>IF(AND('AES Indiana Bill Calc.'!$D$17="HL2",'AES Indiana Bill Calc.'!$D$18="Yes 25%",'AES Indiana Bill Calc.'!$D$20="Yes 2018"),'AES Indiana Bill Calc.'!$D$19,-1)</f>
        <v>-1</v>
      </c>
      <c r="C985" s="103">
        <f>MAX(E985,$C$837)</f>
        <v>2000</v>
      </c>
      <c r="D985" s="103" t="b">
        <f>IF(AND('AES Indiana Bill Calc.'!$D$17="HL2",'AES Indiana Bill Calc.'!$D$18="Yes 25%",'AES Indiana Bill Calc.'!$D$20="Yes 2018"),'AES Indiana Bill Calc.'!$D$22)</f>
        <v>0</v>
      </c>
      <c r="E985" s="103" t="b">
        <f>IF(AND('AES Indiana Bill Calc.'!$D$17="HL2",'AES Indiana Bill Calc.'!$D$18="Yes 25%",'AES Indiana Bill Calc.'!$D$20="Yes 2018"),'AES Indiana Bill Calc.'!$D$21)</f>
        <v>0</v>
      </c>
      <c r="F985" s="36" t="s">
        <v>242</v>
      </c>
      <c r="G985" s="92" t="e">
        <f>SUM(J985:M985,R985:AA985)</f>
        <v>#N/A</v>
      </c>
      <c r="H985" s="19" t="e">
        <f>IF(ISBLANK(B985),0,+#REF!/B985)</f>
        <v>#REF!</v>
      </c>
      <c r="J985" s="109">
        <f t="shared" si="60"/>
        <v>215</v>
      </c>
      <c r="K985" s="92">
        <f t="shared" si="61"/>
        <v>-0.04</v>
      </c>
      <c r="L985" s="17">
        <f>IF(ISBLANK($C985),0,IF($C985&lt;$C$957,ROUND($C$957*$L$956,2),IF($C985&gt;L$957,ROUND(L$957*L$956,2),ROUND($C985*L$956,2))))</f>
        <v>50000</v>
      </c>
      <c r="M985" s="17">
        <f>IF($C985&gt;L$957,ROUND(($C985-L$957)*M$956,2),0)</f>
        <v>0</v>
      </c>
      <c r="N985" s="17">
        <f>K985</f>
        <v>-0.04</v>
      </c>
      <c r="O985" s="92"/>
      <c r="P985" s="92"/>
      <c r="Q985" s="17">
        <f>SUM(L985:M985)</f>
        <v>50000</v>
      </c>
      <c r="R985" s="110" t="e">
        <f>ROUND(SUM(K985:M985)*(R984-1),2)</f>
        <v>#N/A</v>
      </c>
      <c r="S985" s="92">
        <f>ROUND($B985*S$956*S984,2)</f>
        <v>0</v>
      </c>
      <c r="T985" s="92">
        <f>ROUND($B985*T$956,2)</f>
        <v>0</v>
      </c>
      <c r="U985" s="92">
        <f>ROUND($B985*U$956,2)</f>
        <v>0</v>
      </c>
      <c r="V985" s="32">
        <f>ROUND($B985*$V$948,2)</f>
        <v>0</v>
      </c>
      <c r="W985" s="92">
        <f>ROUND($B985*W$956,2)</f>
        <v>0</v>
      </c>
      <c r="X985" s="92">
        <f>ROUND($B985*X$956,2)</f>
        <v>-0.01</v>
      </c>
      <c r="Y985" s="92">
        <f>ROUND($B985*Y$956,2)</f>
        <v>0</v>
      </c>
      <c r="Z985" s="92">
        <f>ROUND($B985*Z$956,2)</f>
        <v>0</v>
      </c>
      <c r="AA985" s="92">
        <f>ROUND($B985*AA$956,2)</f>
        <v>0</v>
      </c>
      <c r="AB985" s="19">
        <f>SUM(U$956:AA$956)+(-V$956+V971)</f>
        <v>1.1855000000000001E-2</v>
      </c>
      <c r="AC985" s="105" t="str">
        <f t="shared" si="63"/>
        <v>HL28</v>
      </c>
    </row>
    <row r="986" spans="1:252" x14ac:dyDescent="0.2">
      <c r="A986" s="9"/>
      <c r="B986" s="103">
        <v>-1</v>
      </c>
      <c r="D986" s="32"/>
      <c r="E986" s="103"/>
      <c r="F986" s="36"/>
      <c r="G986" s="92"/>
      <c r="H986" s="19" t="e">
        <f>IF(ISBLANK(B986),0,+#REF!/B986)</f>
        <v>#REF!</v>
      </c>
      <c r="J986" s="109">
        <f t="shared" si="60"/>
        <v>215</v>
      </c>
      <c r="K986" s="92">
        <f t="shared" si="61"/>
        <v>-0.04</v>
      </c>
      <c r="L986" s="92">
        <f>IF(ISBLANK($E986),0,IF($E986&lt;$C$957,ROUND($C$957*$L$956,2),IF($E986&gt;L$957,ROUND(L$957*L$956,2),ROUND($E986*L$956,2))))</f>
        <v>0</v>
      </c>
      <c r="M986" s="92">
        <f>IF($E986&gt;L$957,ROUND(($E986-L$957)*M$956,2),0)</f>
        <v>0</v>
      </c>
      <c r="N986" s="92"/>
      <c r="O986" s="92"/>
      <c r="P986" s="92"/>
      <c r="Q986" s="92"/>
      <c r="R986" s="16" t="e">
        <f>VLOOKUP((D987),'Pwr Factor'!$A$1:$B$52,2)</f>
        <v>#N/A</v>
      </c>
      <c r="S986" s="50">
        <v>0.1</v>
      </c>
      <c r="T986" s="92"/>
      <c r="U986" s="92"/>
      <c r="V986" s="32"/>
      <c r="W986" s="92"/>
      <c r="X986" s="92"/>
      <c r="Y986" s="92"/>
      <c r="Z986" s="92"/>
      <c r="AA986" s="92"/>
      <c r="AB986" s="19"/>
      <c r="AC986" s="105">
        <f t="shared" si="63"/>
        <v>0</v>
      </c>
    </row>
    <row r="987" spans="1:252" x14ac:dyDescent="0.2">
      <c r="A987" s="1" t="s">
        <v>164</v>
      </c>
      <c r="B987" s="103">
        <f>IF(AND('AES Indiana Bill Calc.'!$D$17="HL2",'AES Indiana Bill Calc.'!$D$18="Yes 10%",'AES Indiana Bill Calc.'!$D$20="Yes 2018"),'AES Indiana Bill Calc.'!$D$19,-1)</f>
        <v>-1</v>
      </c>
      <c r="C987" s="103">
        <f>MAX(E987,$C$837)</f>
        <v>2000</v>
      </c>
      <c r="D987" s="103" t="b">
        <f>IF(AND('AES Indiana Bill Calc.'!$D$17="HL2",'AES Indiana Bill Calc.'!$D$18="Yes 10%",'AES Indiana Bill Calc.'!$D$20="Yes 2018"),'AES Indiana Bill Calc.'!$D$22)</f>
        <v>0</v>
      </c>
      <c r="E987" s="103" t="b">
        <f>IF(AND('AES Indiana Bill Calc.'!$D$17="HL2",'AES Indiana Bill Calc.'!$D$18="Yes 10%",'AES Indiana Bill Calc.'!$D$20="Yes 2018"),'AES Indiana Bill Calc.'!$D$21)</f>
        <v>0</v>
      </c>
      <c r="F987" s="36" t="s">
        <v>242</v>
      </c>
      <c r="G987" s="92" t="e">
        <f>SUM(J987:M987,R987:AA987)</f>
        <v>#N/A</v>
      </c>
      <c r="H987" s="19" t="e">
        <f>IF(ISBLANK(B987),0,+#REF!/B987)</f>
        <v>#REF!</v>
      </c>
      <c r="J987" s="109">
        <f t="shared" si="60"/>
        <v>215</v>
      </c>
      <c r="K987" s="92">
        <f t="shared" si="61"/>
        <v>-0.04</v>
      </c>
      <c r="L987" s="17">
        <f>IF(ISBLANK($C987),0,IF($C987&lt;$C$957,ROUND($C$957*$L$956,2),IF($C987&gt;L$957,ROUND(L$957*L$956,2),ROUND($C987*L$956,2))))</f>
        <v>50000</v>
      </c>
      <c r="M987" s="17">
        <f>IF($C987&gt;L$957,ROUND(($C987-L$957)*M$956,2),0)</f>
        <v>0</v>
      </c>
      <c r="N987" s="17">
        <f>K987</f>
        <v>-0.04</v>
      </c>
      <c r="O987" s="92"/>
      <c r="P987" s="92"/>
      <c r="Q987" s="17">
        <f>SUM(L987:M987)</f>
        <v>50000</v>
      </c>
      <c r="R987" s="110" t="e">
        <f>ROUND(SUM(K987:M987)*(R986-1),2)</f>
        <v>#N/A</v>
      </c>
      <c r="S987" s="92">
        <f>ROUND($B987*S$956*S986,2)</f>
        <v>0</v>
      </c>
      <c r="T987" s="92">
        <f>ROUND($B987*T$956,2)</f>
        <v>0</v>
      </c>
      <c r="U987" s="92">
        <f>ROUND($B987*U$956,2)</f>
        <v>0</v>
      </c>
      <c r="V987" s="32">
        <f>ROUND($B987*$V$948,2)</f>
        <v>0</v>
      </c>
      <c r="W987" s="92">
        <f>ROUND($B987*W$956,2)</f>
        <v>0</v>
      </c>
      <c r="X987" s="92">
        <f>ROUND($B987*X$956,2)</f>
        <v>-0.01</v>
      </c>
      <c r="Y987" s="92">
        <f>ROUND($B987*Y$956,2)</f>
        <v>0</v>
      </c>
      <c r="Z987" s="92">
        <f>ROUND($B987*Z$956,2)</f>
        <v>0</v>
      </c>
      <c r="AA987" s="92">
        <f>ROUND($B987*AA$956,2)</f>
        <v>0</v>
      </c>
      <c r="AB987" s="19">
        <f>SUM(U$956:AA$956)+(-V$956+V973)</f>
        <v>1.1855000000000001E-2</v>
      </c>
      <c r="AC987" s="105" t="str">
        <f t="shared" si="63"/>
        <v>HL28</v>
      </c>
    </row>
    <row r="988" spans="1:252" x14ac:dyDescent="0.2">
      <c r="A988" s="9"/>
      <c r="B988" s="103">
        <v>-1</v>
      </c>
      <c r="D988" s="32"/>
      <c r="E988" s="103"/>
      <c r="F988" s="36"/>
      <c r="G988" s="92"/>
      <c r="H988" s="19" t="e">
        <f>IF(ISBLANK(B988),0,+#REF!/B988)</f>
        <v>#REF!</v>
      </c>
      <c r="J988" s="109">
        <f t="shared" si="60"/>
        <v>215</v>
      </c>
      <c r="K988" s="92">
        <f t="shared" si="61"/>
        <v>-0.04</v>
      </c>
      <c r="L988" s="92">
        <f>IF(ISBLANK($E988),0,IF($E988&lt;$C$957,ROUND($C$957*$L$956,2),IF($E988&gt;L$957,ROUND(L$957*L$956,2),ROUND($E988*L$956,2))))</f>
        <v>0</v>
      </c>
      <c r="M988" s="92">
        <f>IF($E988&gt;L$957,ROUND(($E988-L$957)*M$956,2),0)</f>
        <v>0</v>
      </c>
      <c r="N988" s="92"/>
      <c r="O988" s="92"/>
      <c r="P988" s="92"/>
      <c r="Q988" s="92"/>
      <c r="R988" s="16" t="e">
        <f>VLOOKUP((D989),'Pwr Factor'!$A$1:$B$52,2)</f>
        <v>#N/A</v>
      </c>
      <c r="S988" s="50">
        <v>0</v>
      </c>
      <c r="T988" s="92"/>
      <c r="U988" s="92"/>
      <c r="V988" s="32"/>
      <c r="W988" s="92"/>
      <c r="X988" s="92"/>
      <c r="Y988" s="92"/>
      <c r="Z988" s="92"/>
      <c r="AA988" s="92"/>
      <c r="AB988" s="19"/>
      <c r="AC988" s="105">
        <f t="shared" si="63"/>
        <v>0</v>
      </c>
    </row>
    <row r="989" spans="1:252" x14ac:dyDescent="0.2">
      <c r="A989" s="1" t="s">
        <v>147</v>
      </c>
      <c r="B989" s="103">
        <f>IF(AND('AES Indiana Bill Calc.'!$D$17="HL2",'AES Indiana Bill Calc.'!$D$18="No",'AES Indiana Bill Calc.'!$D$20="Yes 2018"),'AES Indiana Bill Calc.'!$D$19,-1)</f>
        <v>-1</v>
      </c>
      <c r="C989" s="103">
        <f>MAX(E989,$C$837)</f>
        <v>2000</v>
      </c>
      <c r="D989" s="103" t="b">
        <f>IF(AND('AES Indiana Bill Calc.'!$D$17="HL2",'AES Indiana Bill Calc.'!$D$18="No",'AES Indiana Bill Calc.'!$D$20="Yes 2018"),'AES Indiana Bill Calc.'!$D$22)</f>
        <v>0</v>
      </c>
      <c r="E989" s="103" t="b">
        <f>IF(AND('AES Indiana Bill Calc.'!$D$17="HL2",'AES Indiana Bill Calc.'!$D$18="No",'AES Indiana Bill Calc.'!$D$20="Yes 2018"),'AES Indiana Bill Calc.'!$D$21)</f>
        <v>0</v>
      </c>
      <c r="F989" s="36" t="s">
        <v>242</v>
      </c>
      <c r="G989" s="92" t="e">
        <f>SUM(J989:M989,R989:AA989)</f>
        <v>#N/A</v>
      </c>
      <c r="H989" s="19" t="e">
        <f>IF(ISBLANK(B989),0,+#REF!/B989)</f>
        <v>#REF!</v>
      </c>
      <c r="J989" s="109">
        <f t="shared" si="60"/>
        <v>215</v>
      </c>
      <c r="K989" s="92">
        <f t="shared" si="61"/>
        <v>-0.04</v>
      </c>
      <c r="L989" s="17">
        <f>IF(ISBLANK($C989),0,IF($C989&lt;$C$957,ROUND($C$957*$L$956,2),IF($C989&gt;L$957,ROUND(L$957*L$956,2),ROUND($C989*L$956,2))))</f>
        <v>50000</v>
      </c>
      <c r="M989" s="17">
        <f>IF($C989&gt;L$957,ROUND(($C989-L$957)*M$956,2),0)</f>
        <v>0</v>
      </c>
      <c r="N989" s="17">
        <f>K989</f>
        <v>-0.04</v>
      </c>
      <c r="O989" s="92"/>
      <c r="P989" s="92"/>
      <c r="Q989" s="17">
        <f>SUM(L989:M989)</f>
        <v>50000</v>
      </c>
      <c r="R989" s="110" t="e">
        <f>ROUND(SUM(K989:M989)*(R988-1),2)</f>
        <v>#N/A</v>
      </c>
      <c r="S989" s="92">
        <f>ROUND($B989*S$956*S988,2)</f>
        <v>0</v>
      </c>
      <c r="T989" s="92">
        <f>ROUND($B989*T$956,2)</f>
        <v>0</v>
      </c>
      <c r="U989" s="92">
        <f>ROUND($B989*U$956,2)</f>
        <v>0</v>
      </c>
      <c r="V989" s="32">
        <f>ROUND($B989*$V$948,2)</f>
        <v>0</v>
      </c>
      <c r="W989" s="92">
        <f>ROUND($B989*W$956,2)</f>
        <v>0</v>
      </c>
      <c r="X989" s="92">
        <f>ROUND($B989*X$956,2)</f>
        <v>-0.01</v>
      </c>
      <c r="Y989" s="92">
        <f>ROUND($B989*Y$956,2)</f>
        <v>0</v>
      </c>
      <c r="Z989" s="92">
        <f>ROUND($B989*Z$956,2)</f>
        <v>0</v>
      </c>
      <c r="AA989" s="92">
        <f>ROUND($B989*AA$956,2)</f>
        <v>0</v>
      </c>
      <c r="AB989" s="19">
        <f>SUM(U$956:AA$956)+(-V$956+V975)</f>
        <v>1.1855000000000001E-2</v>
      </c>
      <c r="AC989" s="105" t="str">
        <f t="shared" si="63"/>
        <v>HL28</v>
      </c>
    </row>
    <row r="990" spans="1:252" x14ac:dyDescent="0.2">
      <c r="B990" s="103">
        <v>-1</v>
      </c>
      <c r="D990" s="32"/>
      <c r="E990" s="103"/>
      <c r="F990" s="36"/>
      <c r="G990" s="92"/>
      <c r="H990" s="19" t="e">
        <f>IF(ISBLANK(B990),0,+#REF!/B990)</f>
        <v>#REF!</v>
      </c>
      <c r="J990" s="109">
        <f t="shared" si="60"/>
        <v>215</v>
      </c>
      <c r="K990" s="92">
        <f t="shared" si="61"/>
        <v>-0.04</v>
      </c>
      <c r="L990" s="92">
        <f>IF(ISBLANK($E990),0,IF($E990&lt;$C$957,ROUND($C$957*$L$956,2),IF($E990&gt;L$957,ROUND(L$957*L$956,2),ROUND($E990*L$956,2))))</f>
        <v>0</v>
      </c>
      <c r="M990" s="92">
        <f>IF($E990&gt;L$957,ROUND(($E990-L$957)*M$956,2),0)</f>
        <v>0</v>
      </c>
      <c r="N990" s="92"/>
      <c r="O990" s="92"/>
      <c r="P990" s="92"/>
      <c r="Q990" s="92"/>
      <c r="R990" s="16" t="e">
        <f>VLOOKUP((D991),'Pwr Factor'!$A$1:$B$52,2)</f>
        <v>#N/A</v>
      </c>
      <c r="S990" s="50">
        <v>1</v>
      </c>
      <c r="T990" s="92"/>
      <c r="U990" s="92"/>
      <c r="V990" s="32"/>
      <c r="W990" s="92"/>
      <c r="X990" s="92"/>
      <c r="Y990" s="92"/>
      <c r="Z990" s="92"/>
      <c r="AA990" s="92"/>
      <c r="AB990" s="19"/>
      <c r="AC990" s="105">
        <f t="shared" si="63"/>
        <v>0</v>
      </c>
    </row>
    <row r="991" spans="1:252" s="21" customFormat="1" ht="13.5" thickBot="1" x14ac:dyDescent="0.25">
      <c r="A991" s="1" t="s">
        <v>148</v>
      </c>
      <c r="B991" s="103">
        <f>IF(AND('AES Indiana Bill Calc.'!$D$17="HL2",'AES Indiana Bill Calc.'!$D$18="Yes 100%",'AES Indiana Bill Calc.'!$D$20="Yes 2019"),'AES Indiana Bill Calc.'!$D$19,-1)</f>
        <v>-1</v>
      </c>
      <c r="C991" s="103">
        <f>MAX(E991,$C$837)</f>
        <v>2000</v>
      </c>
      <c r="D991" s="103" t="b">
        <f>IF(AND('AES Indiana Bill Calc.'!$D$17="HL2",'AES Indiana Bill Calc.'!$D$18="Yes 100%",'AES Indiana Bill Calc.'!$D$20="Yes 2019"),'AES Indiana Bill Calc.'!$D$22)</f>
        <v>0</v>
      </c>
      <c r="E991" s="103" t="b">
        <f>IF(AND('AES Indiana Bill Calc.'!$D$17="HL2",'AES Indiana Bill Calc.'!$D$18="Yes 100%",'AES Indiana Bill Calc.'!$D$20="Yes 2019"),'AES Indiana Bill Calc.'!$D$21)</f>
        <v>0</v>
      </c>
      <c r="F991" s="36" t="s">
        <v>243</v>
      </c>
      <c r="G991" s="92" t="e">
        <f>SUM(J991:M991,R991:AA991)</f>
        <v>#N/A</v>
      </c>
      <c r="H991" s="19" t="e">
        <f>IF(ISBLANK(B991),0,+#REF!/B991)</f>
        <v>#REF!</v>
      </c>
      <c r="I991"/>
      <c r="J991" s="109">
        <f t="shared" si="60"/>
        <v>215</v>
      </c>
      <c r="K991" s="92">
        <f t="shared" si="61"/>
        <v>-0.04</v>
      </c>
      <c r="L991" s="17">
        <f>IF(ISBLANK($C991),0,IF($C991&lt;$C$957,ROUND($C$957*$L$956,2),IF($C991&gt;L$957,ROUND(L$957*L$956,2),ROUND($C991*L$956,2))))</f>
        <v>50000</v>
      </c>
      <c r="M991" s="17">
        <f>IF($C991&gt;L$957,ROUND(($C991-L$957)*M$956,2),0)</f>
        <v>0</v>
      </c>
      <c r="N991" s="17">
        <f>K991</f>
        <v>-0.04</v>
      </c>
      <c r="O991" s="92"/>
      <c r="P991" s="92"/>
      <c r="Q991" s="17">
        <f>SUM(L991:M991)</f>
        <v>50000</v>
      </c>
      <c r="R991" s="110" t="e">
        <f>ROUND(SUM(K991:M991)*(R990-1),2)</f>
        <v>#N/A</v>
      </c>
      <c r="S991" s="92">
        <f>ROUND($B991*S$956*S990,2)</f>
        <v>0</v>
      </c>
      <c r="T991" s="92">
        <f>ROUND($B991*T$956,2)</f>
        <v>0</v>
      </c>
      <c r="U991" s="92">
        <f>ROUND($B991*U$956,2)</f>
        <v>0</v>
      </c>
      <c r="V991" s="32">
        <f>ROUND($B991*$V$949,2)</f>
        <v>0</v>
      </c>
      <c r="W991" s="92">
        <f>ROUND($B991*W$956,2)</f>
        <v>0</v>
      </c>
      <c r="X991" s="92">
        <f>ROUND($B991*X$956,2)</f>
        <v>-0.01</v>
      </c>
      <c r="Y991" s="92">
        <f>ROUND($B991*Y$956,2)</f>
        <v>0</v>
      </c>
      <c r="Z991" s="92">
        <f>ROUND($B991*Z$956,2)</f>
        <v>0</v>
      </c>
      <c r="AA991" s="92">
        <f>ROUND($B991*AA$956,2)</f>
        <v>0</v>
      </c>
      <c r="AB991" s="19">
        <f>SUM(U$956:AA$956)+(-V$956+V977)</f>
        <v>1.1855000000000001E-2</v>
      </c>
      <c r="AC991" s="105" t="str">
        <f t="shared" si="63"/>
        <v>HL29</v>
      </c>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c r="HE991"/>
      <c r="HF991"/>
      <c r="HG991"/>
      <c r="HH991"/>
      <c r="HI991"/>
      <c r="HJ991"/>
      <c r="HK991"/>
      <c r="HL991"/>
      <c r="HM991"/>
      <c r="HN991"/>
      <c r="HO991"/>
      <c r="HP991"/>
      <c r="HQ991"/>
      <c r="HR991"/>
      <c r="HS991"/>
      <c r="HT991"/>
      <c r="HU991"/>
      <c r="HV991"/>
      <c r="HW991"/>
      <c r="HX991"/>
      <c r="HY991"/>
      <c r="HZ991"/>
      <c r="IA991"/>
      <c r="IB991"/>
      <c r="IC991"/>
      <c r="ID991"/>
      <c r="IE991"/>
      <c r="IF991"/>
      <c r="IG991"/>
      <c r="IH991"/>
      <c r="II991"/>
      <c r="IJ991"/>
      <c r="IK991"/>
      <c r="IL991"/>
      <c r="IM991"/>
      <c r="IN991"/>
      <c r="IO991"/>
      <c r="IP991"/>
      <c r="IQ991"/>
      <c r="IR991"/>
    </row>
    <row r="992" spans="1:252" x14ac:dyDescent="0.2">
      <c r="A992" s="9"/>
      <c r="B992" s="103">
        <v>-1</v>
      </c>
      <c r="D992" s="32"/>
      <c r="E992" s="103"/>
      <c r="F992" s="36"/>
      <c r="G992" s="92"/>
      <c r="H992" s="19" t="e">
        <f>IF(ISBLANK(B992),0,+#REF!/B992)</f>
        <v>#REF!</v>
      </c>
      <c r="J992" s="109">
        <f t="shared" si="60"/>
        <v>215</v>
      </c>
      <c r="K992" s="92">
        <f t="shared" si="61"/>
        <v>-0.04</v>
      </c>
      <c r="L992" s="92">
        <f>IF(ISBLANK($E992),0,IF($E992&lt;$C$957,ROUND($C$957*$L$956,2),IF($E992&gt;L$957,ROUND(L$957*L$956,2),ROUND($E992*L$956,2))))</f>
        <v>0</v>
      </c>
      <c r="M992" s="92">
        <f>IF($E992&gt;L$957,ROUND(($E992-L$957)*M$956,2),0)</f>
        <v>0</v>
      </c>
      <c r="N992" s="92"/>
      <c r="O992" s="92"/>
      <c r="P992" s="92"/>
      <c r="Q992" s="92"/>
      <c r="R992" s="16" t="e">
        <f>VLOOKUP((D993),'Pwr Factor'!$A$1:$B$52,2)</f>
        <v>#N/A</v>
      </c>
      <c r="S992" s="50">
        <v>0.5</v>
      </c>
      <c r="T992" s="92"/>
      <c r="U992" s="92"/>
      <c r="V992" s="32"/>
      <c r="W992" s="92"/>
      <c r="X992" s="92"/>
      <c r="Y992" s="92"/>
      <c r="Z992" s="92"/>
      <c r="AA992" s="92"/>
      <c r="AB992" s="19"/>
      <c r="AC992" s="105">
        <f t="shared" si="63"/>
        <v>0</v>
      </c>
    </row>
    <row r="993" spans="1:29" x14ac:dyDescent="0.2">
      <c r="A993" s="1" t="s">
        <v>149</v>
      </c>
      <c r="B993" s="103">
        <f>IF(AND('AES Indiana Bill Calc.'!$D$17="HL2",'AES Indiana Bill Calc.'!$D$18="Yes 50%",'AES Indiana Bill Calc.'!$D$20="Yes 2019"),'AES Indiana Bill Calc.'!$D$19,-1)</f>
        <v>-1</v>
      </c>
      <c r="C993" s="103">
        <f>MAX(E993,$C$837)</f>
        <v>2000</v>
      </c>
      <c r="D993" s="103" t="b">
        <f>IF(AND('AES Indiana Bill Calc.'!$D$17="HL2",'AES Indiana Bill Calc.'!$D$18="Yes 50%",'AES Indiana Bill Calc.'!$D$20="Yes 2019"),'AES Indiana Bill Calc.'!$D$22)</f>
        <v>0</v>
      </c>
      <c r="E993" s="103" t="b">
        <f>IF(AND('AES Indiana Bill Calc.'!$D$17="HL2",'AES Indiana Bill Calc.'!$D$18="Yes 50%",'AES Indiana Bill Calc.'!$D$20="Yes 2019"),'AES Indiana Bill Calc.'!$D$21)</f>
        <v>0</v>
      </c>
      <c r="F993" s="36" t="s">
        <v>243</v>
      </c>
      <c r="G993" s="92" t="e">
        <f>SUM(J993:M993,R993:AA993)</f>
        <v>#N/A</v>
      </c>
      <c r="H993" s="19" t="e">
        <f>IF(ISBLANK(B993),0,+#REF!/B993)</f>
        <v>#REF!</v>
      </c>
      <c r="J993" s="109">
        <f t="shared" si="60"/>
        <v>215</v>
      </c>
      <c r="K993" s="92">
        <f t="shared" si="61"/>
        <v>-0.04</v>
      </c>
      <c r="L993" s="17">
        <f>IF(ISBLANK($C993),0,IF($C993&lt;$C$957,ROUND($C$957*$L$956,2),IF($C993&gt;L$957,ROUND(L$957*L$956,2),ROUND($C993*L$956,2))))</f>
        <v>50000</v>
      </c>
      <c r="M993" s="17">
        <f>IF($C993&gt;L$957,ROUND(($C993-L$957)*M$956,2),0)</f>
        <v>0</v>
      </c>
      <c r="N993" s="17">
        <f>K993</f>
        <v>-0.04</v>
      </c>
      <c r="O993" s="92"/>
      <c r="P993" s="92"/>
      <c r="Q993" s="17">
        <f>SUM(L993:M993)</f>
        <v>50000</v>
      </c>
      <c r="R993" s="110" t="e">
        <f>ROUND(SUM(K993:M993)*(R992-1),2)</f>
        <v>#N/A</v>
      </c>
      <c r="S993" s="92">
        <f>ROUND($B993*S$956*S992,2)</f>
        <v>0</v>
      </c>
      <c r="T993" s="92">
        <f>ROUND($B993*T$956,2)</f>
        <v>0</v>
      </c>
      <c r="U993" s="92">
        <f>ROUND($B993*U$956,2)</f>
        <v>0</v>
      </c>
      <c r="V993" s="32">
        <f>ROUND($B993*$V$949,2)</f>
        <v>0</v>
      </c>
      <c r="W993" s="92">
        <f>ROUND($B993*W$956,2)</f>
        <v>0</v>
      </c>
      <c r="X993" s="92">
        <f>ROUND($B993*X$956,2)</f>
        <v>-0.01</v>
      </c>
      <c r="Y993" s="92">
        <f>ROUND($B993*Y$956,2)</f>
        <v>0</v>
      </c>
      <c r="Z993" s="92">
        <f>ROUND($B993*Z$956,2)</f>
        <v>0</v>
      </c>
      <c r="AA993" s="92">
        <f>ROUND($B993*AA$956,2)</f>
        <v>0</v>
      </c>
      <c r="AB993" s="19">
        <f>SUM(U$956:AA$956)+(-V$956+V979)</f>
        <v>1.1855000000000001E-2</v>
      </c>
      <c r="AC993" s="105" t="str">
        <f t="shared" si="63"/>
        <v>HL29</v>
      </c>
    </row>
    <row r="994" spans="1:29" x14ac:dyDescent="0.2">
      <c r="A994" s="9"/>
      <c r="B994" s="103">
        <v>-1</v>
      </c>
      <c r="D994" s="32"/>
      <c r="E994" s="103"/>
      <c r="F994" s="36"/>
      <c r="G994" s="92"/>
      <c r="H994" s="19" t="e">
        <f>IF(ISBLANK(B994),0,+#REF!/B994)</f>
        <v>#REF!</v>
      </c>
      <c r="J994" s="109">
        <f t="shared" si="60"/>
        <v>215</v>
      </c>
      <c r="K994" s="92">
        <f t="shared" si="61"/>
        <v>-0.04</v>
      </c>
      <c r="L994" s="92">
        <f>IF(ISBLANK($E994),0,IF($E994&lt;$C$957,ROUND($C$957*$L$956,2),IF($E994&gt;L$957,ROUND(L$957*L$956,2),ROUND($E994*L$956,2))))</f>
        <v>0</v>
      </c>
      <c r="M994" s="92">
        <f>IF($E994&gt;L$957,ROUND(($E994-L$957)*M$956,2),0)</f>
        <v>0</v>
      </c>
      <c r="N994" s="92"/>
      <c r="O994" s="92"/>
      <c r="P994" s="92"/>
      <c r="Q994" s="92"/>
      <c r="R994" s="16" t="e">
        <f>VLOOKUP((D995),'Pwr Factor'!$A$1:$B$52,2)</f>
        <v>#N/A</v>
      </c>
      <c r="S994" s="50">
        <v>0.25</v>
      </c>
      <c r="T994" s="92"/>
      <c r="U994" s="92"/>
      <c r="V994" s="32"/>
      <c r="W994" s="92"/>
      <c r="X994" s="92"/>
      <c r="Y994" s="92"/>
      <c r="Z994" s="92"/>
      <c r="AA994" s="92"/>
      <c r="AB994" s="19"/>
      <c r="AC994" s="105">
        <f t="shared" si="63"/>
        <v>0</v>
      </c>
    </row>
    <row r="995" spans="1:29" x14ac:dyDescent="0.2">
      <c r="A995" s="1" t="s">
        <v>150</v>
      </c>
      <c r="B995" s="103">
        <f>IF(AND('AES Indiana Bill Calc.'!$D$17="HL2",'AES Indiana Bill Calc.'!$D$18="Yes 25%",'AES Indiana Bill Calc.'!$D$20="Yes 2019"),'AES Indiana Bill Calc.'!$D$19,-1)</f>
        <v>-1</v>
      </c>
      <c r="C995" s="103">
        <f>MAX(E995,$C$837)</f>
        <v>2000</v>
      </c>
      <c r="D995" s="103" t="b">
        <f>IF(AND('AES Indiana Bill Calc.'!$D$17="HL2",'AES Indiana Bill Calc.'!$D$18="Yes 25%",'AES Indiana Bill Calc.'!$D$20="Yes 2019"),'AES Indiana Bill Calc.'!$D$22)</f>
        <v>0</v>
      </c>
      <c r="E995" s="103" t="b">
        <f>IF(AND('AES Indiana Bill Calc.'!$D$17="HL2",'AES Indiana Bill Calc.'!$D$18="Yes 25%",'AES Indiana Bill Calc.'!$D$20="Yes 2019"),'AES Indiana Bill Calc.'!$D$21)</f>
        <v>0</v>
      </c>
      <c r="F995" s="36" t="s">
        <v>243</v>
      </c>
      <c r="G995" s="92" t="e">
        <f>SUM(J995:M995,R995:AA995)</f>
        <v>#N/A</v>
      </c>
      <c r="H995" s="19" t="e">
        <f>IF(ISBLANK(B995),0,+#REF!/B995)</f>
        <v>#REF!</v>
      </c>
      <c r="J995" s="109">
        <f t="shared" si="60"/>
        <v>215</v>
      </c>
      <c r="K995" s="92">
        <f t="shared" si="61"/>
        <v>-0.04</v>
      </c>
      <c r="L995" s="17">
        <f>IF(ISBLANK($C995),0,IF($C995&lt;$C$957,ROUND($C$957*$L$956,2),IF($C995&gt;L$957,ROUND(L$957*L$956,2),ROUND($C995*L$956,2))))</f>
        <v>50000</v>
      </c>
      <c r="M995" s="17">
        <f>IF($C995&gt;L$957,ROUND(($C995-L$957)*M$956,2),0)</f>
        <v>0</v>
      </c>
      <c r="N995" s="17">
        <f>K995</f>
        <v>-0.04</v>
      </c>
      <c r="O995" s="92"/>
      <c r="P995" s="92"/>
      <c r="Q995" s="17">
        <f>SUM(L995:M995)</f>
        <v>50000</v>
      </c>
      <c r="R995" s="110" t="e">
        <f>ROUND(SUM(K995:M995)*(R994-1),2)</f>
        <v>#N/A</v>
      </c>
      <c r="S995" s="92">
        <f>ROUND($B995*S$956*S994,2)</f>
        <v>0</v>
      </c>
      <c r="T995" s="92">
        <f>ROUND($B995*T$956,2)</f>
        <v>0</v>
      </c>
      <c r="U995" s="92">
        <f>ROUND($B995*U$956,2)</f>
        <v>0</v>
      </c>
      <c r="V995" s="32">
        <f>ROUND($B995*$V$949,2)</f>
        <v>0</v>
      </c>
      <c r="W995" s="92">
        <f>ROUND($B995*W$956,2)</f>
        <v>0</v>
      </c>
      <c r="X995" s="92">
        <f>ROUND($B995*X$956,2)</f>
        <v>-0.01</v>
      </c>
      <c r="Y995" s="92">
        <f>ROUND($B995*Y$956,2)</f>
        <v>0</v>
      </c>
      <c r="Z995" s="92">
        <f>ROUND($B995*Z$956,2)</f>
        <v>0</v>
      </c>
      <c r="AA995" s="92">
        <f>ROUND($B995*AA$956,2)</f>
        <v>0</v>
      </c>
      <c r="AB995" s="19">
        <f>SUM(U$956:AA$956)+(-V$956+V981)</f>
        <v>1.1855000000000001E-2</v>
      </c>
      <c r="AC995" s="105" t="str">
        <f t="shared" si="63"/>
        <v>HL29</v>
      </c>
    </row>
    <row r="996" spans="1:29" x14ac:dyDescent="0.2">
      <c r="A996" s="9"/>
      <c r="B996" s="103">
        <v>-1</v>
      </c>
      <c r="D996" s="32"/>
      <c r="E996" s="103"/>
      <c r="F996" s="36"/>
      <c r="G996" s="92"/>
      <c r="H996" s="19" t="e">
        <f>IF(ISBLANK(B996),0,+#REF!/B996)</f>
        <v>#REF!</v>
      </c>
      <c r="J996" s="109">
        <f t="shared" si="60"/>
        <v>215</v>
      </c>
      <c r="K996" s="92">
        <f t="shared" si="61"/>
        <v>-0.04</v>
      </c>
      <c r="L996" s="92">
        <f>IF(ISBLANK($E996),0,IF($E996&lt;$C$957,ROUND($C$957*$L$956,2),IF($E996&gt;L$957,ROUND(L$957*L$956,2),ROUND($E996*L$956,2))))</f>
        <v>0</v>
      </c>
      <c r="M996" s="92">
        <f>IF($E996&gt;L$957,ROUND(($E996-L$957)*M$956,2),0)</f>
        <v>0</v>
      </c>
      <c r="N996" s="92"/>
      <c r="O996" s="92"/>
      <c r="P996" s="92"/>
      <c r="Q996" s="92"/>
      <c r="R996" s="16" t="e">
        <f>VLOOKUP((D997),'Pwr Factor'!$A$1:$B$52,2)</f>
        <v>#N/A</v>
      </c>
      <c r="S996" s="50">
        <v>0.1</v>
      </c>
      <c r="T996" s="92"/>
      <c r="U996" s="92"/>
      <c r="V996" s="32"/>
      <c r="W996" s="92"/>
      <c r="X996" s="92"/>
      <c r="Y996" s="92"/>
      <c r="Z996" s="92"/>
      <c r="AA996" s="92"/>
      <c r="AB996" s="19"/>
      <c r="AC996" s="105">
        <f t="shared" si="63"/>
        <v>0</v>
      </c>
    </row>
    <row r="997" spans="1:29" x14ac:dyDescent="0.2">
      <c r="A997" s="1" t="s">
        <v>164</v>
      </c>
      <c r="B997" s="103">
        <f>IF(AND('AES Indiana Bill Calc.'!$D$17="HL2",'AES Indiana Bill Calc.'!$D$18="Yes 10%",'AES Indiana Bill Calc.'!$D$20="Yes 2019"),'AES Indiana Bill Calc.'!$D$19,-1)</f>
        <v>-1</v>
      </c>
      <c r="C997" s="103">
        <f>MAX(E997,$C$837)</f>
        <v>2000</v>
      </c>
      <c r="D997" s="103" t="b">
        <f>IF(AND('AES Indiana Bill Calc.'!$D$17="HL2",'AES Indiana Bill Calc.'!$D$18="Yes 10%",'AES Indiana Bill Calc.'!$D$20="Yes 2019"),'AES Indiana Bill Calc.'!$D$22)</f>
        <v>0</v>
      </c>
      <c r="E997" s="103" t="b">
        <f>IF(AND('AES Indiana Bill Calc.'!$D$17="HL2",'AES Indiana Bill Calc.'!$D$18="Yes 10%",'AES Indiana Bill Calc.'!$D$20="Yes 2019"),'AES Indiana Bill Calc.'!$D$21)</f>
        <v>0</v>
      </c>
      <c r="F997" s="36" t="s">
        <v>243</v>
      </c>
      <c r="G997" s="92" t="e">
        <f>SUM(J997:M997,R997:AA997)</f>
        <v>#N/A</v>
      </c>
      <c r="H997" s="19" t="e">
        <f>IF(ISBLANK(B997),0,+#REF!/B997)</f>
        <v>#REF!</v>
      </c>
      <c r="J997" s="109">
        <f t="shared" si="60"/>
        <v>215</v>
      </c>
      <c r="K997" s="92">
        <f t="shared" si="61"/>
        <v>-0.04</v>
      </c>
      <c r="L997" s="17">
        <f>IF(ISBLANK($C997),0,IF($C997&lt;$C$957,ROUND($C$957*$L$956,2),IF($C997&gt;L$957,ROUND(L$957*L$956,2),ROUND($C997*L$956,2))))</f>
        <v>50000</v>
      </c>
      <c r="M997" s="17">
        <f>IF($C997&gt;L$957,ROUND(($C997-L$957)*M$956,2),0)</f>
        <v>0</v>
      </c>
      <c r="N997" s="17">
        <f>K997</f>
        <v>-0.04</v>
      </c>
      <c r="O997" s="92"/>
      <c r="P997" s="92"/>
      <c r="Q997" s="17">
        <f>SUM(L997:M997)</f>
        <v>50000</v>
      </c>
      <c r="R997" s="110" t="e">
        <f>ROUND(SUM(K997:M997)*(R996-1),2)</f>
        <v>#N/A</v>
      </c>
      <c r="S997" s="92">
        <f>ROUND($B997*S$956*S996,2)</f>
        <v>0</v>
      </c>
      <c r="T997" s="92">
        <f>ROUND($B997*T$956,2)</f>
        <v>0</v>
      </c>
      <c r="U997" s="92">
        <f>ROUND($B997*U$956,2)</f>
        <v>0</v>
      </c>
      <c r="V997" s="32">
        <f>ROUND($B997*$V$949,2)</f>
        <v>0</v>
      </c>
      <c r="W997" s="92">
        <f>ROUND($B997*W$956,2)</f>
        <v>0</v>
      </c>
      <c r="X997" s="92">
        <f>ROUND($B997*X$956,2)</f>
        <v>-0.01</v>
      </c>
      <c r="Y997" s="92">
        <f>ROUND($B997*Y$956,2)</f>
        <v>0</v>
      </c>
      <c r="Z997" s="92">
        <f>ROUND($B997*Z$956,2)</f>
        <v>0</v>
      </c>
      <c r="AA997" s="92">
        <f>ROUND($B997*AA$956,2)</f>
        <v>0</v>
      </c>
      <c r="AB997" s="19">
        <f>SUM(U$956:AA$956)+(-V$956+V983)</f>
        <v>1.1855000000000001E-2</v>
      </c>
      <c r="AC997" s="105" t="str">
        <f t="shared" si="63"/>
        <v>HL29</v>
      </c>
    </row>
    <row r="998" spans="1:29" x14ac:dyDescent="0.2">
      <c r="A998" s="9"/>
      <c r="B998" s="103">
        <v>-1</v>
      </c>
      <c r="D998" s="32"/>
      <c r="E998" s="103"/>
      <c r="F998" s="36"/>
      <c r="G998" s="92"/>
      <c r="H998" s="19" t="e">
        <f>IF(ISBLANK(B998),0,+#REF!/B998)</f>
        <v>#REF!</v>
      </c>
      <c r="J998" s="109">
        <f t="shared" si="60"/>
        <v>215</v>
      </c>
      <c r="K998" s="92">
        <f t="shared" si="61"/>
        <v>-0.04</v>
      </c>
      <c r="L998" s="92">
        <f>IF(ISBLANK($E998),0,IF($E998&lt;$C$957,ROUND($C$957*$L$956,2),IF($E998&gt;L$957,ROUND(L$957*L$956,2),ROUND($E998*L$956,2))))</f>
        <v>0</v>
      </c>
      <c r="M998" s="92">
        <f>IF($E998&gt;L$957,ROUND(($E998-L$957)*M$956,2),0)</f>
        <v>0</v>
      </c>
      <c r="N998" s="92"/>
      <c r="O998" s="92"/>
      <c r="P998" s="92"/>
      <c r="Q998" s="92"/>
      <c r="R998" s="16" t="e">
        <f>VLOOKUP((D999),'Pwr Factor'!$A$1:$B$52,2)</f>
        <v>#N/A</v>
      </c>
      <c r="S998" s="50">
        <v>0</v>
      </c>
      <c r="T998" s="92"/>
      <c r="U998" s="92"/>
      <c r="V998" s="32"/>
      <c r="W998" s="92"/>
      <c r="X998" s="92"/>
      <c r="Y998" s="92"/>
      <c r="Z998" s="92"/>
      <c r="AA998" s="92"/>
      <c r="AB998" s="19"/>
      <c r="AC998" s="105">
        <f t="shared" si="63"/>
        <v>0</v>
      </c>
    </row>
    <row r="999" spans="1:29" x14ac:dyDescent="0.2">
      <c r="A999" s="1" t="s">
        <v>147</v>
      </c>
      <c r="B999" s="103">
        <f>IF(AND('AES Indiana Bill Calc.'!$D$17="HL2",'AES Indiana Bill Calc.'!$D$18="No",'AES Indiana Bill Calc.'!$D$20="Yes 2019"),'AES Indiana Bill Calc.'!$D$19,-1)</f>
        <v>-1</v>
      </c>
      <c r="C999" s="103">
        <f>MAX(E999,$C$837)</f>
        <v>2000</v>
      </c>
      <c r="D999" s="103" t="b">
        <f>IF(AND('AES Indiana Bill Calc.'!$D$17="HL2",'AES Indiana Bill Calc.'!$D$18="No",'AES Indiana Bill Calc.'!$D$20="Yes 2019"),'AES Indiana Bill Calc.'!$D$22)</f>
        <v>0</v>
      </c>
      <c r="E999" s="103" t="b">
        <f>IF(AND('AES Indiana Bill Calc.'!$D$17="HL2",'AES Indiana Bill Calc.'!$D$18="No",'AES Indiana Bill Calc.'!$D$20="Yes 2019"),'AES Indiana Bill Calc.'!$D$21)</f>
        <v>0</v>
      </c>
      <c r="F999" s="36" t="s">
        <v>243</v>
      </c>
      <c r="G999" s="92" t="e">
        <f>SUM(J999:M999,R999:AA999)</f>
        <v>#N/A</v>
      </c>
      <c r="H999" s="19" t="e">
        <f>IF(ISBLANK(B999),0,+#REF!/B999)</f>
        <v>#REF!</v>
      </c>
      <c r="J999" s="109">
        <f t="shared" si="60"/>
        <v>215</v>
      </c>
      <c r="K999" s="92">
        <f t="shared" si="61"/>
        <v>-0.04</v>
      </c>
      <c r="L999" s="17">
        <f>IF(ISBLANK($C999),0,IF($C999&lt;$C$957,ROUND($C$957*$L$956,2),IF($C999&gt;L$957,ROUND(L$957*L$956,2),ROUND($C999*L$956,2))))</f>
        <v>50000</v>
      </c>
      <c r="M999" s="17">
        <f>IF($C999&gt;L$957,ROUND(($C999-L$957)*M$956,2),0)</f>
        <v>0</v>
      </c>
      <c r="N999" s="17">
        <f>K999</f>
        <v>-0.04</v>
      </c>
      <c r="O999" s="92"/>
      <c r="P999" s="92"/>
      <c r="Q999" s="17">
        <f>SUM(L999:M999)</f>
        <v>50000</v>
      </c>
      <c r="R999" s="110" t="e">
        <f>ROUND(SUM(K999:M999)*(R998-1),2)</f>
        <v>#N/A</v>
      </c>
      <c r="S999" s="92">
        <f>ROUND($B999*S$956*S998,2)</f>
        <v>0</v>
      </c>
      <c r="T999" s="92">
        <f>ROUND($B999*T$956,2)</f>
        <v>0</v>
      </c>
      <c r="U999" s="92">
        <f>ROUND($B999*U$956,2)</f>
        <v>0</v>
      </c>
      <c r="V999" s="32">
        <f>ROUND($B999*$V$949,2)</f>
        <v>0</v>
      </c>
      <c r="W999" s="92">
        <f>ROUND($B999*W$956,2)</f>
        <v>0</v>
      </c>
      <c r="X999" s="92">
        <f>ROUND($B999*X$956,2)</f>
        <v>-0.01</v>
      </c>
      <c r="Y999" s="92">
        <f>ROUND($B999*Y$956,2)</f>
        <v>0</v>
      </c>
      <c r="Z999" s="92">
        <f>ROUND($B999*Z$956,2)</f>
        <v>0</v>
      </c>
      <c r="AA999" s="92">
        <f>ROUND($B999*AA$956,2)</f>
        <v>0</v>
      </c>
      <c r="AB999" s="19">
        <f>SUM(U$956:AA$956)+(-V$956+V985)</f>
        <v>1.1855000000000001E-2</v>
      </c>
      <c r="AC999" s="105" t="str">
        <f t="shared" si="63"/>
        <v>HL29</v>
      </c>
    </row>
    <row r="1000" spans="1:29" x14ac:dyDescent="0.2">
      <c r="B1000" s="103">
        <v>-1</v>
      </c>
      <c r="D1000" s="32"/>
      <c r="E1000" s="103"/>
      <c r="F1000" s="36"/>
      <c r="G1000" s="92"/>
      <c r="H1000" s="19" t="e">
        <f>IF(ISBLANK(B1000),0,+#REF!/B1000)</f>
        <v>#REF!</v>
      </c>
      <c r="J1000" s="109">
        <f t="shared" si="60"/>
        <v>215</v>
      </c>
      <c r="K1000" s="92">
        <f t="shared" si="61"/>
        <v>-0.04</v>
      </c>
      <c r="L1000" s="92">
        <f>IF(ISBLANK($E1000),0,IF($E1000&lt;$C$957,ROUND($C$957*$L$956,2),IF($E1000&gt;L$957,ROUND(L$957*L$956,2),ROUND($E1000*L$956,2))))</f>
        <v>0</v>
      </c>
      <c r="M1000" s="92">
        <f>IF($E1000&gt;L$957,ROUND(($E1000-L$957)*M$956,2),0)</f>
        <v>0</v>
      </c>
      <c r="N1000" s="92"/>
      <c r="O1000" s="92"/>
      <c r="P1000" s="92"/>
      <c r="Q1000" s="92"/>
      <c r="R1000" s="16" t="e">
        <f>VLOOKUP((D1001),'Pwr Factor'!$A$1:$B$52,2)</f>
        <v>#N/A</v>
      </c>
      <c r="S1000" s="50">
        <v>1</v>
      </c>
      <c r="T1000" s="92"/>
      <c r="U1000" s="92"/>
      <c r="V1000" s="32"/>
      <c r="W1000" s="92"/>
      <c r="X1000" s="92"/>
      <c r="Y1000" s="92"/>
      <c r="Z1000" s="92"/>
      <c r="AA1000" s="92"/>
      <c r="AB1000" s="19"/>
      <c r="AC1000" s="105">
        <f t="shared" si="63"/>
        <v>0</v>
      </c>
    </row>
    <row r="1001" spans="1:29" x14ac:dyDescent="0.2">
      <c r="A1001" s="1" t="s">
        <v>148</v>
      </c>
      <c r="B1001" s="103">
        <f>IF(AND('AES Indiana Bill Calc.'!$D$17="HL2",'AES Indiana Bill Calc.'!$D$18="Yes 100%",'AES Indiana Bill Calc.'!$D$20="Yes 2020"),'AES Indiana Bill Calc.'!$D$19,-1)</f>
        <v>-1</v>
      </c>
      <c r="C1001" s="103">
        <f>MAX(E1001,$C$837)</f>
        <v>2000</v>
      </c>
      <c r="D1001" s="103" t="b">
        <f>IF(AND('AES Indiana Bill Calc.'!$D$17="HL2",'AES Indiana Bill Calc.'!$D$18="Yes 100%",'AES Indiana Bill Calc.'!$D$20="Yes 2020"),'AES Indiana Bill Calc.'!$D$22)</f>
        <v>0</v>
      </c>
      <c r="E1001" s="103" t="b">
        <f>IF(AND('AES Indiana Bill Calc.'!$D$17="HL2",'AES Indiana Bill Calc.'!$D$18="Yes 100%",'AES Indiana Bill Calc.'!$D$20="Yes 2020"),'AES Indiana Bill Calc.'!$D$21)</f>
        <v>0</v>
      </c>
      <c r="F1001" s="36" t="s">
        <v>244</v>
      </c>
      <c r="G1001" s="92" t="e">
        <f>SUM(J1001:M1001,R1001:AA1001)</f>
        <v>#N/A</v>
      </c>
      <c r="H1001" s="19" t="e">
        <f>IF(ISBLANK(B1001),0,+#REF!/B1001)</f>
        <v>#REF!</v>
      </c>
      <c r="J1001" s="109">
        <f t="shared" si="60"/>
        <v>215</v>
      </c>
      <c r="K1001" s="92">
        <f t="shared" si="61"/>
        <v>-0.04</v>
      </c>
      <c r="L1001" s="17">
        <f>IF(ISBLANK($C1001),0,IF($C1001&lt;$C$957,ROUND($C$957*$L$956,2),IF($C1001&gt;L$957,ROUND(L$957*L$956,2),ROUND($C1001*L$956,2))))</f>
        <v>50000</v>
      </c>
      <c r="M1001" s="17">
        <f>IF($C1001&gt;L$957,ROUND(($C1001-L$957)*M$956,2),0)</f>
        <v>0</v>
      </c>
      <c r="N1001" s="17">
        <f>K1001</f>
        <v>-0.04</v>
      </c>
      <c r="O1001" s="92"/>
      <c r="P1001" s="92"/>
      <c r="Q1001" s="17">
        <f>SUM(L1001:M1001)</f>
        <v>50000</v>
      </c>
      <c r="R1001" s="110" t="e">
        <f>ROUND(SUM(K1001:M1001)*(R1000-1),2)</f>
        <v>#N/A</v>
      </c>
      <c r="S1001" s="92">
        <f>ROUND($B1001*S$956*S1000,2)</f>
        <v>0</v>
      </c>
      <c r="T1001" s="92">
        <f>ROUND($B1001*T$956,2)</f>
        <v>0</v>
      </c>
      <c r="U1001" s="92">
        <f>ROUND($B1001*U$956,2)</f>
        <v>0</v>
      </c>
      <c r="V1001" s="32">
        <f>ROUND($B1001*$V$950,2)</f>
        <v>0</v>
      </c>
      <c r="W1001" s="92">
        <f>ROUND($B1001*W$956,2)</f>
        <v>0</v>
      </c>
      <c r="X1001" s="92">
        <f>ROUND($B1001*X$956,2)</f>
        <v>-0.01</v>
      </c>
      <c r="Y1001" s="92">
        <f>ROUND($B1001*Y$956,2)</f>
        <v>0</v>
      </c>
      <c r="Z1001" s="92">
        <f>ROUND($B1001*Z$956,2)</f>
        <v>0</v>
      </c>
      <c r="AA1001" s="92">
        <f>ROUND($B1001*AA$956,2)</f>
        <v>0</v>
      </c>
      <c r="AB1001" s="19">
        <f>SUM(U$956:AA$956)+(-V$956+V987)</f>
        <v>1.1855000000000001E-2</v>
      </c>
      <c r="AC1001" s="105" t="str">
        <f t="shared" si="63"/>
        <v>HL20</v>
      </c>
    </row>
    <row r="1002" spans="1:29" x14ac:dyDescent="0.2">
      <c r="A1002" s="9"/>
      <c r="B1002" s="103">
        <v>-1</v>
      </c>
      <c r="D1002" s="32"/>
      <c r="E1002" s="103"/>
      <c r="F1002" s="36"/>
      <c r="G1002" s="92"/>
      <c r="H1002" s="19" t="e">
        <f>IF(ISBLANK(B1002),0,+#REF!/B1002)</f>
        <v>#REF!</v>
      </c>
      <c r="J1002" s="109">
        <f t="shared" si="60"/>
        <v>215</v>
      </c>
      <c r="K1002" s="92">
        <f t="shared" si="61"/>
        <v>-0.04</v>
      </c>
      <c r="L1002" s="92">
        <f>IF(ISBLANK($E1002),0,IF($E1002&lt;$C$957,ROUND($C$957*$L$956,2),IF($E1002&gt;L$957,ROUND(L$957*L$956,2),ROUND($E1002*L$956,2))))</f>
        <v>0</v>
      </c>
      <c r="M1002" s="92">
        <f>IF($E1002&gt;L$957,ROUND(($E1002-L$957)*M$956,2),0)</f>
        <v>0</v>
      </c>
      <c r="N1002" s="92"/>
      <c r="O1002" s="92"/>
      <c r="P1002" s="92"/>
      <c r="Q1002" s="92"/>
      <c r="R1002" s="16" t="e">
        <f>VLOOKUP((D1003),'Pwr Factor'!$A$1:$B$52,2)</f>
        <v>#N/A</v>
      </c>
      <c r="S1002" s="50">
        <v>0.5</v>
      </c>
      <c r="T1002" s="92"/>
      <c r="U1002" s="92"/>
      <c r="V1002" s="32"/>
      <c r="W1002" s="92"/>
      <c r="X1002" s="92"/>
      <c r="Y1002" s="92"/>
      <c r="Z1002" s="92"/>
      <c r="AA1002" s="92"/>
      <c r="AB1002" s="19"/>
      <c r="AC1002" s="105">
        <f t="shared" si="63"/>
        <v>0</v>
      </c>
    </row>
    <row r="1003" spans="1:29" x14ac:dyDescent="0.2">
      <c r="A1003" s="1" t="s">
        <v>149</v>
      </c>
      <c r="B1003" s="103">
        <f>IF(AND('AES Indiana Bill Calc.'!$D$17="HL2",'AES Indiana Bill Calc.'!$D$18="Yes 50%",'AES Indiana Bill Calc.'!$D$20="Yes 2020"),'AES Indiana Bill Calc.'!$D$19,-1)</f>
        <v>-1</v>
      </c>
      <c r="C1003" s="103">
        <f>MAX(E1003,$C$837)</f>
        <v>2000</v>
      </c>
      <c r="D1003" s="103" t="b">
        <f>IF(AND('AES Indiana Bill Calc.'!$D$17="HL2",'AES Indiana Bill Calc.'!$D$18="Yes 50%",'AES Indiana Bill Calc.'!$D$20="Yes 2020"),'AES Indiana Bill Calc.'!$D$22)</f>
        <v>0</v>
      </c>
      <c r="E1003" s="103" t="b">
        <f>IF(AND('AES Indiana Bill Calc.'!$D$17="HL2",'AES Indiana Bill Calc.'!$D$18="Yes 50%",'AES Indiana Bill Calc.'!$D$20="Yes 2020"),'AES Indiana Bill Calc.'!$D$21)</f>
        <v>0</v>
      </c>
      <c r="F1003" s="36" t="s">
        <v>244</v>
      </c>
      <c r="G1003" s="92" t="e">
        <f>SUM(J1003:M1003,R1003:AA1003)</f>
        <v>#N/A</v>
      </c>
      <c r="H1003" s="19" t="e">
        <f>IF(ISBLANK(B1003),0,+#REF!/B1003)</f>
        <v>#REF!</v>
      </c>
      <c r="J1003" s="109">
        <f t="shared" si="60"/>
        <v>215</v>
      </c>
      <c r="K1003" s="92">
        <f t="shared" si="61"/>
        <v>-0.04</v>
      </c>
      <c r="L1003" s="17">
        <f>IF(ISBLANK($C1003),0,IF($C1003&lt;$C$957,ROUND($C$957*$L$956,2),IF($C1003&gt;L$957,ROUND(L$957*L$956,2),ROUND($C1003*L$956,2))))</f>
        <v>50000</v>
      </c>
      <c r="M1003" s="17">
        <f>IF($C1003&gt;L$957,ROUND(($C1003-L$957)*M$956,2),0)</f>
        <v>0</v>
      </c>
      <c r="N1003" s="17">
        <f>K1003</f>
        <v>-0.04</v>
      </c>
      <c r="O1003" s="92"/>
      <c r="P1003" s="92"/>
      <c r="Q1003" s="17">
        <f>SUM(L1003:M1003)</f>
        <v>50000</v>
      </c>
      <c r="R1003" s="110" t="e">
        <f>ROUND(SUM(K1003:M1003)*(R1002-1),2)</f>
        <v>#N/A</v>
      </c>
      <c r="S1003" s="92">
        <f>ROUND($B1003*S$956*S1002,2)</f>
        <v>0</v>
      </c>
      <c r="T1003" s="92">
        <f>ROUND($B1003*T$956,2)</f>
        <v>0</v>
      </c>
      <c r="U1003" s="92">
        <f>ROUND($B1003*U$956,2)</f>
        <v>0</v>
      </c>
      <c r="V1003" s="32">
        <f>ROUND($B1003*$V$950,2)</f>
        <v>0</v>
      </c>
      <c r="W1003" s="92">
        <f>ROUND($B1003*W$956,2)</f>
        <v>0</v>
      </c>
      <c r="X1003" s="92">
        <f>ROUND($B1003*X$956,2)</f>
        <v>-0.01</v>
      </c>
      <c r="Y1003" s="92">
        <f>ROUND($B1003*Y$956,2)</f>
        <v>0</v>
      </c>
      <c r="Z1003" s="92">
        <f>ROUND($B1003*Z$956,2)</f>
        <v>0</v>
      </c>
      <c r="AA1003" s="92">
        <f>ROUND($B1003*AA$956,2)</f>
        <v>0</v>
      </c>
      <c r="AB1003" s="19">
        <f>SUM(U$956:AA$956)+(-V$956+V989)</f>
        <v>1.1855000000000001E-2</v>
      </c>
      <c r="AC1003" s="105" t="str">
        <f t="shared" si="63"/>
        <v>HL20</v>
      </c>
    </row>
    <row r="1004" spans="1:29" x14ac:dyDescent="0.2">
      <c r="A1004" s="9"/>
      <c r="B1004" s="103">
        <v>-1</v>
      </c>
      <c r="D1004" s="32"/>
      <c r="E1004" s="103"/>
      <c r="F1004" s="36"/>
      <c r="G1004" s="92"/>
      <c r="H1004" s="19" t="e">
        <f>IF(ISBLANK(B1004),0,+#REF!/B1004)</f>
        <v>#REF!</v>
      </c>
      <c r="J1004" s="109">
        <f t="shared" si="60"/>
        <v>215</v>
      </c>
      <c r="K1004" s="92">
        <f t="shared" si="61"/>
        <v>-0.04</v>
      </c>
      <c r="L1004" s="92">
        <f>IF(ISBLANK($E1004),0,IF($E1004&lt;$C$957,ROUND($C$957*$L$956,2),IF($E1004&gt;L$957,ROUND(L$957*L$956,2),ROUND($E1004*L$956,2))))</f>
        <v>0</v>
      </c>
      <c r="M1004" s="92">
        <f>IF($E1004&gt;L$957,ROUND(($E1004-L$957)*M$956,2),0)</f>
        <v>0</v>
      </c>
      <c r="N1004" s="92"/>
      <c r="O1004" s="92"/>
      <c r="P1004" s="92"/>
      <c r="Q1004" s="92"/>
      <c r="R1004" s="16" t="e">
        <f>VLOOKUP((D1005),'Pwr Factor'!$A$1:$B$52,2)</f>
        <v>#N/A</v>
      </c>
      <c r="S1004" s="50">
        <v>0.25</v>
      </c>
      <c r="T1004" s="92"/>
      <c r="U1004" s="92"/>
      <c r="V1004" s="32"/>
      <c r="W1004" s="92"/>
      <c r="X1004" s="92"/>
      <c r="Y1004" s="92"/>
      <c r="Z1004" s="92"/>
      <c r="AA1004" s="92"/>
      <c r="AB1004" s="19"/>
      <c r="AC1004" s="105">
        <f t="shared" si="63"/>
        <v>0</v>
      </c>
    </row>
    <row r="1005" spans="1:29" x14ac:dyDescent="0.2">
      <c r="A1005" s="1" t="s">
        <v>150</v>
      </c>
      <c r="B1005" s="103">
        <f>IF(AND('AES Indiana Bill Calc.'!$D$17="HL2",'AES Indiana Bill Calc.'!$D$18="Yes 25%",'AES Indiana Bill Calc.'!$D$20="Yes 2020"),'AES Indiana Bill Calc.'!$D$19,-1)</f>
        <v>-1</v>
      </c>
      <c r="C1005" s="103">
        <f>MAX(E1005,$C$837)</f>
        <v>2000</v>
      </c>
      <c r="D1005" s="103" t="b">
        <f>IF(AND('AES Indiana Bill Calc.'!$D$17="HL2",'AES Indiana Bill Calc.'!$D$18="Yes 25%",'AES Indiana Bill Calc.'!$D$20="Yes 2020"),'AES Indiana Bill Calc.'!$D$22)</f>
        <v>0</v>
      </c>
      <c r="E1005" s="103" t="b">
        <f>IF(AND('AES Indiana Bill Calc.'!$D$17="HL2",'AES Indiana Bill Calc.'!$D$18="Yes 25%",'AES Indiana Bill Calc.'!$D$20="Yes 2020"),'AES Indiana Bill Calc.'!$D$21)</f>
        <v>0</v>
      </c>
      <c r="F1005" s="36" t="s">
        <v>244</v>
      </c>
      <c r="G1005" s="92" t="e">
        <f>SUM(J1005:M1005,R1005:AA1005)</f>
        <v>#N/A</v>
      </c>
      <c r="H1005" s="19" t="e">
        <f>IF(ISBLANK(B1005),0,+#REF!/B1005)</f>
        <v>#REF!</v>
      </c>
      <c r="J1005" s="109">
        <f t="shared" si="60"/>
        <v>215</v>
      </c>
      <c r="K1005" s="92">
        <f t="shared" si="61"/>
        <v>-0.04</v>
      </c>
      <c r="L1005" s="17">
        <f>IF(ISBLANK($C1005),0,IF($C1005&lt;$C$957,ROUND($C$957*$L$956,2),IF($C1005&gt;L$957,ROUND(L$957*L$956,2),ROUND($C1005*L$956,2))))</f>
        <v>50000</v>
      </c>
      <c r="M1005" s="17">
        <f>IF($C1005&gt;L$957,ROUND(($C1005-L$957)*M$956,2),0)</f>
        <v>0</v>
      </c>
      <c r="N1005" s="17">
        <f>K1005</f>
        <v>-0.04</v>
      </c>
      <c r="O1005" s="92"/>
      <c r="P1005" s="92"/>
      <c r="Q1005" s="17">
        <f>SUM(L1005:M1005)</f>
        <v>50000</v>
      </c>
      <c r="R1005" s="110" t="e">
        <f>ROUND(SUM(K1005:M1005)*(R1004-1),2)</f>
        <v>#N/A</v>
      </c>
      <c r="S1005" s="92">
        <f>ROUND($B1005*S$956*S1004,2)</f>
        <v>0</v>
      </c>
      <c r="T1005" s="92">
        <f>ROUND($B1005*T$956,2)</f>
        <v>0</v>
      </c>
      <c r="U1005" s="92">
        <f>ROUND($B1005*U$956,2)</f>
        <v>0</v>
      </c>
      <c r="V1005" s="32">
        <f>ROUND($B1005*$V$950,2)</f>
        <v>0</v>
      </c>
      <c r="W1005" s="92">
        <f>ROUND($B1005*W$956,2)</f>
        <v>0</v>
      </c>
      <c r="X1005" s="92">
        <f>ROUND($B1005*X$956,2)</f>
        <v>-0.01</v>
      </c>
      <c r="Y1005" s="92">
        <f>ROUND($B1005*Y$956,2)</f>
        <v>0</v>
      </c>
      <c r="Z1005" s="92">
        <f>ROUND($B1005*Z$956,2)</f>
        <v>0</v>
      </c>
      <c r="AA1005" s="92">
        <f>ROUND($B1005*AA$956,2)</f>
        <v>0</v>
      </c>
      <c r="AB1005" s="19">
        <f>SUM(U$956:AA$956)+(-V$956+V991)</f>
        <v>1.1855000000000001E-2</v>
      </c>
      <c r="AC1005" s="105" t="str">
        <f t="shared" si="63"/>
        <v>HL20</v>
      </c>
    </row>
    <row r="1006" spans="1:29" x14ac:dyDescent="0.2">
      <c r="A1006" s="9"/>
      <c r="B1006" s="103">
        <v>-1</v>
      </c>
      <c r="D1006" s="32"/>
      <c r="E1006" s="103"/>
      <c r="F1006" s="36"/>
      <c r="G1006" s="92"/>
      <c r="H1006" s="19" t="e">
        <f>IF(ISBLANK(B1006),0,+#REF!/B1006)</f>
        <v>#REF!</v>
      </c>
      <c r="J1006" s="109">
        <f t="shared" si="60"/>
        <v>215</v>
      </c>
      <c r="K1006" s="92">
        <f t="shared" si="61"/>
        <v>-0.04</v>
      </c>
      <c r="L1006" s="92">
        <f>IF(ISBLANK($E1006),0,IF($E1006&lt;$C$957,ROUND($C$957*$L$956,2),IF($E1006&gt;L$957,ROUND(L$957*L$956,2),ROUND($E1006*L$956,2))))</f>
        <v>0</v>
      </c>
      <c r="M1006" s="92">
        <f>IF($E1006&gt;L$957,ROUND(($E1006-L$957)*M$956,2),0)</f>
        <v>0</v>
      </c>
      <c r="N1006" s="92"/>
      <c r="O1006" s="92"/>
      <c r="P1006" s="92"/>
      <c r="Q1006" s="92"/>
      <c r="R1006" s="16" t="e">
        <f>VLOOKUP((D1007),'Pwr Factor'!$A$1:$B$52,2)</f>
        <v>#N/A</v>
      </c>
      <c r="S1006" s="50">
        <v>0.1</v>
      </c>
      <c r="T1006" s="92"/>
      <c r="U1006" s="92"/>
      <c r="V1006" s="32"/>
      <c r="W1006" s="92"/>
      <c r="X1006" s="92"/>
      <c r="Y1006" s="92"/>
      <c r="Z1006" s="92"/>
      <c r="AA1006" s="92"/>
      <c r="AB1006" s="19"/>
      <c r="AC1006" s="105">
        <f t="shared" si="63"/>
        <v>0</v>
      </c>
    </row>
    <row r="1007" spans="1:29" x14ac:dyDescent="0.2">
      <c r="A1007" s="1" t="s">
        <v>164</v>
      </c>
      <c r="B1007" s="103">
        <f>IF(AND('AES Indiana Bill Calc.'!$D$17="HL2",'AES Indiana Bill Calc.'!$D$18="Yes 10%",'AES Indiana Bill Calc.'!$D$20="Yes 2020"),'AES Indiana Bill Calc.'!$D$19,-1)</f>
        <v>-1</v>
      </c>
      <c r="C1007" s="103">
        <f>MAX(E1007,$C$837)</f>
        <v>2000</v>
      </c>
      <c r="D1007" s="103" t="b">
        <f>IF(AND('AES Indiana Bill Calc.'!$D$17="HL2",'AES Indiana Bill Calc.'!$D$18="Yes 10%",'AES Indiana Bill Calc.'!$D$20="Yes 2020"),'AES Indiana Bill Calc.'!$D$22)</f>
        <v>0</v>
      </c>
      <c r="E1007" s="103" t="b">
        <f>IF(AND('AES Indiana Bill Calc.'!$D$17="HL2",'AES Indiana Bill Calc.'!$D$18="Yes 10%",'AES Indiana Bill Calc.'!$D$20="Yes 2020"),'AES Indiana Bill Calc.'!$D$21)</f>
        <v>0</v>
      </c>
      <c r="F1007" s="36" t="s">
        <v>244</v>
      </c>
      <c r="G1007" s="92" t="e">
        <f>SUM(J1007:M1007,R1007:AA1007)</f>
        <v>#N/A</v>
      </c>
      <c r="H1007" s="19" t="e">
        <f>IF(ISBLANK(B1007),0,+#REF!/B1007)</f>
        <v>#REF!</v>
      </c>
      <c r="J1007" s="109">
        <f t="shared" si="60"/>
        <v>215</v>
      </c>
      <c r="K1007" s="92">
        <f t="shared" si="61"/>
        <v>-0.04</v>
      </c>
      <c r="L1007" s="17">
        <f>IF(ISBLANK($C1007),0,IF($C1007&lt;$C$957,ROUND($C$957*$L$956,2),IF($C1007&gt;L$957,ROUND(L$957*L$956,2),ROUND($C1007*L$956,2))))</f>
        <v>50000</v>
      </c>
      <c r="M1007" s="17">
        <f>IF($C1007&gt;L$957,ROUND(($C1007-L$957)*M$956,2),0)</f>
        <v>0</v>
      </c>
      <c r="N1007" s="17">
        <f>K1007</f>
        <v>-0.04</v>
      </c>
      <c r="O1007" s="92"/>
      <c r="P1007" s="92"/>
      <c r="Q1007" s="17">
        <f>SUM(L1007:M1007)</f>
        <v>50000</v>
      </c>
      <c r="R1007" s="110" t="e">
        <f>ROUND(SUM(K1007:M1007)*(R1006-1),2)</f>
        <v>#N/A</v>
      </c>
      <c r="S1007" s="92">
        <f>ROUND($B1007*S$956*S1006,2)</f>
        <v>0</v>
      </c>
      <c r="T1007" s="92">
        <f>ROUND($B1007*T$956,2)</f>
        <v>0</v>
      </c>
      <c r="U1007" s="92">
        <f>ROUND($B1007*U$956,2)</f>
        <v>0</v>
      </c>
      <c r="V1007" s="32">
        <f>ROUND($B1007*$V$950,2)</f>
        <v>0</v>
      </c>
      <c r="W1007" s="92">
        <f>ROUND($B1007*W$956,2)</f>
        <v>0</v>
      </c>
      <c r="X1007" s="92">
        <f>ROUND($B1007*X$956,2)</f>
        <v>-0.01</v>
      </c>
      <c r="Y1007" s="92">
        <f>ROUND($B1007*Y$956,2)</f>
        <v>0</v>
      </c>
      <c r="Z1007" s="92">
        <f>ROUND($B1007*Z$956,2)</f>
        <v>0</v>
      </c>
      <c r="AA1007" s="92">
        <f>ROUND($B1007*AA$956,2)</f>
        <v>0</v>
      </c>
      <c r="AB1007" s="19">
        <f>SUM(U$956:AA$956)+(-V$956+V993)</f>
        <v>1.1855000000000001E-2</v>
      </c>
      <c r="AC1007" s="105" t="str">
        <f t="shared" si="63"/>
        <v>HL20</v>
      </c>
    </row>
    <row r="1008" spans="1:29" x14ac:dyDescent="0.2">
      <c r="A1008" s="9"/>
      <c r="B1008" s="103">
        <v>-1</v>
      </c>
      <c r="D1008" s="32"/>
      <c r="E1008" s="103"/>
      <c r="F1008" s="36"/>
      <c r="G1008" s="92"/>
      <c r="H1008" s="19" t="e">
        <f>IF(ISBLANK(B1008),0,+#REF!/B1008)</f>
        <v>#REF!</v>
      </c>
      <c r="J1008" s="109">
        <f t="shared" si="60"/>
        <v>215</v>
      </c>
      <c r="K1008" s="92">
        <f t="shared" si="61"/>
        <v>-0.04</v>
      </c>
      <c r="L1008" s="92">
        <f>IF(ISBLANK($E1008),0,IF($E1008&lt;$C$957,ROUND($C$957*$L$956,2),IF($E1008&gt;L$957,ROUND(L$957*L$956,2),ROUND($E1008*L$956,2))))</f>
        <v>0</v>
      </c>
      <c r="M1008" s="92">
        <f>IF($E1008&gt;L$957,ROUND(($E1008-L$957)*M$956,2),0)</f>
        <v>0</v>
      </c>
      <c r="N1008" s="92"/>
      <c r="O1008" s="92"/>
      <c r="P1008" s="92"/>
      <c r="Q1008" s="92"/>
      <c r="R1008" s="16" t="e">
        <f>VLOOKUP((D1009),'Pwr Factor'!$A$1:$B$52,2)</f>
        <v>#N/A</v>
      </c>
      <c r="S1008" s="50">
        <v>0</v>
      </c>
      <c r="T1008" s="92"/>
      <c r="U1008" s="92"/>
      <c r="V1008" s="32"/>
      <c r="W1008" s="92"/>
      <c r="X1008" s="92"/>
      <c r="Y1008" s="92"/>
      <c r="Z1008" s="92"/>
      <c r="AA1008" s="92"/>
      <c r="AB1008" s="19"/>
      <c r="AC1008" s="105">
        <f t="shared" si="63"/>
        <v>0</v>
      </c>
    </row>
    <row r="1009" spans="1:29" x14ac:dyDescent="0.2">
      <c r="A1009" s="1" t="s">
        <v>147</v>
      </c>
      <c r="B1009" s="103">
        <f>IF(AND('AES Indiana Bill Calc.'!$D$17="HL2",'AES Indiana Bill Calc.'!$D$18="No",'AES Indiana Bill Calc.'!$D$20="Yes 2020"),'AES Indiana Bill Calc.'!$D$19,-1)</f>
        <v>-1</v>
      </c>
      <c r="C1009" s="103">
        <f>MAX(E1009,$C$837)</f>
        <v>2000</v>
      </c>
      <c r="D1009" s="103" t="b">
        <f>IF(AND('AES Indiana Bill Calc.'!$D$17="HL2",'AES Indiana Bill Calc.'!$D$18="No",'AES Indiana Bill Calc.'!$D$20="Yes 2020"),'AES Indiana Bill Calc.'!$D$22)</f>
        <v>0</v>
      </c>
      <c r="E1009" s="103" t="b">
        <f>IF(AND('AES Indiana Bill Calc.'!$D$17="HL2",'AES Indiana Bill Calc.'!$D$18="No",'AES Indiana Bill Calc.'!$D$20="Yes 2020"),'AES Indiana Bill Calc.'!$D$21)</f>
        <v>0</v>
      </c>
      <c r="F1009" s="36" t="s">
        <v>244</v>
      </c>
      <c r="G1009" s="92" t="e">
        <f>SUM(J1009:M1009,R1009:AA1009)</f>
        <v>#N/A</v>
      </c>
      <c r="H1009" s="19" t="e">
        <f>IF(ISBLANK(B1009),0,+#REF!/B1009)</f>
        <v>#REF!</v>
      </c>
      <c r="J1009" s="109">
        <f t="shared" si="60"/>
        <v>215</v>
      </c>
      <c r="K1009" s="92">
        <f t="shared" si="61"/>
        <v>-0.04</v>
      </c>
      <c r="L1009" s="17">
        <f>IF(ISBLANK($C1009),0,IF($C1009&lt;$C$957,ROUND($C$957*$L$956,2),IF($C1009&gt;L$957,ROUND(L$957*L$956,2),ROUND($C1009*L$956,2))))</f>
        <v>50000</v>
      </c>
      <c r="M1009" s="17">
        <f>IF($C1009&gt;L$957,ROUND(($C1009-L$957)*M$956,2),0)</f>
        <v>0</v>
      </c>
      <c r="N1009" s="17">
        <f>K1009</f>
        <v>-0.04</v>
      </c>
      <c r="O1009" s="92"/>
      <c r="P1009" s="92"/>
      <c r="Q1009" s="17">
        <f>SUM(L1009:M1009)</f>
        <v>50000</v>
      </c>
      <c r="R1009" s="110" t="e">
        <f>ROUND(SUM(K1009:M1009)*(R1008-1),2)</f>
        <v>#N/A</v>
      </c>
      <c r="S1009" s="92">
        <f>ROUND($B1009*S$956*S1008,2)</f>
        <v>0</v>
      </c>
      <c r="T1009" s="92">
        <f>ROUND($B1009*T$956,2)</f>
        <v>0</v>
      </c>
      <c r="U1009" s="92">
        <f>ROUND($B1009*U$956,2)</f>
        <v>0</v>
      </c>
      <c r="V1009" s="32">
        <f>ROUND($B1009*$V$950,2)</f>
        <v>0</v>
      </c>
      <c r="W1009" s="92">
        <f>ROUND($B1009*W$956,2)</f>
        <v>0</v>
      </c>
      <c r="X1009" s="92">
        <f>ROUND($B1009*X$956,2)</f>
        <v>-0.01</v>
      </c>
      <c r="Y1009" s="92">
        <f>ROUND($B1009*Y$956,2)</f>
        <v>0</v>
      </c>
      <c r="Z1009" s="92">
        <f>ROUND($B1009*Z$956,2)</f>
        <v>0</v>
      </c>
      <c r="AA1009" s="92">
        <f>ROUND($B1009*AA$956,2)</f>
        <v>0</v>
      </c>
      <c r="AB1009" s="19">
        <f>SUM(U$956:AA$956)+(-V$956+V995)</f>
        <v>1.1855000000000001E-2</v>
      </c>
      <c r="AC1009" s="105" t="str">
        <f t="shared" si="63"/>
        <v>HL20</v>
      </c>
    </row>
    <row r="1010" spans="1:29" x14ac:dyDescent="0.2">
      <c r="B1010" s="103">
        <v>-1</v>
      </c>
      <c r="D1010" s="32"/>
      <c r="E1010" s="103"/>
      <c r="F1010" s="36"/>
      <c r="G1010" s="92"/>
      <c r="H1010" s="19" t="e">
        <f>IF(ISBLANK(B1010),0,+#REF!/B1010)</f>
        <v>#REF!</v>
      </c>
      <c r="J1010" s="109">
        <f t="shared" si="60"/>
        <v>215</v>
      </c>
      <c r="K1010" s="92">
        <f t="shared" si="61"/>
        <v>-0.04</v>
      </c>
      <c r="L1010" s="92">
        <f>IF(ISBLANK($E1010),0,IF($E1010&lt;$C$957,ROUND($C$957*$L$956,2),IF($E1010&gt;L$957,ROUND(L$957*L$956,2),ROUND($E1010*L$956,2))))</f>
        <v>0</v>
      </c>
      <c r="M1010" s="92">
        <f>IF($E1010&gt;L$957,ROUND(($E1010-L$957)*M$956,2),0)</f>
        <v>0</v>
      </c>
      <c r="N1010" s="92"/>
      <c r="O1010" s="92"/>
      <c r="P1010" s="92"/>
      <c r="Q1010" s="92"/>
      <c r="R1010" s="16" t="e">
        <f>VLOOKUP((D1011),'Pwr Factor'!$A$1:$B$52,2)</f>
        <v>#N/A</v>
      </c>
      <c r="S1010" s="50">
        <v>1</v>
      </c>
      <c r="T1010" s="92"/>
      <c r="U1010" s="92"/>
      <c r="V1010" s="32"/>
      <c r="W1010" s="92"/>
      <c r="X1010" s="92"/>
      <c r="Y1010" s="92"/>
      <c r="Z1010" s="92"/>
      <c r="AA1010" s="92"/>
      <c r="AB1010" s="19"/>
      <c r="AC1010" s="105">
        <f t="shared" si="63"/>
        <v>0</v>
      </c>
    </row>
    <row r="1011" spans="1:29" x14ac:dyDescent="0.2">
      <c r="A1011" s="1" t="s">
        <v>148</v>
      </c>
      <c r="B1011" s="103">
        <f>IF(AND('AES Indiana Bill Calc.'!$D$17="HL2",'AES Indiana Bill Calc.'!$D$18="Yes 100%",'AES Indiana Bill Calc.'!$D$20="Yes 2021"),'AES Indiana Bill Calc.'!$D$19,-1)</f>
        <v>-1</v>
      </c>
      <c r="C1011" s="103">
        <f>MAX(E1011,$C$837)</f>
        <v>2000</v>
      </c>
      <c r="D1011" s="103" t="b">
        <f>IF(AND('AES Indiana Bill Calc.'!$D$17="HL2",'AES Indiana Bill Calc.'!$D$18="Yes 100%",'AES Indiana Bill Calc.'!$D$20="Yes 2021"),'AES Indiana Bill Calc.'!$D$22)</f>
        <v>0</v>
      </c>
      <c r="E1011" s="103" t="b">
        <f>IF(AND('AES Indiana Bill Calc.'!$D$17="HL2",'AES Indiana Bill Calc.'!$D$18="Yes 100%",'AES Indiana Bill Calc.'!$D$20="Yes 2021"),'AES Indiana Bill Calc.'!$D$21)</f>
        <v>0</v>
      </c>
      <c r="F1011" s="36" t="s">
        <v>245</v>
      </c>
      <c r="G1011" s="92" t="e">
        <f>SUM(J1011:M1011,R1011:AA1011)</f>
        <v>#N/A</v>
      </c>
      <c r="H1011" s="19" t="e">
        <f>IF(ISBLANK(B1011),0,+#REF!/B1011)</f>
        <v>#REF!</v>
      </c>
      <c r="J1011" s="109">
        <f t="shared" si="60"/>
        <v>215</v>
      </c>
      <c r="K1011" s="92">
        <f t="shared" si="61"/>
        <v>-0.04</v>
      </c>
      <c r="L1011" s="17">
        <f>IF(ISBLANK($C1011),0,IF($C1011&lt;$C$957,ROUND($C$957*$L$956,2),IF($C1011&gt;L$957,ROUND(L$957*L$956,2),ROUND($C1011*L$956,2))))</f>
        <v>50000</v>
      </c>
      <c r="M1011" s="17">
        <f>IF($C1011&gt;L$957,ROUND(($C1011-L$957)*M$956,2),0)</f>
        <v>0</v>
      </c>
      <c r="N1011" s="17">
        <f>K1011</f>
        <v>-0.04</v>
      </c>
      <c r="O1011" s="92"/>
      <c r="P1011" s="92"/>
      <c r="Q1011" s="17">
        <f>SUM(L1011:M1011)</f>
        <v>50000</v>
      </c>
      <c r="R1011" s="110" t="e">
        <f>ROUND(SUM(K1011:M1011)*(R1010-1),2)</f>
        <v>#N/A</v>
      </c>
      <c r="S1011" s="92">
        <f>ROUND($B1011*S$956*S1010,2)</f>
        <v>0</v>
      </c>
      <c r="T1011" s="92">
        <f>ROUND($B1011*T$956,2)</f>
        <v>0</v>
      </c>
      <c r="U1011" s="92">
        <f>ROUND($B1011*U$956,2)</f>
        <v>0</v>
      </c>
      <c r="V1011" s="32">
        <f>ROUND($B1011*$V$951,2)</f>
        <v>0</v>
      </c>
      <c r="W1011" s="92">
        <f>ROUND($B1011*W$956,2)</f>
        <v>0</v>
      </c>
      <c r="X1011" s="92">
        <f>ROUND($B1011*X$956,2)</f>
        <v>-0.01</v>
      </c>
      <c r="Y1011" s="92">
        <f>ROUND($B1011*Y$956,2)</f>
        <v>0</v>
      </c>
      <c r="Z1011" s="92">
        <f>ROUND($B1011*Z$956,2)</f>
        <v>0</v>
      </c>
      <c r="AA1011" s="92">
        <f>ROUND($B1011*AA$956,2)</f>
        <v>0</v>
      </c>
      <c r="AB1011" s="19">
        <f>SUM(U$956:AA$956)+(-V$956+V997)</f>
        <v>1.1855000000000001E-2</v>
      </c>
      <c r="AC1011" s="105" t="str">
        <f t="shared" si="63"/>
        <v>HL21</v>
      </c>
    </row>
    <row r="1012" spans="1:29" x14ac:dyDescent="0.2">
      <c r="A1012" s="9"/>
      <c r="B1012" s="103">
        <v>-1</v>
      </c>
      <c r="D1012" s="32"/>
      <c r="E1012" s="103"/>
      <c r="F1012" s="36"/>
      <c r="G1012" s="92"/>
      <c r="H1012" s="19" t="e">
        <f>IF(ISBLANK(B1012),0,+#REF!/B1012)</f>
        <v>#REF!</v>
      </c>
      <c r="J1012" s="109">
        <f t="shared" si="60"/>
        <v>215</v>
      </c>
      <c r="K1012" s="92">
        <f t="shared" si="61"/>
        <v>-0.04</v>
      </c>
      <c r="L1012" s="92">
        <f>IF(ISBLANK($E1012),0,IF($E1012&lt;$C$957,ROUND($C$957*$L$956,2),IF($E1012&gt;L$957,ROUND(L$957*L$956,2),ROUND($E1012*L$956,2))))</f>
        <v>0</v>
      </c>
      <c r="M1012" s="92">
        <f>IF($E1012&gt;L$957,ROUND(($E1012-L$957)*M$956,2),0)</f>
        <v>0</v>
      </c>
      <c r="N1012" s="92"/>
      <c r="O1012" s="92"/>
      <c r="P1012" s="92"/>
      <c r="Q1012" s="92"/>
      <c r="R1012" s="16" t="e">
        <f>VLOOKUP((D1013),'Pwr Factor'!$A$1:$B$52,2)</f>
        <v>#N/A</v>
      </c>
      <c r="S1012" s="50">
        <v>0.5</v>
      </c>
      <c r="T1012" s="92"/>
      <c r="U1012" s="92"/>
      <c r="V1012" s="32"/>
      <c r="W1012" s="92"/>
      <c r="X1012" s="92"/>
      <c r="Y1012" s="92"/>
      <c r="Z1012" s="92"/>
      <c r="AA1012" s="92"/>
      <c r="AB1012" s="19"/>
      <c r="AC1012" s="105">
        <f t="shared" si="63"/>
        <v>0</v>
      </c>
    </row>
    <row r="1013" spans="1:29" x14ac:dyDescent="0.2">
      <c r="A1013" s="1" t="s">
        <v>149</v>
      </c>
      <c r="B1013" s="103">
        <f>IF(AND('AES Indiana Bill Calc.'!$D$17="HL2",'AES Indiana Bill Calc.'!$D$18="Yes 50%",'AES Indiana Bill Calc.'!$D$20="Yes 2021"),'AES Indiana Bill Calc.'!$D$19,-1)</f>
        <v>-1</v>
      </c>
      <c r="C1013" s="103">
        <f>MAX(E1013,$C$837)</f>
        <v>2000</v>
      </c>
      <c r="D1013" s="103" t="b">
        <f>IF(AND('AES Indiana Bill Calc.'!$D$17="HL2",'AES Indiana Bill Calc.'!$D$18="Yes 50%",'AES Indiana Bill Calc.'!$D$20="Yes 2021"),'AES Indiana Bill Calc.'!$D$22)</f>
        <v>0</v>
      </c>
      <c r="E1013" s="103" t="b">
        <f>IF(AND('AES Indiana Bill Calc.'!$D$17="HL2",'AES Indiana Bill Calc.'!$D$18="Yes 50%",'AES Indiana Bill Calc.'!$D$20="Yes 2021"),'AES Indiana Bill Calc.'!$D$21)</f>
        <v>0</v>
      </c>
      <c r="F1013" s="36" t="s">
        <v>245</v>
      </c>
      <c r="G1013" s="92" t="e">
        <f>SUM(J1013:M1013,R1013:AA1013)</f>
        <v>#N/A</v>
      </c>
      <c r="H1013" s="19" t="e">
        <f>IF(ISBLANK(B1013),0,+#REF!/B1013)</f>
        <v>#REF!</v>
      </c>
      <c r="J1013" s="109">
        <f t="shared" si="60"/>
        <v>215</v>
      </c>
      <c r="K1013" s="92">
        <f t="shared" si="61"/>
        <v>-0.04</v>
      </c>
      <c r="L1013" s="17">
        <f>IF(ISBLANK($C1013),0,IF($C1013&lt;$C$957,ROUND($C$957*$L$956,2),IF($C1013&gt;L$957,ROUND(L$957*L$956,2),ROUND($C1013*L$956,2))))</f>
        <v>50000</v>
      </c>
      <c r="M1013" s="17">
        <f>IF($C1013&gt;L$957,ROUND(($C1013-L$957)*M$956,2),0)</f>
        <v>0</v>
      </c>
      <c r="N1013" s="17">
        <f>K1013</f>
        <v>-0.04</v>
      </c>
      <c r="O1013" s="92"/>
      <c r="P1013" s="92"/>
      <c r="Q1013" s="17">
        <f>SUM(L1013:M1013)</f>
        <v>50000</v>
      </c>
      <c r="R1013" s="110" t="e">
        <f>ROUND(SUM(K1013:M1013)*(R1012-1),2)</f>
        <v>#N/A</v>
      </c>
      <c r="S1013" s="92">
        <f>ROUND($B1013*S$956*S1012,2)</f>
        <v>0</v>
      </c>
      <c r="T1013" s="92">
        <f>ROUND($B1013*T$956,2)</f>
        <v>0</v>
      </c>
      <c r="U1013" s="92">
        <f>ROUND($B1013*U$956,2)</f>
        <v>0</v>
      </c>
      <c r="V1013" s="32">
        <f>ROUND($B1013*$V$951,2)</f>
        <v>0</v>
      </c>
      <c r="W1013" s="92">
        <f>ROUND($B1013*W$956,2)</f>
        <v>0</v>
      </c>
      <c r="X1013" s="92">
        <f>ROUND($B1013*X$956,2)</f>
        <v>-0.01</v>
      </c>
      <c r="Y1013" s="92">
        <f>ROUND($B1013*Y$956,2)</f>
        <v>0</v>
      </c>
      <c r="Z1013" s="92">
        <f>ROUND($B1013*Z$956,2)</f>
        <v>0</v>
      </c>
      <c r="AA1013" s="92">
        <f>ROUND($B1013*AA$956,2)</f>
        <v>0</v>
      </c>
      <c r="AB1013" s="19">
        <f>SUM(U$956:AA$956)+(-V$956+V999)</f>
        <v>1.1855000000000001E-2</v>
      </c>
      <c r="AC1013" s="105" t="str">
        <f t="shared" si="63"/>
        <v>HL21</v>
      </c>
    </row>
    <row r="1014" spans="1:29" x14ac:dyDescent="0.2">
      <c r="A1014" s="9"/>
      <c r="B1014" s="103">
        <v>-1</v>
      </c>
      <c r="D1014" s="32"/>
      <c r="E1014" s="103"/>
      <c r="F1014" s="36"/>
      <c r="G1014" s="92"/>
      <c r="H1014" s="19" t="e">
        <f>IF(ISBLANK(B1014),0,+#REF!/B1014)</f>
        <v>#REF!</v>
      </c>
      <c r="J1014" s="109">
        <f t="shared" si="60"/>
        <v>215</v>
      </c>
      <c r="K1014" s="92">
        <f t="shared" si="61"/>
        <v>-0.04</v>
      </c>
      <c r="L1014" s="92">
        <f>IF(ISBLANK($E1014),0,IF($E1014&lt;$C$957,ROUND($C$957*$L$956,2),IF($E1014&gt;L$957,ROUND(L$957*L$956,2),ROUND($E1014*L$956,2))))</f>
        <v>0</v>
      </c>
      <c r="M1014" s="92">
        <f>IF($E1014&gt;L$957,ROUND(($E1014-L$957)*M$956,2),0)</f>
        <v>0</v>
      </c>
      <c r="N1014" s="92"/>
      <c r="O1014" s="92"/>
      <c r="P1014" s="92"/>
      <c r="Q1014" s="92"/>
      <c r="R1014" s="16" t="e">
        <f>VLOOKUP((D1015),'Pwr Factor'!$A$1:$B$52,2)</f>
        <v>#N/A</v>
      </c>
      <c r="S1014" s="50">
        <v>0.25</v>
      </c>
      <c r="T1014" s="92"/>
      <c r="U1014" s="92"/>
      <c r="V1014" s="32"/>
      <c r="W1014" s="92"/>
      <c r="X1014" s="92"/>
      <c r="Y1014" s="92"/>
      <c r="Z1014" s="92"/>
      <c r="AA1014" s="92"/>
      <c r="AB1014" s="19"/>
      <c r="AC1014" s="105">
        <f t="shared" si="63"/>
        <v>0</v>
      </c>
    </row>
    <row r="1015" spans="1:29" x14ac:dyDescent="0.2">
      <c r="A1015" s="1" t="s">
        <v>150</v>
      </c>
      <c r="B1015" s="103">
        <f>IF(AND('AES Indiana Bill Calc.'!$D$17="HL2",'AES Indiana Bill Calc.'!$D$18="Yes 25%",'AES Indiana Bill Calc.'!$D$20="Yes 2021"),'AES Indiana Bill Calc.'!$D$19,-1)</f>
        <v>-1</v>
      </c>
      <c r="C1015" s="103">
        <f>MAX(E1015,$C$837)</f>
        <v>2000</v>
      </c>
      <c r="D1015" s="103" t="b">
        <f>IF(AND('AES Indiana Bill Calc.'!$D$17="HL2",'AES Indiana Bill Calc.'!$D$18="Yes 25%",'AES Indiana Bill Calc.'!$D$20="Yes 2021"),'AES Indiana Bill Calc.'!$D$22)</f>
        <v>0</v>
      </c>
      <c r="E1015" s="103" t="b">
        <f>IF(AND('AES Indiana Bill Calc.'!$D$17="HL2",'AES Indiana Bill Calc.'!$D$18="Yes 25%",'AES Indiana Bill Calc.'!$D$20="Yes 2021"),'AES Indiana Bill Calc.'!$D$21)</f>
        <v>0</v>
      </c>
      <c r="F1015" s="36" t="s">
        <v>245</v>
      </c>
      <c r="G1015" s="92" t="e">
        <f>SUM(J1015:M1015,R1015:AA1015)</f>
        <v>#N/A</v>
      </c>
      <c r="H1015" s="19" t="e">
        <f>IF(ISBLANK(B1015),0,+#REF!/B1015)</f>
        <v>#REF!</v>
      </c>
      <c r="J1015" s="109">
        <f t="shared" si="60"/>
        <v>215</v>
      </c>
      <c r="K1015" s="92">
        <f t="shared" si="61"/>
        <v>-0.04</v>
      </c>
      <c r="L1015" s="17">
        <f>IF(ISBLANK($C1015),0,IF($C1015&lt;$C$957,ROUND($C$957*$L$956,2),IF($C1015&gt;L$957,ROUND(L$957*L$956,2),ROUND($C1015*L$956,2))))</f>
        <v>50000</v>
      </c>
      <c r="M1015" s="17">
        <f>IF($C1015&gt;L$957,ROUND(($C1015-L$957)*M$956,2),0)</f>
        <v>0</v>
      </c>
      <c r="N1015" s="17">
        <f>K1015</f>
        <v>-0.04</v>
      </c>
      <c r="O1015" s="92"/>
      <c r="P1015" s="92"/>
      <c r="Q1015" s="17">
        <f>SUM(L1015:M1015)</f>
        <v>50000</v>
      </c>
      <c r="R1015" s="110" t="e">
        <f>ROUND(SUM(K1015:M1015)*(R1014-1),2)</f>
        <v>#N/A</v>
      </c>
      <c r="S1015" s="92">
        <f>ROUND($B1015*S$956*S1014,2)</f>
        <v>0</v>
      </c>
      <c r="T1015" s="92">
        <f>ROUND($B1015*T$956,2)</f>
        <v>0</v>
      </c>
      <c r="U1015" s="92">
        <f>ROUND($B1015*U$956,2)</f>
        <v>0</v>
      </c>
      <c r="V1015" s="32">
        <f>ROUND($B1015*$V$951,2)</f>
        <v>0</v>
      </c>
      <c r="W1015" s="92">
        <f>ROUND($B1015*W$956,2)</f>
        <v>0</v>
      </c>
      <c r="X1015" s="92">
        <f>ROUND($B1015*X$956,2)</f>
        <v>-0.01</v>
      </c>
      <c r="Y1015" s="92">
        <f>ROUND($B1015*Y$956,2)</f>
        <v>0</v>
      </c>
      <c r="Z1015" s="92">
        <f>ROUND($B1015*Z$956,2)</f>
        <v>0</v>
      </c>
      <c r="AA1015" s="92">
        <f>ROUND($B1015*AA$956,2)</f>
        <v>0</v>
      </c>
      <c r="AB1015" s="19">
        <f>SUM(U$956:AA$956)+(-V$956+V1001)</f>
        <v>1.1855000000000001E-2</v>
      </c>
      <c r="AC1015" s="105" t="str">
        <f t="shared" si="63"/>
        <v>HL21</v>
      </c>
    </row>
    <row r="1016" spans="1:29" x14ac:dyDescent="0.2">
      <c r="A1016" s="9"/>
      <c r="B1016" s="103">
        <v>-1</v>
      </c>
      <c r="D1016" s="32"/>
      <c r="E1016" s="103"/>
      <c r="F1016" s="36"/>
      <c r="G1016" s="92"/>
      <c r="H1016" s="19" t="e">
        <f>IF(ISBLANK(B1016),0,+#REF!/B1016)</f>
        <v>#REF!</v>
      </c>
      <c r="J1016" s="109">
        <f t="shared" si="60"/>
        <v>215</v>
      </c>
      <c r="K1016" s="92">
        <f t="shared" si="61"/>
        <v>-0.04</v>
      </c>
      <c r="L1016" s="92">
        <f>IF(ISBLANK($E1016),0,IF($E1016&lt;$C$957,ROUND($C$957*$L$956,2),IF($E1016&gt;L$957,ROUND(L$957*L$956,2),ROUND($E1016*L$956,2))))</f>
        <v>0</v>
      </c>
      <c r="M1016" s="92">
        <f>IF($E1016&gt;L$957,ROUND(($E1016-L$957)*M$956,2),0)</f>
        <v>0</v>
      </c>
      <c r="N1016" s="92"/>
      <c r="O1016" s="92"/>
      <c r="P1016" s="92"/>
      <c r="Q1016" s="92"/>
      <c r="R1016" s="16" t="e">
        <f>VLOOKUP((D1017),'Pwr Factor'!$A$1:$B$52,2)</f>
        <v>#N/A</v>
      </c>
      <c r="S1016" s="50">
        <v>0.1</v>
      </c>
      <c r="T1016" s="92"/>
      <c r="U1016" s="92"/>
      <c r="V1016" s="32"/>
      <c r="W1016" s="92"/>
      <c r="X1016" s="92"/>
      <c r="Y1016" s="92"/>
      <c r="Z1016" s="92"/>
      <c r="AA1016" s="92"/>
      <c r="AB1016" s="19"/>
      <c r="AC1016" s="105">
        <f t="shared" si="63"/>
        <v>0</v>
      </c>
    </row>
    <row r="1017" spans="1:29" x14ac:dyDescent="0.2">
      <c r="A1017" s="1" t="s">
        <v>164</v>
      </c>
      <c r="B1017" s="103">
        <f>IF(AND('AES Indiana Bill Calc.'!$D$17="HL2",'AES Indiana Bill Calc.'!$D$18="Yes 10%",'AES Indiana Bill Calc.'!$D$20="Yes 2021"),'AES Indiana Bill Calc.'!$D$19,-1)</f>
        <v>-1</v>
      </c>
      <c r="C1017" s="103">
        <f>MAX(E1017,$C$837)</f>
        <v>2000</v>
      </c>
      <c r="D1017" s="103" t="b">
        <f>IF(AND('AES Indiana Bill Calc.'!$D$17="HL2",'AES Indiana Bill Calc.'!$D$18="Yes 10%",'AES Indiana Bill Calc.'!$D$20="Yes 2021"),'AES Indiana Bill Calc.'!$D$22)</f>
        <v>0</v>
      </c>
      <c r="E1017" s="103" t="b">
        <f>IF(AND('AES Indiana Bill Calc.'!$D$17="HL2",'AES Indiana Bill Calc.'!$D$18="Yes 10%",'AES Indiana Bill Calc.'!$D$20="Yes 2021"),'AES Indiana Bill Calc.'!$D$21)</f>
        <v>0</v>
      </c>
      <c r="F1017" s="36" t="s">
        <v>245</v>
      </c>
      <c r="G1017" s="92" t="e">
        <f>SUM(J1017:M1017,R1017:AA1017)</f>
        <v>#N/A</v>
      </c>
      <c r="H1017" s="19" t="e">
        <f>IF(ISBLANK(B1017),0,+#REF!/B1017)</f>
        <v>#REF!</v>
      </c>
      <c r="J1017" s="109">
        <f t="shared" si="60"/>
        <v>215</v>
      </c>
      <c r="K1017" s="92">
        <f t="shared" si="61"/>
        <v>-0.04</v>
      </c>
      <c r="L1017" s="17">
        <f>IF(ISBLANK($C1017),0,IF($C1017&lt;$C$957,ROUND($C$957*$L$956,2),IF($C1017&gt;L$957,ROUND(L$957*L$956,2),ROUND($C1017*L$956,2))))</f>
        <v>50000</v>
      </c>
      <c r="M1017" s="17">
        <f>IF($C1017&gt;L$957,ROUND(($C1017-L$957)*M$956,2),0)</f>
        <v>0</v>
      </c>
      <c r="N1017" s="17">
        <f>K1017</f>
        <v>-0.04</v>
      </c>
      <c r="O1017" s="92"/>
      <c r="P1017" s="92"/>
      <c r="Q1017" s="17">
        <f>SUM(L1017:M1017)</f>
        <v>50000</v>
      </c>
      <c r="R1017" s="110" t="e">
        <f>ROUND(SUM(K1017:M1017)*(R1016-1),2)</f>
        <v>#N/A</v>
      </c>
      <c r="S1017" s="92">
        <f>ROUND($B1017*S$956*S1016,2)</f>
        <v>0</v>
      </c>
      <c r="T1017" s="92">
        <f>ROUND($B1017*T$956,2)</f>
        <v>0</v>
      </c>
      <c r="U1017" s="92">
        <f>ROUND($B1017*U$956,2)</f>
        <v>0</v>
      </c>
      <c r="V1017" s="32">
        <f>ROUND($B1017*$V$951,2)</f>
        <v>0</v>
      </c>
      <c r="W1017" s="92">
        <f>ROUND($B1017*W$956,2)</f>
        <v>0</v>
      </c>
      <c r="X1017" s="92">
        <f>ROUND($B1017*X$956,2)</f>
        <v>-0.01</v>
      </c>
      <c r="Y1017" s="92">
        <f>ROUND($B1017*Y$956,2)</f>
        <v>0</v>
      </c>
      <c r="Z1017" s="92">
        <f>ROUND($B1017*Z$956,2)</f>
        <v>0</v>
      </c>
      <c r="AA1017" s="92">
        <f>ROUND($B1017*AA$956,2)</f>
        <v>0</v>
      </c>
      <c r="AB1017" s="19">
        <f>SUM(U$956:AA$956)+(-V$956+V1003)</f>
        <v>1.1855000000000001E-2</v>
      </c>
      <c r="AC1017" s="105" t="str">
        <f t="shared" si="63"/>
        <v>HL21</v>
      </c>
    </row>
    <row r="1018" spans="1:29" x14ac:dyDescent="0.2">
      <c r="A1018" s="9"/>
      <c r="B1018" s="103">
        <v>-1</v>
      </c>
      <c r="D1018" s="32"/>
      <c r="E1018" s="103"/>
      <c r="F1018" s="36"/>
      <c r="G1018" s="92"/>
      <c r="H1018" s="19" t="e">
        <f>IF(ISBLANK(B1018),0,+#REF!/B1018)</f>
        <v>#REF!</v>
      </c>
      <c r="J1018" s="109">
        <f t="shared" si="60"/>
        <v>215</v>
      </c>
      <c r="K1018" s="92">
        <f t="shared" si="61"/>
        <v>-0.04</v>
      </c>
      <c r="L1018" s="92">
        <f>IF(ISBLANK($E1018),0,IF($E1018&lt;$C$957,ROUND($C$957*$L$956,2),IF($E1018&gt;L$957,ROUND(L$957*L$956,2),ROUND($E1018*L$956,2))))</f>
        <v>0</v>
      </c>
      <c r="M1018" s="92">
        <f>IF($E1018&gt;L$957,ROUND(($E1018-L$957)*M$956,2),0)</f>
        <v>0</v>
      </c>
      <c r="N1018" s="92"/>
      <c r="O1018" s="92"/>
      <c r="P1018" s="92"/>
      <c r="Q1018" s="92"/>
      <c r="R1018" s="16" t="e">
        <f>VLOOKUP((D1019),'Pwr Factor'!$A$1:$B$52,2)</f>
        <v>#N/A</v>
      </c>
      <c r="S1018" s="50">
        <v>0</v>
      </c>
      <c r="T1018" s="92"/>
      <c r="U1018" s="92"/>
      <c r="V1018" s="32"/>
      <c r="W1018" s="92"/>
      <c r="X1018" s="92"/>
      <c r="Y1018" s="92"/>
      <c r="Z1018" s="92"/>
      <c r="AA1018" s="92"/>
      <c r="AB1018" s="19"/>
      <c r="AC1018" s="105">
        <f t="shared" si="63"/>
        <v>0</v>
      </c>
    </row>
    <row r="1019" spans="1:29" x14ac:dyDescent="0.2">
      <c r="A1019" s="1" t="s">
        <v>147</v>
      </c>
      <c r="B1019" s="103">
        <f>IF(AND('AES Indiana Bill Calc.'!$D$17="HL2",'AES Indiana Bill Calc.'!$D$18="No",'AES Indiana Bill Calc.'!$D$20="Yes 2021"),'AES Indiana Bill Calc.'!$D$19,-1)</f>
        <v>-1</v>
      </c>
      <c r="C1019" s="103">
        <f>MAX(E1019,$C$837)</f>
        <v>2000</v>
      </c>
      <c r="D1019" s="103" t="b">
        <f>IF(AND('AES Indiana Bill Calc.'!$D$17="HL2",'AES Indiana Bill Calc.'!$D$18="No",'AES Indiana Bill Calc.'!$D$20="Yes 2021"),'AES Indiana Bill Calc.'!$D$22)</f>
        <v>0</v>
      </c>
      <c r="E1019" s="103" t="b">
        <f>IF(AND('AES Indiana Bill Calc.'!$D$17="HL2",'AES Indiana Bill Calc.'!$D$18="No",'AES Indiana Bill Calc.'!$D$20="Yes 2021"),'AES Indiana Bill Calc.'!$D$21)</f>
        <v>0</v>
      </c>
      <c r="F1019" s="36" t="s">
        <v>245</v>
      </c>
      <c r="G1019" s="92" t="e">
        <f>SUM(J1019:M1019,R1019:AA1019)</f>
        <v>#N/A</v>
      </c>
      <c r="H1019" s="19" t="e">
        <f>IF(ISBLANK(B1019),0,+#REF!/B1019)</f>
        <v>#REF!</v>
      </c>
      <c r="J1019" s="109">
        <f t="shared" si="60"/>
        <v>215</v>
      </c>
      <c r="K1019" s="92">
        <f t="shared" si="61"/>
        <v>-0.04</v>
      </c>
      <c r="L1019" s="17">
        <f>IF(ISBLANK($C1019),0,IF($C1019&lt;$C$957,ROUND($C$957*$L$956,2),IF($C1019&gt;L$957,ROUND(L$957*L$956,2),ROUND($C1019*L$956,2))))</f>
        <v>50000</v>
      </c>
      <c r="M1019" s="17">
        <f>IF($C1019&gt;L$957,ROUND(($C1019-L$957)*M$956,2),0)</f>
        <v>0</v>
      </c>
      <c r="N1019" s="17">
        <f>K1019</f>
        <v>-0.04</v>
      </c>
      <c r="O1019" s="92"/>
      <c r="P1019" s="92"/>
      <c r="Q1019" s="17">
        <f>SUM(L1019:M1019)</f>
        <v>50000</v>
      </c>
      <c r="R1019" s="110" t="e">
        <f>ROUND(SUM(K1019:M1019)*(R1018-1),2)</f>
        <v>#N/A</v>
      </c>
      <c r="S1019" s="92">
        <f>ROUND($B1019*S$956*S1018,2)</f>
        <v>0</v>
      </c>
      <c r="T1019" s="92">
        <f>ROUND($B1019*T$956,2)</f>
        <v>0</v>
      </c>
      <c r="U1019" s="92">
        <f>ROUND($B1019*U$956,2)</f>
        <v>0</v>
      </c>
      <c r="V1019" s="32">
        <f>ROUND($B1019*$V$951,2)</f>
        <v>0</v>
      </c>
      <c r="W1019" s="92">
        <f>ROUND($B1019*W$956,2)</f>
        <v>0</v>
      </c>
      <c r="X1019" s="92">
        <f>ROUND($B1019*X$956,2)</f>
        <v>-0.01</v>
      </c>
      <c r="Y1019" s="92">
        <f>ROUND($B1019*Y$956,2)</f>
        <v>0</v>
      </c>
      <c r="Z1019" s="92">
        <f>ROUND($B1019*Z$956,2)</f>
        <v>0</v>
      </c>
      <c r="AA1019" s="92">
        <f>ROUND($B1019*AA$956,2)</f>
        <v>0</v>
      </c>
      <c r="AB1019" s="19">
        <f>SUM(U$956:AA$956)+(-V$956+V1005)</f>
        <v>1.1855000000000001E-2</v>
      </c>
      <c r="AC1019" s="105" t="str">
        <f t="shared" si="63"/>
        <v>HL21</v>
      </c>
    </row>
    <row r="1020" spans="1:29" x14ac:dyDescent="0.2">
      <c r="B1020" s="103">
        <v>-1</v>
      </c>
      <c r="D1020" s="32"/>
      <c r="E1020" s="103"/>
      <c r="F1020" s="36"/>
      <c r="G1020" s="92"/>
      <c r="H1020" s="19" t="e">
        <f>IF(ISBLANK(B1020),0,+#REF!/B1020)</f>
        <v>#REF!</v>
      </c>
      <c r="J1020" s="109">
        <f t="shared" si="60"/>
        <v>215</v>
      </c>
      <c r="K1020" s="92">
        <f t="shared" si="61"/>
        <v>-0.04</v>
      </c>
      <c r="L1020" s="92">
        <f>IF(ISBLANK($E1020),0,IF($E1020&lt;$C$957,ROUND($C$957*$L$956,2),IF($E1020&gt;L$957,ROUND(L$957*L$956,2),ROUND($E1020*L$956,2))))</f>
        <v>0</v>
      </c>
      <c r="M1020" s="92">
        <f>IF($E1020&gt;L$957,ROUND(($E1020-L$957)*M$956,2),0)</f>
        <v>0</v>
      </c>
      <c r="N1020" s="92"/>
      <c r="O1020" s="92"/>
      <c r="P1020" s="92"/>
      <c r="Q1020" s="92"/>
      <c r="R1020" s="16" t="e">
        <f>VLOOKUP((D1021),'Pwr Factor'!$A$1:$B$52,2)</f>
        <v>#N/A</v>
      </c>
      <c r="S1020" s="50">
        <v>1</v>
      </c>
      <c r="T1020" s="92"/>
      <c r="U1020" s="92"/>
      <c r="V1020" s="32"/>
      <c r="W1020" s="92"/>
      <c r="X1020" s="92"/>
      <c r="Y1020" s="92"/>
      <c r="Z1020" s="92"/>
      <c r="AA1020" s="92"/>
      <c r="AB1020" s="19"/>
      <c r="AC1020" s="105">
        <f t="shared" si="63"/>
        <v>0</v>
      </c>
    </row>
    <row r="1021" spans="1:29" x14ac:dyDescent="0.2">
      <c r="A1021" s="1" t="s">
        <v>148</v>
      </c>
      <c r="B1021" s="103">
        <f>IF(AND('AES Indiana Bill Calc.'!$D$17="HL2",'AES Indiana Bill Calc.'!$D$18="Yes 100%",'AES Indiana Bill Calc.'!$D$20="Yes 2022"),'AES Indiana Bill Calc.'!$D$19,-1)</f>
        <v>-1</v>
      </c>
      <c r="C1021" s="103">
        <f>MAX(E1021,$C$837)</f>
        <v>2000</v>
      </c>
      <c r="D1021" s="103" t="b">
        <f>IF(AND('AES Indiana Bill Calc.'!$D$17="HL2",'AES Indiana Bill Calc.'!$D$18="Yes 100%",'AES Indiana Bill Calc.'!$D$20="Yes 2022"),'AES Indiana Bill Calc.'!$D$22)</f>
        <v>0</v>
      </c>
      <c r="E1021" s="103" t="b">
        <f>IF(AND('AES Indiana Bill Calc.'!$D$17="HL2",'AES Indiana Bill Calc.'!$D$18="Yes 100%",'AES Indiana Bill Calc.'!$D$20="Yes 2022"),'AES Indiana Bill Calc.'!$D$21)</f>
        <v>0</v>
      </c>
      <c r="F1021" s="36" t="s">
        <v>246</v>
      </c>
      <c r="G1021" s="92" t="e">
        <f>SUM(J1021:M1021,R1021:AA1021)</f>
        <v>#N/A</v>
      </c>
      <c r="H1021" s="19" t="e">
        <f>IF(ISBLANK(B1021),0,+#REF!/B1021)</f>
        <v>#REF!</v>
      </c>
      <c r="J1021" s="109">
        <f t="shared" si="60"/>
        <v>215</v>
      </c>
      <c r="K1021" s="92">
        <f t="shared" si="61"/>
        <v>-0.04</v>
      </c>
      <c r="L1021" s="17">
        <f>IF(ISBLANK($C1021),0,IF($C1021&lt;$C$957,ROUND($C$957*$L$956,2),IF($C1021&gt;L$957,ROUND(L$957*L$956,2),ROUND($C1021*L$956,2))))</f>
        <v>50000</v>
      </c>
      <c r="M1021" s="17">
        <f>IF($C1021&gt;L$957,ROUND(($C1021-L$957)*M$956,2),0)</f>
        <v>0</v>
      </c>
      <c r="N1021" s="17">
        <f>K1021</f>
        <v>-0.04</v>
      </c>
      <c r="O1021" s="92"/>
      <c r="P1021" s="92"/>
      <c r="Q1021" s="17">
        <f>SUM(L1021:M1021)</f>
        <v>50000</v>
      </c>
      <c r="R1021" s="110" t="e">
        <f>ROUND(SUM(K1021:M1021)*(R1020-1),2)</f>
        <v>#N/A</v>
      </c>
      <c r="S1021" s="92">
        <f>ROUND($B1021*S$956*S1020,2)</f>
        <v>0</v>
      </c>
      <c r="T1021" s="92">
        <f>ROUND($B1021*T$956,2)</f>
        <v>0</v>
      </c>
      <c r="U1021" s="92">
        <f>ROUND($B1021*U$956,2)</f>
        <v>0</v>
      </c>
      <c r="V1021" s="32">
        <f>ROUND($B1021*$V$952,2)</f>
        <v>0</v>
      </c>
      <c r="W1021" s="92">
        <f>ROUND($B1021*W$956,2)</f>
        <v>0</v>
      </c>
      <c r="X1021" s="92">
        <f>ROUND($B1021*X$956,2)</f>
        <v>-0.01</v>
      </c>
      <c r="Y1021" s="92">
        <f>ROUND($B1021*Y$956,2)</f>
        <v>0</v>
      </c>
      <c r="Z1021" s="92">
        <f>ROUND($B1021*Z$956,2)</f>
        <v>0</v>
      </c>
      <c r="AA1021" s="92">
        <f>ROUND($B1021*AA$956,2)</f>
        <v>0</v>
      </c>
      <c r="AB1021" s="19">
        <f>SUM(U$956:AA$956)+(-V$956+V1007)</f>
        <v>1.1855000000000001E-2</v>
      </c>
      <c r="AC1021" s="105" t="str">
        <f t="shared" si="63"/>
        <v>HL22</v>
      </c>
    </row>
    <row r="1022" spans="1:29" x14ac:dyDescent="0.2">
      <c r="A1022" s="9"/>
      <c r="B1022" s="103">
        <v>-1</v>
      </c>
      <c r="D1022" s="32"/>
      <c r="E1022" s="103"/>
      <c r="F1022" s="36"/>
      <c r="G1022" s="92"/>
      <c r="H1022" s="19" t="e">
        <f>IF(ISBLANK(B1022),0,+#REF!/B1022)</f>
        <v>#REF!</v>
      </c>
      <c r="J1022" s="109">
        <f t="shared" si="60"/>
        <v>215</v>
      </c>
      <c r="K1022" s="92">
        <f t="shared" si="61"/>
        <v>-0.04</v>
      </c>
      <c r="L1022" s="92">
        <f>IF(ISBLANK($E1022),0,IF($E1022&lt;$C$957,ROUND($C$957*$L$956,2),IF($E1022&gt;L$957,ROUND(L$957*L$956,2),ROUND($E1022*L$956,2))))</f>
        <v>0</v>
      </c>
      <c r="M1022" s="92">
        <f>IF($E1022&gt;L$957,ROUND(($E1022-L$957)*M$956,2),0)</f>
        <v>0</v>
      </c>
      <c r="N1022" s="92"/>
      <c r="O1022" s="92"/>
      <c r="P1022" s="92"/>
      <c r="Q1022" s="92"/>
      <c r="R1022" s="16" t="e">
        <f>VLOOKUP((D1023),'Pwr Factor'!$A$1:$B$52,2)</f>
        <v>#N/A</v>
      </c>
      <c r="S1022" s="50">
        <v>0.5</v>
      </c>
      <c r="T1022" s="92"/>
      <c r="U1022" s="92"/>
      <c r="V1022" s="32"/>
      <c r="W1022" s="92"/>
      <c r="X1022" s="92"/>
      <c r="Y1022" s="92"/>
      <c r="Z1022" s="92"/>
      <c r="AA1022" s="92"/>
      <c r="AB1022" s="19"/>
      <c r="AC1022" s="105">
        <f t="shared" si="63"/>
        <v>0</v>
      </c>
    </row>
    <row r="1023" spans="1:29" x14ac:dyDescent="0.2">
      <c r="A1023" s="1" t="s">
        <v>149</v>
      </c>
      <c r="B1023" s="103">
        <f>IF(AND('AES Indiana Bill Calc.'!$D$17="HL2",'AES Indiana Bill Calc.'!$D$18="Yes 50%",'AES Indiana Bill Calc.'!$D$20="Yes 2022"),'AES Indiana Bill Calc.'!$D$19,-1)</f>
        <v>-1</v>
      </c>
      <c r="C1023" s="103">
        <f>MAX(E1023,$C$837)</f>
        <v>2000</v>
      </c>
      <c r="D1023" s="103" t="b">
        <f>IF(AND('AES Indiana Bill Calc.'!$D$17="HL2",'AES Indiana Bill Calc.'!$D$18="Yes 50%",'AES Indiana Bill Calc.'!$D$20="Yes 2022"),'AES Indiana Bill Calc.'!$D$22)</f>
        <v>0</v>
      </c>
      <c r="E1023" s="103" t="b">
        <f>IF(AND('AES Indiana Bill Calc.'!$D$17="HL2",'AES Indiana Bill Calc.'!$D$18="Yes 50%",'AES Indiana Bill Calc.'!$D$20="Yes 2022"),'AES Indiana Bill Calc.'!$D$21)</f>
        <v>0</v>
      </c>
      <c r="F1023" s="36" t="s">
        <v>246</v>
      </c>
      <c r="G1023" s="92" t="e">
        <f>SUM(J1023:M1023,R1023:AA1023)</f>
        <v>#N/A</v>
      </c>
      <c r="H1023" s="19" t="e">
        <f>IF(ISBLANK(B1023),0,+#REF!/B1023)</f>
        <v>#REF!</v>
      </c>
      <c r="J1023" s="109">
        <f t="shared" si="60"/>
        <v>215</v>
      </c>
      <c r="K1023" s="92">
        <f t="shared" si="61"/>
        <v>-0.04</v>
      </c>
      <c r="L1023" s="17">
        <f>IF(ISBLANK($C1023),0,IF($C1023&lt;$C$957,ROUND($C$957*$L$956,2),IF($C1023&gt;L$957,ROUND(L$957*L$956,2),ROUND($C1023*L$956,2))))</f>
        <v>50000</v>
      </c>
      <c r="M1023" s="17">
        <f>IF($C1023&gt;L$957,ROUND(($C1023-L$957)*M$956,2),0)</f>
        <v>0</v>
      </c>
      <c r="N1023" s="17">
        <f>K1023</f>
        <v>-0.04</v>
      </c>
      <c r="O1023" s="92"/>
      <c r="P1023" s="92"/>
      <c r="Q1023" s="17">
        <f>SUM(L1023:M1023)</f>
        <v>50000</v>
      </c>
      <c r="R1023" s="110" t="e">
        <f>ROUND(SUM(K1023:M1023)*(R1022-1),2)</f>
        <v>#N/A</v>
      </c>
      <c r="S1023" s="92">
        <f>ROUND($B1023*S$956*S1022,2)</f>
        <v>0</v>
      </c>
      <c r="T1023" s="92">
        <f>ROUND($B1023*T$956,2)</f>
        <v>0</v>
      </c>
      <c r="U1023" s="92">
        <f>ROUND($B1023*U$956,2)</f>
        <v>0</v>
      </c>
      <c r="V1023" s="32">
        <f>ROUND($B1023*$V$952,2)</f>
        <v>0</v>
      </c>
      <c r="W1023" s="92">
        <f>ROUND($B1023*W$956,2)</f>
        <v>0</v>
      </c>
      <c r="X1023" s="92">
        <f>ROUND($B1023*X$956,2)</f>
        <v>-0.01</v>
      </c>
      <c r="Y1023" s="92">
        <f>ROUND($B1023*Y$956,2)</f>
        <v>0</v>
      </c>
      <c r="Z1023" s="92">
        <f>ROUND($B1023*Z$956,2)</f>
        <v>0</v>
      </c>
      <c r="AA1023" s="92">
        <f>ROUND($B1023*AA$956,2)</f>
        <v>0</v>
      </c>
      <c r="AB1023" s="19">
        <f>SUM(U$956:AA$956)+(-V$956+V1009)</f>
        <v>1.1855000000000001E-2</v>
      </c>
      <c r="AC1023" s="105" t="str">
        <f t="shared" si="63"/>
        <v>HL22</v>
      </c>
    </row>
    <row r="1024" spans="1:29" x14ac:dyDescent="0.2">
      <c r="A1024" s="9"/>
      <c r="B1024" s="103">
        <v>-1</v>
      </c>
      <c r="D1024" s="32"/>
      <c r="E1024" s="103"/>
      <c r="F1024" s="36"/>
      <c r="G1024" s="92"/>
      <c r="H1024" s="19" t="e">
        <f>IF(ISBLANK(B1024),0,+#REF!/B1024)</f>
        <v>#REF!</v>
      </c>
      <c r="J1024" s="109">
        <f t="shared" si="60"/>
        <v>215</v>
      </c>
      <c r="K1024" s="92">
        <f t="shared" si="61"/>
        <v>-0.04</v>
      </c>
      <c r="L1024" s="92">
        <f>IF(ISBLANK($E1024),0,IF($E1024&lt;$C$957,ROUND($C$957*$L$956,2),IF($E1024&gt;L$957,ROUND(L$957*L$956,2),ROUND($E1024*L$956,2))))</f>
        <v>0</v>
      </c>
      <c r="M1024" s="92">
        <f>IF($E1024&gt;L$957,ROUND(($E1024-L$957)*M$956,2),0)</f>
        <v>0</v>
      </c>
      <c r="N1024" s="92"/>
      <c r="O1024" s="92"/>
      <c r="P1024" s="92"/>
      <c r="Q1024" s="92"/>
      <c r="R1024" s="16" t="e">
        <f>VLOOKUP((D1025),'Pwr Factor'!$A$1:$B$52,2)</f>
        <v>#N/A</v>
      </c>
      <c r="S1024" s="50">
        <v>0.25</v>
      </c>
      <c r="T1024" s="92"/>
      <c r="U1024" s="92"/>
      <c r="V1024" s="32"/>
      <c r="W1024" s="92"/>
      <c r="X1024" s="92"/>
      <c r="Y1024" s="92"/>
      <c r="Z1024" s="92"/>
      <c r="AA1024" s="92"/>
      <c r="AB1024" s="19"/>
      <c r="AC1024" s="105">
        <f t="shared" si="63"/>
        <v>0</v>
      </c>
    </row>
    <row r="1025" spans="1:29" x14ac:dyDescent="0.2">
      <c r="A1025" s="1" t="s">
        <v>150</v>
      </c>
      <c r="B1025" s="103">
        <f>IF(AND('AES Indiana Bill Calc.'!$D$17="HL2",'AES Indiana Bill Calc.'!$D$18="Yes 25%",'AES Indiana Bill Calc.'!$D$20="Yes 2022"),'AES Indiana Bill Calc.'!$D$19,-1)</f>
        <v>-1</v>
      </c>
      <c r="C1025" s="103">
        <f>MAX(E1025,$C$837)</f>
        <v>2000</v>
      </c>
      <c r="D1025" s="103" t="b">
        <f>IF(AND('AES Indiana Bill Calc.'!$D$17="HL2",'AES Indiana Bill Calc.'!$D$18="Yes 25%",'AES Indiana Bill Calc.'!$D$20="Yes 2022"),'AES Indiana Bill Calc.'!$D$22)</f>
        <v>0</v>
      </c>
      <c r="E1025" s="103" t="b">
        <f>IF(AND('AES Indiana Bill Calc.'!$D$17="HL2",'AES Indiana Bill Calc.'!$D$18="Yes 25%",'AES Indiana Bill Calc.'!$D$20="Yes 2022"),'AES Indiana Bill Calc.'!$D$21)</f>
        <v>0</v>
      </c>
      <c r="F1025" s="36" t="s">
        <v>246</v>
      </c>
      <c r="G1025" s="92" t="e">
        <f>SUM(J1025:M1025,R1025:AA1025)</f>
        <v>#N/A</v>
      </c>
      <c r="H1025" s="19" t="e">
        <f>IF(ISBLANK(B1025),0,+#REF!/B1025)</f>
        <v>#REF!</v>
      </c>
      <c r="J1025" s="109">
        <f t="shared" si="60"/>
        <v>215</v>
      </c>
      <c r="K1025" s="92">
        <f t="shared" si="61"/>
        <v>-0.04</v>
      </c>
      <c r="L1025" s="17">
        <f>IF(ISBLANK($C1025),0,IF($C1025&lt;$C$957,ROUND($C$957*$L$956,2),IF($C1025&gt;L$957,ROUND(L$957*L$956,2),ROUND($C1025*L$956,2))))</f>
        <v>50000</v>
      </c>
      <c r="M1025" s="17">
        <f>IF($C1025&gt;L$957,ROUND(($C1025-L$957)*M$956,2),0)</f>
        <v>0</v>
      </c>
      <c r="N1025" s="17">
        <f>K1025</f>
        <v>-0.04</v>
      </c>
      <c r="O1025" s="92"/>
      <c r="P1025" s="92"/>
      <c r="Q1025" s="17">
        <f>SUM(L1025:M1025)</f>
        <v>50000</v>
      </c>
      <c r="R1025" s="110" t="e">
        <f>ROUND(SUM(K1025:M1025)*(R1024-1),2)</f>
        <v>#N/A</v>
      </c>
      <c r="S1025" s="92">
        <f>ROUND($B1025*S$956*S1024,2)</f>
        <v>0</v>
      </c>
      <c r="T1025" s="92">
        <f>ROUND($B1025*T$956,2)</f>
        <v>0</v>
      </c>
      <c r="U1025" s="92">
        <f>ROUND($B1025*U$956,2)</f>
        <v>0</v>
      </c>
      <c r="V1025" s="32">
        <f>ROUND($B1025*$V$952,2)</f>
        <v>0</v>
      </c>
      <c r="W1025" s="92">
        <f>ROUND($B1025*W$956,2)</f>
        <v>0</v>
      </c>
      <c r="X1025" s="92">
        <f>ROUND($B1025*X$956,2)</f>
        <v>-0.01</v>
      </c>
      <c r="Y1025" s="92">
        <f>ROUND($B1025*Y$956,2)</f>
        <v>0</v>
      </c>
      <c r="Z1025" s="92">
        <f>ROUND($B1025*Z$956,2)</f>
        <v>0</v>
      </c>
      <c r="AA1025" s="92">
        <f>ROUND($B1025*AA$956,2)</f>
        <v>0</v>
      </c>
      <c r="AB1025" s="19">
        <f>SUM(U$956:AA$956)+(-V$956+V1011)</f>
        <v>1.1855000000000001E-2</v>
      </c>
      <c r="AC1025" s="105" t="str">
        <f t="shared" si="63"/>
        <v>HL22</v>
      </c>
    </row>
    <row r="1026" spans="1:29" x14ac:dyDescent="0.2">
      <c r="A1026" s="9"/>
      <c r="B1026" s="103">
        <v>-1</v>
      </c>
      <c r="D1026" s="32"/>
      <c r="E1026" s="103"/>
      <c r="F1026" s="36"/>
      <c r="G1026" s="92"/>
      <c r="H1026" s="19" t="e">
        <f>IF(ISBLANK(B1026),0,+#REF!/B1026)</f>
        <v>#REF!</v>
      </c>
      <c r="J1026" s="109">
        <f t="shared" si="60"/>
        <v>215</v>
      </c>
      <c r="K1026" s="92">
        <f t="shared" si="61"/>
        <v>-0.04</v>
      </c>
      <c r="L1026" s="92">
        <f>IF(ISBLANK($E1026),0,IF($E1026&lt;$C$957,ROUND($C$957*$L$956,2),IF($E1026&gt;L$957,ROUND(L$957*L$956,2),ROUND($E1026*L$956,2))))</f>
        <v>0</v>
      </c>
      <c r="M1026" s="92">
        <f>IF($E1026&gt;L$957,ROUND(($E1026-L$957)*M$956,2),0)</f>
        <v>0</v>
      </c>
      <c r="N1026" s="92"/>
      <c r="O1026" s="92"/>
      <c r="P1026" s="92"/>
      <c r="Q1026" s="92"/>
      <c r="R1026" s="16" t="e">
        <f>VLOOKUP((D1027),'Pwr Factor'!$A$1:$B$52,2)</f>
        <v>#N/A</v>
      </c>
      <c r="S1026" s="50">
        <v>0.1</v>
      </c>
      <c r="T1026" s="92"/>
      <c r="U1026" s="92"/>
      <c r="V1026" s="32"/>
      <c r="W1026" s="92"/>
      <c r="X1026" s="92"/>
      <c r="Y1026" s="92"/>
      <c r="Z1026" s="92"/>
      <c r="AA1026" s="92"/>
      <c r="AB1026" s="19"/>
      <c r="AC1026" s="105">
        <f t="shared" si="63"/>
        <v>0</v>
      </c>
    </row>
    <row r="1027" spans="1:29" x14ac:dyDescent="0.2">
      <c r="A1027" s="1" t="s">
        <v>164</v>
      </c>
      <c r="B1027" s="103">
        <f>IF(AND('AES Indiana Bill Calc.'!$D$17="HL2",'AES Indiana Bill Calc.'!$D$18="Yes 10%",'AES Indiana Bill Calc.'!$D$20="Yes 2022"),'AES Indiana Bill Calc.'!$D$19,-1)</f>
        <v>-1</v>
      </c>
      <c r="C1027" s="103">
        <f>MAX(E1027,$C$837)</f>
        <v>2000</v>
      </c>
      <c r="D1027" s="103" t="b">
        <f>IF(AND('AES Indiana Bill Calc.'!$D$17="HL2",'AES Indiana Bill Calc.'!$D$18="Yes 10%",'AES Indiana Bill Calc.'!$D$20="Yes 2022"),'AES Indiana Bill Calc.'!$D$22)</f>
        <v>0</v>
      </c>
      <c r="E1027" s="103" t="b">
        <f>IF(AND('AES Indiana Bill Calc.'!$D$17="HL2",'AES Indiana Bill Calc.'!$D$18="Yes 10%",'AES Indiana Bill Calc.'!$D$20="Yes 2022"),'AES Indiana Bill Calc.'!$D$21)</f>
        <v>0</v>
      </c>
      <c r="F1027" s="36" t="s">
        <v>246</v>
      </c>
      <c r="G1027" s="92" t="e">
        <f>SUM(J1027:M1027,R1027:AA1027)</f>
        <v>#N/A</v>
      </c>
      <c r="H1027" s="19" t="e">
        <f>IF(ISBLANK(B1027),0,+#REF!/B1027)</f>
        <v>#REF!</v>
      </c>
      <c r="J1027" s="109">
        <f t="shared" si="60"/>
        <v>215</v>
      </c>
      <c r="K1027" s="92">
        <f t="shared" si="61"/>
        <v>-0.04</v>
      </c>
      <c r="L1027" s="17">
        <f>IF(ISBLANK($C1027),0,IF($C1027&lt;$C$957,ROUND($C$957*$L$956,2),IF($C1027&gt;L$957,ROUND(L$957*L$956,2),ROUND($C1027*L$956,2))))</f>
        <v>50000</v>
      </c>
      <c r="M1027" s="17">
        <f>IF($C1027&gt;L$957,ROUND(($C1027-L$957)*M$956,2),0)</f>
        <v>0</v>
      </c>
      <c r="N1027" s="17">
        <f>K1027</f>
        <v>-0.04</v>
      </c>
      <c r="O1027" s="92"/>
      <c r="P1027" s="92"/>
      <c r="Q1027" s="17">
        <f>SUM(L1027:M1027)</f>
        <v>50000</v>
      </c>
      <c r="R1027" s="110" t="e">
        <f>ROUND(SUM(K1027:M1027)*(R1026-1),2)</f>
        <v>#N/A</v>
      </c>
      <c r="S1027" s="92">
        <f>ROUND($B1027*S$956*S1026,2)</f>
        <v>0</v>
      </c>
      <c r="T1027" s="92">
        <f>ROUND($B1027*T$956,2)</f>
        <v>0</v>
      </c>
      <c r="U1027" s="92">
        <f>ROUND($B1027*U$956,2)</f>
        <v>0</v>
      </c>
      <c r="V1027" s="32">
        <f>ROUND($B1027*$V$952,2)</f>
        <v>0</v>
      </c>
      <c r="W1027" s="92">
        <f>ROUND($B1027*W$956,2)</f>
        <v>0</v>
      </c>
      <c r="X1027" s="92">
        <f>ROUND($B1027*X$956,2)</f>
        <v>-0.01</v>
      </c>
      <c r="Y1027" s="92">
        <f>ROUND($B1027*Y$956,2)</f>
        <v>0</v>
      </c>
      <c r="Z1027" s="92">
        <f>ROUND($B1027*Z$956,2)</f>
        <v>0</v>
      </c>
      <c r="AA1027" s="92">
        <f>ROUND($B1027*AA$956,2)</f>
        <v>0</v>
      </c>
      <c r="AB1027" s="19">
        <f>SUM(U$956:AA$956)+(-V$956+V1013)</f>
        <v>1.1855000000000001E-2</v>
      </c>
      <c r="AC1027" s="105" t="str">
        <f t="shared" si="63"/>
        <v>HL22</v>
      </c>
    </row>
    <row r="1028" spans="1:29" x14ac:dyDescent="0.2">
      <c r="A1028" s="9"/>
      <c r="B1028" s="103">
        <v>-1</v>
      </c>
      <c r="D1028" s="32"/>
      <c r="E1028" s="103"/>
      <c r="F1028" s="36"/>
      <c r="G1028" s="92"/>
      <c r="H1028" s="19" t="e">
        <f>IF(ISBLANK(B1028),0,+#REF!/B1028)</f>
        <v>#REF!</v>
      </c>
      <c r="J1028" s="109">
        <f t="shared" si="60"/>
        <v>215</v>
      </c>
      <c r="K1028" s="92">
        <f t="shared" si="61"/>
        <v>-0.04</v>
      </c>
      <c r="L1028" s="92">
        <f>IF(ISBLANK($E1028),0,IF($E1028&lt;$C$957,ROUND($C$957*$L$956,2),IF($E1028&gt;L$957,ROUND(L$957*L$956,2),ROUND($E1028*L$956,2))))</f>
        <v>0</v>
      </c>
      <c r="M1028" s="92">
        <f>IF($E1028&gt;L$957,ROUND(($E1028-L$957)*M$956,2),0)</f>
        <v>0</v>
      </c>
      <c r="N1028" s="92"/>
      <c r="O1028" s="92"/>
      <c r="P1028" s="92"/>
      <c r="Q1028" s="92"/>
      <c r="R1028" s="16" t="e">
        <f>VLOOKUP((D1029),'Pwr Factor'!$A$1:$B$52,2)</f>
        <v>#N/A</v>
      </c>
      <c r="S1028" s="50">
        <v>0</v>
      </c>
      <c r="T1028" s="92"/>
      <c r="U1028" s="92"/>
      <c r="V1028" s="32"/>
      <c r="W1028" s="92"/>
      <c r="X1028" s="92"/>
      <c r="Y1028" s="92"/>
      <c r="Z1028" s="92"/>
      <c r="AA1028" s="92"/>
      <c r="AB1028" s="19"/>
      <c r="AC1028" s="105">
        <f t="shared" si="63"/>
        <v>0</v>
      </c>
    </row>
    <row r="1029" spans="1:29" x14ac:dyDescent="0.2">
      <c r="A1029" s="1" t="s">
        <v>147</v>
      </c>
      <c r="B1029" s="103">
        <f>IF(AND('AES Indiana Bill Calc.'!$D$17="HL2",'AES Indiana Bill Calc.'!$D$18="No",'AES Indiana Bill Calc.'!$D$20="Yes 2022"),'AES Indiana Bill Calc.'!$D$19,-1)</f>
        <v>-1</v>
      </c>
      <c r="C1029" s="103">
        <f>MAX(E1029,$C$837)</f>
        <v>2000</v>
      </c>
      <c r="D1029" s="103" t="b">
        <f>IF(AND('AES Indiana Bill Calc.'!$D$17="HL2",'AES Indiana Bill Calc.'!$D$18="No",'AES Indiana Bill Calc.'!$D$20="Yes 2022"),'AES Indiana Bill Calc.'!$D$22)</f>
        <v>0</v>
      </c>
      <c r="E1029" s="103" t="b">
        <f>IF(AND('AES Indiana Bill Calc.'!$D$17="HL2",'AES Indiana Bill Calc.'!$D$18="No",'AES Indiana Bill Calc.'!$D$20="Yes 2022"),'AES Indiana Bill Calc.'!$D$21)</f>
        <v>0</v>
      </c>
      <c r="F1029" s="36" t="s">
        <v>246</v>
      </c>
      <c r="G1029" s="92" t="e">
        <f>SUM(J1029:M1029,R1029:AA1029)</f>
        <v>#N/A</v>
      </c>
      <c r="H1029" s="19" t="e">
        <f>IF(ISBLANK(B1029),0,+#REF!/B1029)</f>
        <v>#REF!</v>
      </c>
      <c r="J1029" s="109">
        <f t="shared" si="60"/>
        <v>215</v>
      </c>
      <c r="K1029" s="92">
        <f t="shared" si="61"/>
        <v>-0.04</v>
      </c>
      <c r="L1029" s="17">
        <f>IF(ISBLANK($C1029),0,IF($C1029&lt;$C$957,ROUND($C$957*$L$956,2),IF($C1029&gt;L$957,ROUND(L$957*L$956,2),ROUND($C1029*L$956,2))))</f>
        <v>50000</v>
      </c>
      <c r="M1029" s="17">
        <f>IF($C1029&gt;L$957,ROUND(($C1029-L$957)*M$956,2),0)</f>
        <v>0</v>
      </c>
      <c r="N1029" s="17">
        <f>K1029</f>
        <v>-0.04</v>
      </c>
      <c r="O1029" s="92"/>
      <c r="P1029" s="92"/>
      <c r="Q1029" s="17">
        <f>SUM(L1029:M1029)</f>
        <v>50000</v>
      </c>
      <c r="R1029" s="110" t="e">
        <f>ROUND(SUM(K1029:M1029)*(R1028-1),2)</f>
        <v>#N/A</v>
      </c>
      <c r="S1029" s="92">
        <f>ROUND($B1029*S$956*S1028,2)</f>
        <v>0</v>
      </c>
      <c r="T1029" s="92">
        <f>ROUND($B1029*T$956,2)</f>
        <v>0</v>
      </c>
      <c r="U1029" s="92">
        <f>ROUND($B1029*U$956,2)</f>
        <v>0</v>
      </c>
      <c r="V1029" s="32">
        <f>ROUND($B1029*$V$952,2)</f>
        <v>0</v>
      </c>
      <c r="W1029" s="92">
        <f>ROUND($B1029*W$956,2)</f>
        <v>0</v>
      </c>
      <c r="X1029" s="92">
        <f>ROUND($B1029*X$956,2)</f>
        <v>-0.01</v>
      </c>
      <c r="Y1029" s="92">
        <f>ROUND($B1029*Y$956,2)</f>
        <v>0</v>
      </c>
      <c r="Z1029" s="92">
        <f>ROUND($B1029*Z$956,2)</f>
        <v>0</v>
      </c>
      <c r="AA1029" s="92">
        <f>ROUND($B1029*AA$956,2)</f>
        <v>0</v>
      </c>
      <c r="AB1029" s="19">
        <f>SUM(U$956:AA$956)+(-V$956+V1015)</f>
        <v>1.1855000000000001E-2</v>
      </c>
      <c r="AC1029" s="105" t="str">
        <f t="shared" si="63"/>
        <v>HL22</v>
      </c>
    </row>
    <row r="1030" spans="1:29" x14ac:dyDescent="0.2">
      <c r="B1030" s="103">
        <v>-1</v>
      </c>
      <c r="D1030" s="32"/>
      <c r="E1030" s="103"/>
      <c r="F1030" s="36"/>
      <c r="G1030" s="92"/>
      <c r="H1030" s="19" t="e">
        <f>IF(ISBLANK(B1030),0,+#REF!/B1030)</f>
        <v>#REF!</v>
      </c>
      <c r="J1030" s="109">
        <f t="shared" si="60"/>
        <v>215</v>
      </c>
      <c r="K1030" s="92">
        <f t="shared" si="61"/>
        <v>-0.04</v>
      </c>
      <c r="L1030" s="92">
        <f>IF(ISBLANK($E1030),0,IF($E1030&lt;$C$957,ROUND($C$957*$L$956,2),IF($E1030&gt;L$957,ROUND(L$957*L$956,2),ROUND($E1030*L$956,2))))</f>
        <v>0</v>
      </c>
      <c r="M1030" s="92">
        <f>IF($E1030&gt;L$957,ROUND(($E1030-L$957)*M$956,2),0)</f>
        <v>0</v>
      </c>
      <c r="N1030" s="92"/>
      <c r="O1030" s="92"/>
      <c r="P1030" s="92"/>
      <c r="Q1030" s="92"/>
      <c r="R1030" s="16" t="e">
        <f>VLOOKUP((D1031),'Pwr Factor'!$A$1:$B$52,2)</f>
        <v>#N/A</v>
      </c>
      <c r="S1030" s="50">
        <v>1</v>
      </c>
      <c r="T1030" s="92"/>
      <c r="U1030" s="92"/>
      <c r="V1030" s="32"/>
      <c r="W1030" s="92"/>
      <c r="X1030" s="92"/>
      <c r="Y1030" s="92"/>
      <c r="Z1030" s="92"/>
      <c r="AA1030" s="92"/>
      <c r="AB1030" s="19"/>
      <c r="AC1030" s="105">
        <f t="shared" si="63"/>
        <v>0</v>
      </c>
    </row>
    <row r="1031" spans="1:29" x14ac:dyDescent="0.2">
      <c r="A1031" s="1" t="s">
        <v>148</v>
      </c>
      <c r="B1031" s="103">
        <f>IF(AND('AES Indiana Bill Calc.'!$D$17="HL2",'AES Indiana Bill Calc.'!$D$18="Yes 100%",'AES Indiana Bill Calc.'!$D$20="Yes 2023"),'AES Indiana Bill Calc.'!$D$19,-1)</f>
        <v>-1</v>
      </c>
      <c r="C1031" s="103">
        <f>MAX(E1031,$C$837)</f>
        <v>2000</v>
      </c>
      <c r="D1031" s="103" t="b">
        <f>IF(AND('AES Indiana Bill Calc.'!$D$17="HL2",'AES Indiana Bill Calc.'!$D$18="Yes 100%",'AES Indiana Bill Calc.'!$D$20="Yes 2023"),'AES Indiana Bill Calc.'!$D$22)</f>
        <v>0</v>
      </c>
      <c r="E1031" s="103" t="b">
        <f>IF(AND('AES Indiana Bill Calc.'!$D$17="HL2",'AES Indiana Bill Calc.'!$D$18="Yes 100%",'AES Indiana Bill Calc.'!$D$20="Yes 2023"),'AES Indiana Bill Calc.'!$D$21)</f>
        <v>0</v>
      </c>
      <c r="F1031" s="36" t="s">
        <v>297</v>
      </c>
      <c r="G1031" s="92" t="e">
        <f>SUM(J1031:M1031,R1031:AA1031)</f>
        <v>#N/A</v>
      </c>
      <c r="H1031" s="19" t="e">
        <f>IF(ISBLANK(B1031),0,+#REF!/B1031)</f>
        <v>#REF!</v>
      </c>
      <c r="J1031" s="109">
        <f t="shared" si="60"/>
        <v>215</v>
      </c>
      <c r="K1031" s="92">
        <f t="shared" si="61"/>
        <v>-0.04</v>
      </c>
      <c r="L1031" s="17">
        <f>IF(ISBLANK($C1031),0,IF($C1031&lt;$C$957,ROUND($C$957*$L$956,2),IF($C1031&gt;L$957,ROUND(L$957*L$956,2),ROUND($C1031*L$956,2))))</f>
        <v>50000</v>
      </c>
      <c r="M1031" s="17">
        <f>IF($C1031&gt;L$957,ROUND(($C1031-L$957)*M$956,2),0)</f>
        <v>0</v>
      </c>
      <c r="N1031" s="17">
        <f>K1031</f>
        <v>-0.04</v>
      </c>
      <c r="O1031" s="92"/>
      <c r="P1031" s="92"/>
      <c r="Q1031" s="17">
        <f>SUM(L1031:M1031)</f>
        <v>50000</v>
      </c>
      <c r="R1031" s="110" t="e">
        <f>ROUND(SUM(K1031:M1031)*(R1030-1),2)</f>
        <v>#N/A</v>
      </c>
      <c r="S1031" s="92">
        <f>ROUND($B1031*S$956*S1030,2)</f>
        <v>0</v>
      </c>
      <c r="T1031" s="92">
        <f>ROUND($B1031*T$956,2)</f>
        <v>0</v>
      </c>
      <c r="U1031" s="92">
        <f>ROUND($B1031*U$956,2)</f>
        <v>0</v>
      </c>
      <c r="V1031" s="32">
        <f>ROUND($B1031*$V$953,2)</f>
        <v>0</v>
      </c>
      <c r="W1031" s="92">
        <f>ROUND($B1031*W$956,2)</f>
        <v>0</v>
      </c>
      <c r="X1031" s="92">
        <f>ROUND($B1031*X$956,2)</f>
        <v>-0.01</v>
      </c>
      <c r="Y1031" s="92">
        <f>ROUND($B1031*Y$956,2)</f>
        <v>0</v>
      </c>
      <c r="Z1031" s="92">
        <f>ROUND($B1031*Z$956,2)</f>
        <v>0</v>
      </c>
      <c r="AA1031" s="92">
        <f>ROUND($B1031*AA$956,2)</f>
        <v>0</v>
      </c>
      <c r="AB1031" s="19">
        <f>SUM(U$956:AA$956)+(-V$956+V1017)</f>
        <v>1.1855000000000001E-2</v>
      </c>
      <c r="AC1031" s="105" t="str">
        <f t="shared" si="63"/>
        <v>HL23</v>
      </c>
    </row>
    <row r="1032" spans="1:29" x14ac:dyDescent="0.2">
      <c r="A1032" s="9"/>
      <c r="B1032" s="103">
        <v>-1</v>
      </c>
      <c r="D1032" s="32"/>
      <c r="E1032" s="103"/>
      <c r="F1032" s="36"/>
      <c r="G1032" s="92"/>
      <c r="H1032" s="19" t="e">
        <f>IF(ISBLANK(B1032),0,+#REF!/B1032)</f>
        <v>#REF!</v>
      </c>
      <c r="J1032" s="109">
        <f t="shared" si="60"/>
        <v>215</v>
      </c>
      <c r="K1032" s="92">
        <f t="shared" si="61"/>
        <v>-0.04</v>
      </c>
      <c r="L1032" s="92">
        <f>IF(ISBLANK($E1032),0,IF($E1032&lt;$C$957,ROUND($C$957*$L$956,2),IF($E1032&gt;L$957,ROUND(L$957*L$956,2),ROUND($E1032*L$956,2))))</f>
        <v>0</v>
      </c>
      <c r="M1032" s="92">
        <f>IF($E1032&gt;L$957,ROUND(($E1032-L$957)*M$956,2),0)</f>
        <v>0</v>
      </c>
      <c r="N1032" s="92"/>
      <c r="O1032" s="92"/>
      <c r="P1032" s="92"/>
      <c r="Q1032" s="92"/>
      <c r="R1032" s="16" t="e">
        <f>VLOOKUP((D1033),'Pwr Factor'!$A$1:$B$52,2)</f>
        <v>#N/A</v>
      </c>
      <c r="S1032" s="50">
        <v>0.5</v>
      </c>
      <c r="T1032" s="92"/>
      <c r="U1032" s="92"/>
      <c r="V1032" s="32"/>
      <c r="W1032" s="92"/>
      <c r="X1032" s="92"/>
      <c r="Y1032" s="92"/>
      <c r="Z1032" s="92"/>
      <c r="AA1032" s="92"/>
      <c r="AB1032" s="19"/>
      <c r="AC1032" s="105">
        <f t="shared" si="63"/>
        <v>0</v>
      </c>
    </row>
    <row r="1033" spans="1:29" x14ac:dyDescent="0.2">
      <c r="A1033" s="1" t="s">
        <v>149</v>
      </c>
      <c r="B1033" s="103">
        <f>IF(AND('AES Indiana Bill Calc.'!$D$17="HL2",'AES Indiana Bill Calc.'!$D$18="Yes 50%",'AES Indiana Bill Calc.'!$D$20="Yes 2023"),'AES Indiana Bill Calc.'!$D$19,-1)</f>
        <v>-1</v>
      </c>
      <c r="C1033" s="103">
        <f>MAX(E1033,$C$837)</f>
        <v>2000</v>
      </c>
      <c r="D1033" s="103" t="b">
        <f>IF(AND('AES Indiana Bill Calc.'!$D$17="HL2",'AES Indiana Bill Calc.'!$D$18="Yes 50%",'AES Indiana Bill Calc.'!$D$20="Yes 2023"),'AES Indiana Bill Calc.'!$D$22)</f>
        <v>0</v>
      </c>
      <c r="E1033" s="103" t="b">
        <f>IF(AND('AES Indiana Bill Calc.'!$D$17="HL2",'AES Indiana Bill Calc.'!$D$18="Yes 50%",'AES Indiana Bill Calc.'!$D$20="Yes 2023"),'AES Indiana Bill Calc.'!$D$21)</f>
        <v>0</v>
      </c>
      <c r="F1033" s="36" t="s">
        <v>297</v>
      </c>
      <c r="G1033" s="92" t="e">
        <f>SUM(J1033:M1033,R1033:AA1033)</f>
        <v>#N/A</v>
      </c>
      <c r="H1033" s="19" t="e">
        <f>IF(ISBLANK(B1033),0,+#REF!/B1033)</f>
        <v>#REF!</v>
      </c>
      <c r="J1033" s="109">
        <f t="shared" ref="J1033:J1042" si="64">IF(ISBLANK(B1033),0,+J$956)</f>
        <v>215</v>
      </c>
      <c r="K1033" s="92">
        <f t="shared" ref="K1033:K1059" si="65">ROUND($B1033*K$956,2)</f>
        <v>-0.04</v>
      </c>
      <c r="L1033" s="17">
        <f>IF(ISBLANK($C1033),0,IF($C1033&lt;$C$957,ROUND($C$957*$L$956,2),IF($C1033&gt;L$957,ROUND(L$957*L$956,2),ROUND($C1033*L$956,2))))</f>
        <v>50000</v>
      </c>
      <c r="M1033" s="17">
        <f>IF($C1033&gt;L$957,ROUND(($C1033-L$957)*M$956,2),0)</f>
        <v>0</v>
      </c>
      <c r="N1033" s="17">
        <f>K1033</f>
        <v>-0.04</v>
      </c>
      <c r="O1033" s="92"/>
      <c r="P1033" s="92"/>
      <c r="Q1033" s="17">
        <f>SUM(L1033:M1033)</f>
        <v>50000</v>
      </c>
      <c r="R1033" s="110" t="e">
        <f>ROUND(SUM(K1033:M1033)*(R1032-1),2)</f>
        <v>#N/A</v>
      </c>
      <c r="S1033" s="92">
        <f>ROUND($B1033*S$956*S1032,2)</f>
        <v>0</v>
      </c>
      <c r="T1033" s="92">
        <f>ROUND($B1033*T$956,2)</f>
        <v>0</v>
      </c>
      <c r="U1033" s="92">
        <f>ROUND($B1033*U$956,2)</f>
        <v>0</v>
      </c>
      <c r="V1033" s="32">
        <f>ROUND($B1033*$V$953,2)</f>
        <v>0</v>
      </c>
      <c r="W1033" s="92">
        <f>ROUND($B1033*W$956,2)</f>
        <v>0</v>
      </c>
      <c r="X1033" s="92">
        <f>ROUND($B1033*X$956,2)</f>
        <v>-0.01</v>
      </c>
      <c r="Y1033" s="92">
        <f>ROUND($B1033*Y$956,2)</f>
        <v>0</v>
      </c>
      <c r="Z1033" s="92">
        <f>ROUND($B1033*Z$956,2)</f>
        <v>0</v>
      </c>
      <c r="AA1033" s="92">
        <f>ROUND($B1033*AA$956,2)</f>
        <v>0</v>
      </c>
      <c r="AB1033" s="19">
        <f>SUM(U$956:AA$956)+(-V$956+V1019)</f>
        <v>1.1855000000000001E-2</v>
      </c>
      <c r="AC1033" s="105" t="str">
        <f t="shared" ref="AC1033:AC1042" si="66">+F1033</f>
        <v>HL23</v>
      </c>
    </row>
    <row r="1034" spans="1:29" x14ac:dyDescent="0.2">
      <c r="A1034" s="9"/>
      <c r="B1034" s="103">
        <v>-1</v>
      </c>
      <c r="D1034" s="32"/>
      <c r="E1034" s="103"/>
      <c r="F1034" s="36"/>
      <c r="G1034" s="92"/>
      <c r="H1034" s="19" t="e">
        <f>IF(ISBLANK(B1034),0,+#REF!/B1034)</f>
        <v>#REF!</v>
      </c>
      <c r="J1034" s="109">
        <f t="shared" si="64"/>
        <v>215</v>
      </c>
      <c r="K1034" s="92">
        <f t="shared" si="65"/>
        <v>-0.04</v>
      </c>
      <c r="L1034" s="92">
        <f>IF(ISBLANK($E1034),0,IF($E1034&lt;$C$957,ROUND($C$957*$L$956,2),IF($E1034&gt;L$957,ROUND(L$957*L$956,2),ROUND($E1034*L$956,2))))</f>
        <v>0</v>
      </c>
      <c r="M1034" s="92">
        <f>IF($E1034&gt;L$957,ROUND(($E1034-L$957)*M$956,2),0)</f>
        <v>0</v>
      </c>
      <c r="N1034" s="92"/>
      <c r="O1034" s="92"/>
      <c r="P1034" s="92"/>
      <c r="Q1034" s="92"/>
      <c r="R1034" s="16" t="e">
        <f>VLOOKUP((D1035),'Pwr Factor'!$A$1:$B$52,2)</f>
        <v>#N/A</v>
      </c>
      <c r="S1034" s="50">
        <v>0.25</v>
      </c>
      <c r="T1034" s="92"/>
      <c r="U1034" s="92"/>
      <c r="V1034" s="32"/>
      <c r="W1034" s="92"/>
      <c r="X1034" s="92"/>
      <c r="Y1034" s="92"/>
      <c r="Z1034" s="92"/>
      <c r="AA1034" s="92"/>
      <c r="AB1034" s="19"/>
      <c r="AC1034" s="105">
        <f t="shared" si="66"/>
        <v>0</v>
      </c>
    </row>
    <row r="1035" spans="1:29" x14ac:dyDescent="0.2">
      <c r="A1035" s="1" t="s">
        <v>150</v>
      </c>
      <c r="B1035" s="103">
        <f>IF(AND('AES Indiana Bill Calc.'!$D$17="HL2",'AES Indiana Bill Calc.'!$D$18="Yes 25%",'AES Indiana Bill Calc.'!$D$20="Yes 2023"),'AES Indiana Bill Calc.'!$D$19,-1)</f>
        <v>-1</v>
      </c>
      <c r="C1035" s="103">
        <f>MAX(E1035,$C$837)</f>
        <v>2000</v>
      </c>
      <c r="D1035" s="103" t="b">
        <f>IF(AND('AES Indiana Bill Calc.'!$D$17="HL2",'AES Indiana Bill Calc.'!$D$18="Yes 25%",'AES Indiana Bill Calc.'!$D$20="Yes 2023"),'AES Indiana Bill Calc.'!$D$22)</f>
        <v>0</v>
      </c>
      <c r="E1035" s="103" t="b">
        <f>IF(AND('AES Indiana Bill Calc.'!$D$17="HL2",'AES Indiana Bill Calc.'!$D$18="Yes 25%",'AES Indiana Bill Calc.'!$D$20="Yes 2023"),'AES Indiana Bill Calc.'!$D$21)</f>
        <v>0</v>
      </c>
      <c r="F1035" s="36" t="s">
        <v>297</v>
      </c>
      <c r="G1035" s="92" t="e">
        <f>SUM(J1035:M1035,R1035:AA1035)</f>
        <v>#N/A</v>
      </c>
      <c r="H1035" s="19" t="e">
        <f>IF(ISBLANK(B1035),0,+#REF!/B1035)</f>
        <v>#REF!</v>
      </c>
      <c r="J1035" s="109">
        <f t="shared" si="64"/>
        <v>215</v>
      </c>
      <c r="K1035" s="92">
        <f t="shared" si="65"/>
        <v>-0.04</v>
      </c>
      <c r="L1035" s="17">
        <f>IF(ISBLANK($C1035),0,IF($C1035&lt;$C$957,ROUND($C$957*$L$956,2),IF($C1035&gt;L$957,ROUND(L$957*L$956,2),ROUND($C1035*L$956,2))))</f>
        <v>50000</v>
      </c>
      <c r="M1035" s="17">
        <f>IF($C1035&gt;L$957,ROUND(($C1035-L$957)*M$956,2),0)</f>
        <v>0</v>
      </c>
      <c r="N1035" s="17">
        <f>K1035</f>
        <v>-0.04</v>
      </c>
      <c r="O1035" s="92"/>
      <c r="P1035" s="92"/>
      <c r="Q1035" s="17">
        <f>SUM(L1035:M1035)</f>
        <v>50000</v>
      </c>
      <c r="R1035" s="110" t="e">
        <f>ROUND(SUM(K1035:M1035)*(R1034-1),2)</f>
        <v>#N/A</v>
      </c>
      <c r="S1035" s="92">
        <f>ROUND($B1035*S$956*S1034,2)</f>
        <v>0</v>
      </c>
      <c r="T1035" s="92">
        <f>ROUND($B1035*T$956,2)</f>
        <v>0</v>
      </c>
      <c r="U1035" s="92">
        <f>ROUND($B1035*U$956,2)</f>
        <v>0</v>
      </c>
      <c r="V1035" s="32">
        <f>ROUND($B1035*$V$953,2)</f>
        <v>0</v>
      </c>
      <c r="W1035" s="92">
        <f>ROUND($B1035*W$956,2)</f>
        <v>0</v>
      </c>
      <c r="X1035" s="92">
        <f>ROUND($B1035*X$956,2)</f>
        <v>-0.01</v>
      </c>
      <c r="Y1035" s="92">
        <f>ROUND($B1035*Y$956,2)</f>
        <v>0</v>
      </c>
      <c r="Z1035" s="92">
        <f>ROUND($B1035*Z$956,2)</f>
        <v>0</v>
      </c>
      <c r="AA1035" s="92">
        <f>ROUND($B1035*AA$956,2)</f>
        <v>0</v>
      </c>
      <c r="AB1035" s="19">
        <f>SUM(U$956:AA$956)+(-V$956+V1021)</f>
        <v>1.1855000000000001E-2</v>
      </c>
      <c r="AC1035" s="105" t="str">
        <f t="shared" si="66"/>
        <v>HL23</v>
      </c>
    </row>
    <row r="1036" spans="1:29" x14ac:dyDescent="0.2">
      <c r="A1036" s="9"/>
      <c r="B1036" s="103">
        <v>-1</v>
      </c>
      <c r="D1036" s="32"/>
      <c r="E1036" s="103"/>
      <c r="F1036" s="36"/>
      <c r="G1036" s="92"/>
      <c r="H1036" s="19" t="e">
        <f>IF(ISBLANK(B1036),0,+#REF!/B1036)</f>
        <v>#REF!</v>
      </c>
      <c r="J1036" s="109">
        <f t="shared" si="64"/>
        <v>215</v>
      </c>
      <c r="K1036" s="92">
        <f t="shared" si="65"/>
        <v>-0.04</v>
      </c>
      <c r="L1036" s="92">
        <f>IF(ISBLANK($E1036),0,IF($E1036&lt;$C$957,ROUND($C$957*$L$956,2),IF($E1036&gt;L$957,ROUND(L$957*L$956,2),ROUND($E1036*L$956,2))))</f>
        <v>0</v>
      </c>
      <c r="M1036" s="92">
        <f>IF($E1036&gt;L$957,ROUND(($E1036-L$957)*M$956,2),0)</f>
        <v>0</v>
      </c>
      <c r="N1036" s="92"/>
      <c r="O1036" s="92"/>
      <c r="P1036" s="92"/>
      <c r="Q1036" s="92"/>
      <c r="R1036" s="16" t="e">
        <f>VLOOKUP((D1037),'Pwr Factor'!$A$1:$B$52,2)</f>
        <v>#N/A</v>
      </c>
      <c r="S1036" s="50">
        <v>0.1</v>
      </c>
      <c r="T1036" s="92"/>
      <c r="U1036" s="92"/>
      <c r="V1036" s="32"/>
      <c r="W1036" s="92"/>
      <c r="X1036" s="92"/>
      <c r="Y1036" s="92"/>
      <c r="Z1036" s="92"/>
      <c r="AA1036" s="92"/>
      <c r="AB1036" s="19"/>
      <c r="AC1036" s="105">
        <f t="shared" si="66"/>
        <v>0</v>
      </c>
    </row>
    <row r="1037" spans="1:29" x14ac:dyDescent="0.2">
      <c r="A1037" s="1" t="s">
        <v>164</v>
      </c>
      <c r="B1037" s="103">
        <f>IF(AND('AES Indiana Bill Calc.'!$D$17="HL2",'AES Indiana Bill Calc.'!$D$18="Yes 10%",'AES Indiana Bill Calc.'!$D$20="Yes 2023"),'AES Indiana Bill Calc.'!$D$19,-1)</f>
        <v>-1</v>
      </c>
      <c r="C1037" s="103">
        <f>MAX(E1037,$C$837)</f>
        <v>2000</v>
      </c>
      <c r="D1037" s="103" t="b">
        <f>IF(AND('AES Indiana Bill Calc.'!$D$17="HL2",'AES Indiana Bill Calc.'!$D$18="Yes 10%",'AES Indiana Bill Calc.'!$D$20="Yes 2023"),'AES Indiana Bill Calc.'!$D$22)</f>
        <v>0</v>
      </c>
      <c r="E1037" s="103" t="b">
        <f>IF(AND('AES Indiana Bill Calc.'!$D$17="HL2",'AES Indiana Bill Calc.'!$D$18="Yes 10%",'AES Indiana Bill Calc.'!$D$20="Yes 2023"),'AES Indiana Bill Calc.'!$D$21)</f>
        <v>0</v>
      </c>
      <c r="F1037" s="36" t="s">
        <v>297</v>
      </c>
      <c r="G1037" s="92" t="e">
        <f>SUM(J1037:M1037,R1037:AA1037)</f>
        <v>#N/A</v>
      </c>
      <c r="H1037" s="19" t="e">
        <f>IF(ISBLANK(B1037),0,+#REF!/B1037)</f>
        <v>#REF!</v>
      </c>
      <c r="J1037" s="109">
        <f t="shared" si="64"/>
        <v>215</v>
      </c>
      <c r="K1037" s="92">
        <f t="shared" si="65"/>
        <v>-0.04</v>
      </c>
      <c r="L1037" s="17">
        <f>IF(ISBLANK($C1037),0,IF($C1037&lt;$C$957,ROUND($C$957*$L$956,2),IF($C1037&gt;L$957,ROUND(L$957*L$956,2),ROUND($C1037*L$956,2))))</f>
        <v>50000</v>
      </c>
      <c r="M1037" s="17">
        <f>IF($C1037&gt;L$957,ROUND(($C1037-L$957)*M$956,2),0)</f>
        <v>0</v>
      </c>
      <c r="N1037" s="17">
        <f>K1037</f>
        <v>-0.04</v>
      </c>
      <c r="O1037" s="92"/>
      <c r="P1037" s="92"/>
      <c r="Q1037" s="17">
        <f>SUM(L1037:M1037)</f>
        <v>50000</v>
      </c>
      <c r="R1037" s="110" t="e">
        <f>ROUND(SUM(K1037:M1037)*(R1036-1),2)</f>
        <v>#N/A</v>
      </c>
      <c r="S1037" s="92">
        <f>ROUND($B1037*S$956*S1036,2)</f>
        <v>0</v>
      </c>
      <c r="T1037" s="92">
        <f>ROUND($B1037*T$956,2)</f>
        <v>0</v>
      </c>
      <c r="U1037" s="92">
        <f>ROUND($B1037*U$956,2)</f>
        <v>0</v>
      </c>
      <c r="V1037" s="32">
        <f>ROUND($B1037*$V$953,2)</f>
        <v>0</v>
      </c>
      <c r="W1037" s="92">
        <f>ROUND($B1037*W$956,2)</f>
        <v>0</v>
      </c>
      <c r="X1037" s="92">
        <f>ROUND($B1037*X$956,2)</f>
        <v>-0.01</v>
      </c>
      <c r="Y1037" s="92">
        <f>ROUND($B1037*Y$956,2)</f>
        <v>0</v>
      </c>
      <c r="Z1037" s="92">
        <f>ROUND($B1037*Z$956,2)</f>
        <v>0</v>
      </c>
      <c r="AA1037" s="92">
        <f>ROUND($B1037*AA$956,2)</f>
        <v>0</v>
      </c>
      <c r="AB1037" s="19">
        <f>SUM(U$956:AA$956)+(-V$956+V1023)</f>
        <v>1.1855000000000001E-2</v>
      </c>
      <c r="AC1037" s="105" t="str">
        <f t="shared" si="66"/>
        <v>HL23</v>
      </c>
    </row>
    <row r="1038" spans="1:29" x14ac:dyDescent="0.2">
      <c r="A1038" s="9"/>
      <c r="B1038" s="103">
        <v>-1</v>
      </c>
      <c r="D1038" s="32"/>
      <c r="E1038" s="103"/>
      <c r="F1038" s="36"/>
      <c r="G1038" s="92"/>
      <c r="H1038" s="19" t="e">
        <f>IF(ISBLANK(B1038),0,+#REF!/B1038)</f>
        <v>#REF!</v>
      </c>
      <c r="J1038" s="109">
        <f t="shared" si="64"/>
        <v>215</v>
      </c>
      <c r="K1038" s="92">
        <f t="shared" si="65"/>
        <v>-0.04</v>
      </c>
      <c r="L1038" s="92">
        <f>IF(ISBLANK($E1038),0,IF($E1038&lt;$C$957,ROUND($C$957*$L$956,2),IF($E1038&gt;L$957,ROUND(L$957*L$956,2),ROUND($E1038*L$956,2))))</f>
        <v>0</v>
      </c>
      <c r="M1038" s="92">
        <f>IF($E1038&gt;L$957,ROUND(($E1038-L$957)*M$956,2),0)</f>
        <v>0</v>
      </c>
      <c r="N1038" s="92"/>
      <c r="O1038" s="92"/>
      <c r="P1038" s="92"/>
      <c r="Q1038" s="92"/>
      <c r="R1038" s="16" t="e">
        <f>VLOOKUP((D1039),'Pwr Factor'!$A$1:$B$52,2)</f>
        <v>#N/A</v>
      </c>
      <c r="S1038" s="50">
        <v>0</v>
      </c>
      <c r="T1038" s="92"/>
      <c r="U1038" s="92"/>
      <c r="V1038" s="32"/>
      <c r="W1038" s="92"/>
      <c r="X1038" s="92"/>
      <c r="Y1038" s="92"/>
      <c r="Z1038" s="92"/>
      <c r="AA1038" s="92"/>
      <c r="AB1038" s="19"/>
      <c r="AC1038" s="105">
        <f t="shared" si="66"/>
        <v>0</v>
      </c>
    </row>
    <row r="1039" spans="1:29" x14ac:dyDescent="0.2">
      <c r="A1039" s="1" t="s">
        <v>147</v>
      </c>
      <c r="B1039" s="103">
        <f>IF(AND('AES Indiana Bill Calc.'!$D$17="HL2",'AES Indiana Bill Calc.'!$D$18="No",'AES Indiana Bill Calc.'!$D$20="Yes 2023"),'AES Indiana Bill Calc.'!$D$19,-1)</f>
        <v>-1</v>
      </c>
      <c r="C1039" s="103">
        <f>MAX(E1039,$C$837)</f>
        <v>2000</v>
      </c>
      <c r="D1039" s="103" t="b">
        <f>IF(AND('AES Indiana Bill Calc.'!$D$17="HL2",'AES Indiana Bill Calc.'!$D$18="No",'AES Indiana Bill Calc.'!$D$20="Yes 2023"),'AES Indiana Bill Calc.'!$D$22)</f>
        <v>0</v>
      </c>
      <c r="E1039" s="103" t="b">
        <f>IF(AND('AES Indiana Bill Calc.'!$D$17="HL2",'AES Indiana Bill Calc.'!$D$18="No",'AES Indiana Bill Calc.'!$D$20="Yes 2023"),'AES Indiana Bill Calc.'!$D$21)</f>
        <v>0</v>
      </c>
      <c r="F1039" s="36" t="s">
        <v>297</v>
      </c>
      <c r="G1039" s="92" t="e">
        <f>SUM(J1039:M1039,R1039:AA1039)</f>
        <v>#N/A</v>
      </c>
      <c r="H1039" s="19" t="e">
        <f>IF(ISBLANK(B1039),0,+#REF!/B1039)</f>
        <v>#REF!</v>
      </c>
      <c r="J1039" s="109">
        <f t="shared" si="64"/>
        <v>215</v>
      </c>
      <c r="K1039" s="92">
        <f t="shared" si="65"/>
        <v>-0.04</v>
      </c>
      <c r="L1039" s="17">
        <f>IF(ISBLANK($C1039),0,IF($C1039&lt;$C$957,ROUND($C$957*$L$956,2),IF($C1039&gt;L$957,ROUND(L$957*L$956,2),ROUND($C1039*L$956,2))))</f>
        <v>50000</v>
      </c>
      <c r="M1039" s="17">
        <f>IF($C1039&gt;L$957,ROUND(($C1039-L$957)*M$956,2),0)</f>
        <v>0</v>
      </c>
      <c r="N1039" s="17">
        <f>K1039</f>
        <v>-0.04</v>
      </c>
      <c r="O1039" s="92"/>
      <c r="P1039" s="92"/>
      <c r="Q1039" s="17">
        <f>SUM(L1039:M1039)</f>
        <v>50000</v>
      </c>
      <c r="R1039" s="110" t="e">
        <f>ROUND(SUM(K1039:M1039)*(R1038-1),2)</f>
        <v>#N/A</v>
      </c>
      <c r="S1039" s="92">
        <f>ROUND($B1039*S$956*S1038,2)</f>
        <v>0</v>
      </c>
      <c r="T1039" s="92">
        <f>ROUND($B1039*T$956,2)</f>
        <v>0</v>
      </c>
      <c r="U1039" s="92">
        <f>ROUND($B1039*U$956,2)</f>
        <v>0</v>
      </c>
      <c r="V1039" s="32">
        <f>ROUND($B1039*$V$953,2)</f>
        <v>0</v>
      </c>
      <c r="W1039" s="92">
        <f>ROUND($B1039*W$956,2)</f>
        <v>0</v>
      </c>
      <c r="X1039" s="92">
        <f>ROUND($B1039*X$956,2)</f>
        <v>-0.01</v>
      </c>
      <c r="Y1039" s="92">
        <f>ROUND($B1039*Y$956,2)</f>
        <v>0</v>
      </c>
      <c r="Z1039" s="92">
        <f>ROUND($B1039*Z$956,2)</f>
        <v>0</v>
      </c>
      <c r="AA1039" s="92">
        <f>ROUND($B1039*AA$956,2)</f>
        <v>0</v>
      </c>
      <c r="AB1039" s="19">
        <f>SUM(U$956:AA$956)+(-V$956+V1025)</f>
        <v>1.1855000000000001E-2</v>
      </c>
      <c r="AC1039" s="105" t="str">
        <f t="shared" si="66"/>
        <v>HL23</v>
      </c>
    </row>
    <row r="1040" spans="1:29" x14ac:dyDescent="0.2">
      <c r="B1040" s="103">
        <v>-1</v>
      </c>
      <c r="D1040" s="32"/>
      <c r="E1040" s="103"/>
      <c r="F1040" s="36"/>
      <c r="G1040" s="92"/>
      <c r="H1040" s="19" t="e">
        <f>IF(ISBLANK(B1040),0,+#REF!/B1040)</f>
        <v>#REF!</v>
      </c>
      <c r="J1040" s="109">
        <f t="shared" si="64"/>
        <v>215</v>
      </c>
      <c r="K1040" s="92">
        <f t="shared" si="65"/>
        <v>-0.04</v>
      </c>
      <c r="L1040" s="92">
        <f>IF(ISBLANK($E1040),0,IF($E1040&lt;$C$957,ROUND($C$957*$L$956,2),IF($E1040&gt;L$957,ROUND(L$957*L$956,2),ROUND($E1040*L$956,2))))</f>
        <v>0</v>
      </c>
      <c r="M1040" s="92">
        <f>IF($E1040&gt;L$957,ROUND(($E1040-L$957)*M$956,2),0)</f>
        <v>0</v>
      </c>
      <c r="N1040" s="92"/>
      <c r="O1040" s="92"/>
      <c r="P1040" s="92"/>
      <c r="Q1040" s="92"/>
      <c r="R1040" s="16" t="e">
        <f>VLOOKUP((D1041),'Pwr Factor'!$A$1:$B$52,2)</f>
        <v>#N/A</v>
      </c>
      <c r="S1040" s="50">
        <v>1</v>
      </c>
      <c r="T1040" s="92"/>
      <c r="U1040" s="92"/>
      <c r="V1040" s="32"/>
      <c r="W1040" s="92"/>
      <c r="X1040" s="92"/>
      <c r="Y1040" s="92"/>
      <c r="Z1040" s="92"/>
      <c r="AA1040" s="92"/>
      <c r="AB1040" s="19"/>
      <c r="AC1040" s="105">
        <f t="shared" si="66"/>
        <v>0</v>
      </c>
    </row>
    <row r="1041" spans="1:29" x14ac:dyDescent="0.2">
      <c r="A1041" s="1" t="s">
        <v>148</v>
      </c>
      <c r="B1041" s="103">
        <f>IF(AND('AES Indiana Bill Calc.'!$D$17="HL2",'AES Indiana Bill Calc.'!$D$18="Yes 100%",'AES Indiana Bill Calc.'!$D$20="Yes 2024"),'AES Indiana Bill Calc.'!$D$19,-1)</f>
        <v>-1</v>
      </c>
      <c r="C1041" s="103">
        <f>MAX(E1041,$C$837)</f>
        <v>2000</v>
      </c>
      <c r="D1041" s="103" t="b">
        <f>IF(AND('AES Indiana Bill Calc.'!$D$17="HL2",'AES Indiana Bill Calc.'!$D$18="Yes 100%",'AES Indiana Bill Calc.'!$D$20="Yes 2024"),'AES Indiana Bill Calc.'!$D$22)</f>
        <v>0</v>
      </c>
      <c r="E1041" s="103" t="b">
        <f>IF(AND('AES Indiana Bill Calc.'!$D$17="HL2",'AES Indiana Bill Calc.'!$D$18="Yes 100%",'AES Indiana Bill Calc.'!$D$20="Yes 2024"),'AES Indiana Bill Calc.'!$D$21)</f>
        <v>0</v>
      </c>
      <c r="F1041" s="36" t="s">
        <v>298</v>
      </c>
      <c r="G1041" s="92" t="e">
        <f>SUM(J1041:M1041,R1041:AA1041)</f>
        <v>#N/A</v>
      </c>
      <c r="H1041" s="19" t="e">
        <f>IF(ISBLANK(B1041),0,+#REF!/B1041)</f>
        <v>#REF!</v>
      </c>
      <c r="J1041" s="109">
        <f t="shared" si="64"/>
        <v>215</v>
      </c>
      <c r="K1041" s="92">
        <f t="shared" si="65"/>
        <v>-0.04</v>
      </c>
      <c r="L1041" s="17">
        <f>IF(ISBLANK($C1041),0,IF($C1041&lt;$C$957,ROUND($C$957*$L$956,2),IF($C1041&gt;L$957,ROUND(L$957*L$956,2),ROUND($C1041*L$956,2))))</f>
        <v>50000</v>
      </c>
      <c r="M1041" s="17">
        <f>IF($C1041&gt;L$957,ROUND(($C1041-L$957)*M$956,2),0)</f>
        <v>0</v>
      </c>
      <c r="N1041" s="17">
        <f>K1041</f>
        <v>-0.04</v>
      </c>
      <c r="O1041" s="92"/>
      <c r="P1041" s="92"/>
      <c r="Q1041" s="17">
        <f>SUM(L1041:M1041)</f>
        <v>50000</v>
      </c>
      <c r="R1041" s="110" t="e">
        <f>ROUND(SUM(K1041:M1041)*(R1040-1),2)</f>
        <v>#N/A</v>
      </c>
      <c r="S1041" s="92">
        <f>ROUND($B1041*S$956*S1040,2)</f>
        <v>0</v>
      </c>
      <c r="T1041" s="92">
        <f>ROUND($B1041*T$956,2)</f>
        <v>0</v>
      </c>
      <c r="U1041" s="92">
        <f>ROUND($B1041*U$956,2)</f>
        <v>0</v>
      </c>
      <c r="V1041" s="32">
        <f>ROUND($B1041*$V$954,2)</f>
        <v>-0.01</v>
      </c>
      <c r="W1041" s="92">
        <f>ROUND($B1041*W$956,2)</f>
        <v>0</v>
      </c>
      <c r="X1041" s="92">
        <f>ROUND($B1041*X$956,2)</f>
        <v>-0.01</v>
      </c>
      <c r="Y1041" s="92">
        <f>ROUND($B1041*Y$956,2)</f>
        <v>0</v>
      </c>
      <c r="Z1041" s="92">
        <f>ROUND($B1041*Z$956,2)</f>
        <v>0</v>
      </c>
      <c r="AA1041" s="92">
        <f>ROUND($B1041*AA$956,2)</f>
        <v>0</v>
      </c>
      <c r="AB1041" s="19">
        <f>SUM(U$956:AA$956)+(-V$956+V1027)</f>
        <v>1.1855000000000001E-2</v>
      </c>
      <c r="AC1041" s="105" t="str">
        <f t="shared" si="66"/>
        <v>HL24</v>
      </c>
    </row>
    <row r="1042" spans="1:29" x14ac:dyDescent="0.2">
      <c r="A1042" s="9"/>
      <c r="B1042" s="103">
        <v>-1</v>
      </c>
      <c r="D1042" s="32"/>
      <c r="E1042" s="103"/>
      <c r="F1042" s="36"/>
      <c r="G1042" s="92"/>
      <c r="H1042" s="19" t="e">
        <f>IF(ISBLANK(B1042),0,+#REF!/B1042)</f>
        <v>#REF!</v>
      </c>
      <c r="J1042" s="109">
        <f t="shared" si="64"/>
        <v>215</v>
      </c>
      <c r="K1042" s="92">
        <f t="shared" si="65"/>
        <v>-0.04</v>
      </c>
      <c r="L1042" s="92">
        <f>IF(ISBLANK($E1042),0,IF($E1042&lt;$C$957,ROUND($C$957*$L$956,2),IF($E1042&gt;L$957,ROUND(L$957*L$956,2),ROUND($E1042*L$956,2))))</f>
        <v>0</v>
      </c>
      <c r="M1042" s="92">
        <f>IF($E1042&gt;L$957,ROUND(($E1042-L$957)*M$956,2),0)</f>
        <v>0</v>
      </c>
      <c r="N1042" s="92"/>
      <c r="O1042" s="92"/>
      <c r="P1042" s="92"/>
      <c r="Q1042" s="92"/>
      <c r="R1042" s="16" t="e">
        <f>VLOOKUP((D1043),'Pwr Factor'!$A$1:$B$52,2)</f>
        <v>#N/A</v>
      </c>
      <c r="S1042" s="50">
        <v>0.5</v>
      </c>
      <c r="T1042" s="92"/>
      <c r="U1042" s="92"/>
      <c r="V1042" s="32"/>
      <c r="W1042" s="92"/>
      <c r="X1042" s="92"/>
      <c r="Y1042" s="92"/>
      <c r="Z1042" s="92"/>
      <c r="AA1042" s="92"/>
      <c r="AB1042" s="19"/>
      <c r="AC1042" s="105">
        <f t="shared" si="66"/>
        <v>0</v>
      </c>
    </row>
    <row r="1043" spans="1:29" x14ac:dyDescent="0.2">
      <c r="A1043" s="1" t="s">
        <v>149</v>
      </c>
      <c r="B1043" s="103">
        <f>IF(AND('AES Indiana Bill Calc.'!$D$17="HL2",'AES Indiana Bill Calc.'!$D$18="Yes 50%",'AES Indiana Bill Calc.'!$D$20="Yes 2024"),'AES Indiana Bill Calc.'!$D$19,-1)</f>
        <v>-1</v>
      </c>
      <c r="C1043" s="103">
        <f>MAX(E1043,$C$837)</f>
        <v>2000</v>
      </c>
      <c r="D1043" s="103" t="b">
        <f>IF(AND('AES Indiana Bill Calc.'!$D$17="HL2",'AES Indiana Bill Calc.'!$D$18="Yes 50%",'AES Indiana Bill Calc.'!$D$20="Yes 2024"),'AES Indiana Bill Calc.'!$D$22)</f>
        <v>0</v>
      </c>
      <c r="E1043" s="103" t="b">
        <f>IF(AND('AES Indiana Bill Calc.'!$D$17="HL2",'AES Indiana Bill Calc.'!$D$18="Yes 50%",'AES Indiana Bill Calc.'!$D$20="Yes 2024"),'AES Indiana Bill Calc.'!$D$21)</f>
        <v>0</v>
      </c>
      <c r="F1043" s="36" t="s">
        <v>298</v>
      </c>
      <c r="G1043" s="92" t="e">
        <f>SUM(J1043:M1043,R1043:AA1043)</f>
        <v>#N/A</v>
      </c>
      <c r="H1043" s="19" t="e">
        <f>IF(ISBLANK(B1043),0,+#REF!/B1043)</f>
        <v>#REF!</v>
      </c>
      <c r="J1043" s="109">
        <f t="shared" ref="J1043:J1052" si="67">IF(ISBLANK(B1043),0,+J$956)</f>
        <v>215</v>
      </c>
      <c r="K1043" s="92">
        <f t="shared" si="65"/>
        <v>-0.04</v>
      </c>
      <c r="L1043" s="17">
        <f>IF(ISBLANK($C1043),0,IF($C1043&lt;$C$957,ROUND($C$957*$L$956,2),IF($C1043&gt;L$957,ROUND(L$957*L$956,2),ROUND($C1043*L$956,2))))</f>
        <v>50000</v>
      </c>
      <c r="M1043" s="17">
        <f>IF($C1043&gt;L$957,ROUND(($C1043-L$957)*M$956,2),0)</f>
        <v>0</v>
      </c>
      <c r="N1043" s="17">
        <f>K1043</f>
        <v>-0.04</v>
      </c>
      <c r="O1043" s="92"/>
      <c r="P1043" s="92"/>
      <c r="Q1043" s="17">
        <f>SUM(L1043:M1043)</f>
        <v>50000</v>
      </c>
      <c r="R1043" s="110" t="e">
        <f>ROUND(SUM(K1043:M1043)*(R1042-1),2)</f>
        <v>#N/A</v>
      </c>
      <c r="S1043" s="92">
        <f>ROUND($B1043*S$956*S1042,2)</f>
        <v>0</v>
      </c>
      <c r="T1043" s="92">
        <f>ROUND($B1043*T$956,2)</f>
        <v>0</v>
      </c>
      <c r="U1043" s="92">
        <f>ROUND($B1043*U$956,2)</f>
        <v>0</v>
      </c>
      <c r="V1043" s="32">
        <f>ROUND($B1043*$V$954,2)</f>
        <v>-0.01</v>
      </c>
      <c r="W1043" s="92">
        <f>ROUND($B1043*W$956,2)</f>
        <v>0</v>
      </c>
      <c r="X1043" s="92">
        <f>ROUND($B1043*X$956,2)</f>
        <v>-0.01</v>
      </c>
      <c r="Y1043" s="92">
        <f>ROUND($B1043*Y$956,2)</f>
        <v>0</v>
      </c>
      <c r="Z1043" s="92">
        <f>ROUND($B1043*Z$956,2)</f>
        <v>0</v>
      </c>
      <c r="AA1043" s="92">
        <f>ROUND($B1043*AA$956,2)</f>
        <v>0</v>
      </c>
      <c r="AB1043" s="19">
        <f>SUM(U$956:AA$956)+(-V$956+V1029)</f>
        <v>1.1855000000000001E-2</v>
      </c>
      <c r="AC1043" s="105" t="str">
        <f t="shared" ref="AC1043:AC1052" si="68">+F1043</f>
        <v>HL24</v>
      </c>
    </row>
    <row r="1044" spans="1:29" x14ac:dyDescent="0.2">
      <c r="A1044" s="9"/>
      <c r="B1044" s="103">
        <v>-1</v>
      </c>
      <c r="D1044" s="32"/>
      <c r="E1044" s="103"/>
      <c r="F1044" s="36"/>
      <c r="G1044" s="92"/>
      <c r="H1044" s="19" t="e">
        <f>IF(ISBLANK(B1044),0,+#REF!/B1044)</f>
        <v>#REF!</v>
      </c>
      <c r="J1044" s="109">
        <f t="shared" si="67"/>
        <v>215</v>
      </c>
      <c r="K1044" s="92">
        <f t="shared" si="65"/>
        <v>-0.04</v>
      </c>
      <c r="L1044" s="92">
        <f>IF(ISBLANK($E1044),0,IF($E1044&lt;$C$957,ROUND($C$957*$L$956,2),IF($E1044&gt;L$957,ROUND(L$957*L$956,2),ROUND($E1044*L$956,2))))</f>
        <v>0</v>
      </c>
      <c r="M1044" s="92">
        <f>IF($E1044&gt;L$957,ROUND(($E1044-L$957)*M$956,2),0)</f>
        <v>0</v>
      </c>
      <c r="N1044" s="92"/>
      <c r="O1044" s="92"/>
      <c r="P1044" s="92"/>
      <c r="Q1044" s="92"/>
      <c r="R1044" s="16" t="e">
        <f>VLOOKUP((D1045),'Pwr Factor'!$A$1:$B$52,2)</f>
        <v>#N/A</v>
      </c>
      <c r="S1044" s="50">
        <v>0.25</v>
      </c>
      <c r="T1044" s="92"/>
      <c r="U1044" s="92"/>
      <c r="V1044" s="32"/>
      <c r="W1044" s="92"/>
      <c r="X1044" s="92"/>
      <c r="Y1044" s="92"/>
      <c r="Z1044" s="92"/>
      <c r="AA1044" s="92"/>
      <c r="AB1044" s="19"/>
      <c r="AC1044" s="105">
        <f t="shared" si="68"/>
        <v>0</v>
      </c>
    </row>
    <row r="1045" spans="1:29" x14ac:dyDescent="0.2">
      <c r="A1045" s="1" t="s">
        <v>150</v>
      </c>
      <c r="B1045" s="103">
        <f>IF(AND('AES Indiana Bill Calc.'!$D$17="HL2",'AES Indiana Bill Calc.'!$D$18="Yes 25%",'AES Indiana Bill Calc.'!$D$20="Yes 2024"),'AES Indiana Bill Calc.'!$D$19,-1)</f>
        <v>-1</v>
      </c>
      <c r="C1045" s="103">
        <f>MAX(E1045,$C$837)</f>
        <v>2000</v>
      </c>
      <c r="D1045" s="103" t="b">
        <f>IF(AND('AES Indiana Bill Calc.'!$D$17="HL2",'AES Indiana Bill Calc.'!$D$18="Yes 25%",'AES Indiana Bill Calc.'!$D$20="Yes 2024"),'AES Indiana Bill Calc.'!$D$22)</f>
        <v>0</v>
      </c>
      <c r="E1045" s="103" t="b">
        <f>IF(AND('AES Indiana Bill Calc.'!$D$17="HL2",'AES Indiana Bill Calc.'!$D$18="Yes 25%",'AES Indiana Bill Calc.'!$D$20="Yes 2024"),'AES Indiana Bill Calc.'!$D$21)</f>
        <v>0</v>
      </c>
      <c r="F1045" s="36" t="s">
        <v>298</v>
      </c>
      <c r="G1045" s="92" t="e">
        <f>SUM(J1045:M1045,R1045:AA1045)</f>
        <v>#N/A</v>
      </c>
      <c r="H1045" s="19" t="e">
        <f>IF(ISBLANK(B1045),0,+#REF!/B1045)</f>
        <v>#REF!</v>
      </c>
      <c r="J1045" s="109">
        <f t="shared" si="67"/>
        <v>215</v>
      </c>
      <c r="K1045" s="92">
        <f t="shared" si="65"/>
        <v>-0.04</v>
      </c>
      <c r="L1045" s="17">
        <f>IF(ISBLANK($C1045),0,IF($C1045&lt;$C$957,ROUND($C$957*$L$956,2),IF($C1045&gt;L$957,ROUND(L$957*L$956,2),ROUND($C1045*L$956,2))))</f>
        <v>50000</v>
      </c>
      <c r="M1045" s="17">
        <f>IF($C1045&gt;L$957,ROUND(($C1045-L$957)*M$956,2),0)</f>
        <v>0</v>
      </c>
      <c r="N1045" s="17">
        <f>K1045</f>
        <v>-0.04</v>
      </c>
      <c r="O1045" s="92"/>
      <c r="P1045" s="92"/>
      <c r="Q1045" s="17">
        <f>SUM(L1045:M1045)</f>
        <v>50000</v>
      </c>
      <c r="R1045" s="110" t="e">
        <f>ROUND(SUM(K1045:M1045)*(R1044-1),2)</f>
        <v>#N/A</v>
      </c>
      <c r="S1045" s="92">
        <f>ROUND($B1045*S$956*S1044,2)</f>
        <v>0</v>
      </c>
      <c r="T1045" s="92">
        <f>ROUND($B1045*T$956,2)</f>
        <v>0</v>
      </c>
      <c r="U1045" s="92">
        <f>ROUND($B1045*U$956,2)</f>
        <v>0</v>
      </c>
      <c r="V1045" s="32">
        <f>ROUND($B1045*$V$954,2)</f>
        <v>-0.01</v>
      </c>
      <c r="W1045" s="92">
        <f>ROUND($B1045*W$956,2)</f>
        <v>0</v>
      </c>
      <c r="X1045" s="92">
        <f>ROUND($B1045*X$956,2)</f>
        <v>-0.01</v>
      </c>
      <c r="Y1045" s="92">
        <f>ROUND($B1045*Y$956,2)</f>
        <v>0</v>
      </c>
      <c r="Z1045" s="92">
        <f>ROUND($B1045*Z$956,2)</f>
        <v>0</v>
      </c>
      <c r="AA1045" s="92">
        <f>ROUND($B1045*AA$956,2)</f>
        <v>0</v>
      </c>
      <c r="AB1045" s="19">
        <f>SUM(U$956:AA$956)+(-V$956+V1031)</f>
        <v>1.1855000000000001E-2</v>
      </c>
      <c r="AC1045" s="105" t="str">
        <f t="shared" si="68"/>
        <v>HL24</v>
      </c>
    </row>
    <row r="1046" spans="1:29" x14ac:dyDescent="0.2">
      <c r="A1046" s="9"/>
      <c r="B1046" s="103">
        <v>-1</v>
      </c>
      <c r="D1046" s="32"/>
      <c r="E1046" s="103"/>
      <c r="F1046" s="36"/>
      <c r="G1046" s="92"/>
      <c r="H1046" s="19" t="e">
        <f>IF(ISBLANK(B1046),0,+#REF!/B1046)</f>
        <v>#REF!</v>
      </c>
      <c r="J1046" s="109">
        <f t="shared" si="67"/>
        <v>215</v>
      </c>
      <c r="K1046" s="92">
        <f t="shared" si="65"/>
        <v>-0.04</v>
      </c>
      <c r="L1046" s="92">
        <f>IF(ISBLANK($E1046),0,IF($E1046&lt;$C$957,ROUND($C$957*$L$956,2),IF($E1046&gt;L$957,ROUND(L$957*L$956,2),ROUND($E1046*L$956,2))))</f>
        <v>0</v>
      </c>
      <c r="M1046" s="92">
        <f>IF($E1046&gt;L$957,ROUND(($E1046-L$957)*M$956,2),0)</f>
        <v>0</v>
      </c>
      <c r="N1046" s="92"/>
      <c r="O1046" s="92"/>
      <c r="P1046" s="92"/>
      <c r="Q1046" s="92"/>
      <c r="R1046" s="16" t="e">
        <f>VLOOKUP((D1047),'Pwr Factor'!$A$1:$B$52,2)</f>
        <v>#N/A</v>
      </c>
      <c r="S1046" s="50">
        <v>0.1</v>
      </c>
      <c r="T1046" s="92"/>
      <c r="U1046" s="92"/>
      <c r="V1046" s="32"/>
      <c r="W1046" s="92"/>
      <c r="X1046" s="92"/>
      <c r="Y1046" s="92"/>
      <c r="Z1046" s="92"/>
      <c r="AA1046" s="92"/>
      <c r="AB1046" s="19"/>
      <c r="AC1046" s="105">
        <f t="shared" si="68"/>
        <v>0</v>
      </c>
    </row>
    <row r="1047" spans="1:29" x14ac:dyDescent="0.2">
      <c r="A1047" s="1" t="s">
        <v>164</v>
      </c>
      <c r="B1047" s="103">
        <f>IF(AND('AES Indiana Bill Calc.'!$D$17="HL2",'AES Indiana Bill Calc.'!$D$18="Yes 10%",'AES Indiana Bill Calc.'!$D$20="Yes 2024"),'AES Indiana Bill Calc.'!$D$19,-1)</f>
        <v>-1</v>
      </c>
      <c r="C1047" s="103">
        <f>MAX(E1047,$C$837)</f>
        <v>2000</v>
      </c>
      <c r="D1047" s="103" t="b">
        <f>IF(AND('AES Indiana Bill Calc.'!$D$17="HL2",'AES Indiana Bill Calc.'!$D$18="Yes 10%",'AES Indiana Bill Calc.'!$D$20="Yes 2024"),'AES Indiana Bill Calc.'!$D$22)</f>
        <v>0</v>
      </c>
      <c r="E1047" s="103" t="b">
        <f>IF(AND('AES Indiana Bill Calc.'!$D$17="HL2",'AES Indiana Bill Calc.'!$D$18="Yes 10%",'AES Indiana Bill Calc.'!$D$20="Yes 2024"),'AES Indiana Bill Calc.'!$D$21)</f>
        <v>0</v>
      </c>
      <c r="F1047" s="36" t="s">
        <v>298</v>
      </c>
      <c r="G1047" s="92" t="e">
        <f>SUM(J1047:M1047,R1047:AA1047)</f>
        <v>#N/A</v>
      </c>
      <c r="H1047" s="19" t="e">
        <f>IF(ISBLANK(B1047),0,+#REF!/B1047)</f>
        <v>#REF!</v>
      </c>
      <c r="J1047" s="109">
        <f t="shared" si="67"/>
        <v>215</v>
      </c>
      <c r="K1047" s="92">
        <f t="shared" si="65"/>
        <v>-0.04</v>
      </c>
      <c r="L1047" s="17">
        <f>IF(ISBLANK($C1047),0,IF($C1047&lt;$C$957,ROUND($C$957*$L$956,2),IF($C1047&gt;L$957,ROUND(L$957*L$956,2),ROUND($C1047*L$956,2))))</f>
        <v>50000</v>
      </c>
      <c r="M1047" s="17">
        <f>IF($C1047&gt;L$957,ROUND(($C1047-L$957)*M$956,2),0)</f>
        <v>0</v>
      </c>
      <c r="N1047" s="17">
        <f>K1047</f>
        <v>-0.04</v>
      </c>
      <c r="O1047" s="92"/>
      <c r="P1047" s="92"/>
      <c r="Q1047" s="17">
        <f>SUM(L1047:M1047)</f>
        <v>50000</v>
      </c>
      <c r="R1047" s="110" t="e">
        <f>ROUND(SUM(K1047:M1047)*(R1046-1),2)</f>
        <v>#N/A</v>
      </c>
      <c r="S1047" s="92">
        <f>ROUND($B1047*S$956*S1046,2)</f>
        <v>0</v>
      </c>
      <c r="T1047" s="92">
        <f>ROUND($B1047*T$956,2)</f>
        <v>0</v>
      </c>
      <c r="U1047" s="92">
        <f>ROUND($B1047*U$956,2)</f>
        <v>0</v>
      </c>
      <c r="V1047" s="32">
        <f>ROUND($B1047*$V$954,2)</f>
        <v>-0.01</v>
      </c>
      <c r="W1047" s="92">
        <f>ROUND($B1047*W$956,2)</f>
        <v>0</v>
      </c>
      <c r="X1047" s="92">
        <f>ROUND($B1047*X$956,2)</f>
        <v>-0.01</v>
      </c>
      <c r="Y1047" s="92">
        <f>ROUND($B1047*Y$956,2)</f>
        <v>0</v>
      </c>
      <c r="Z1047" s="92">
        <f>ROUND($B1047*Z$956,2)</f>
        <v>0</v>
      </c>
      <c r="AA1047" s="92">
        <f>ROUND($B1047*AA$956,2)</f>
        <v>0</v>
      </c>
      <c r="AB1047" s="19">
        <f>SUM(U$956:AA$956)+(-V$956+V1033)</f>
        <v>1.1855000000000001E-2</v>
      </c>
      <c r="AC1047" s="105" t="str">
        <f t="shared" si="68"/>
        <v>HL24</v>
      </c>
    </row>
    <row r="1048" spans="1:29" x14ac:dyDescent="0.2">
      <c r="A1048" s="9"/>
      <c r="B1048" s="103">
        <v>-1</v>
      </c>
      <c r="D1048" s="32"/>
      <c r="E1048" s="103"/>
      <c r="F1048" s="36"/>
      <c r="G1048" s="92"/>
      <c r="H1048" s="19" t="e">
        <f>IF(ISBLANK(B1048),0,+#REF!/B1048)</f>
        <v>#REF!</v>
      </c>
      <c r="J1048" s="109">
        <f t="shared" si="67"/>
        <v>215</v>
      </c>
      <c r="K1048" s="92">
        <f t="shared" si="65"/>
        <v>-0.04</v>
      </c>
      <c r="L1048" s="92">
        <f>IF(ISBLANK($E1048),0,IF($E1048&lt;$C$957,ROUND($C$957*$L$956,2),IF($E1048&gt;L$957,ROUND(L$957*L$956,2),ROUND($E1048*L$956,2))))</f>
        <v>0</v>
      </c>
      <c r="M1048" s="92">
        <f>IF($E1048&gt;L$957,ROUND(($E1048-L$957)*M$956,2),0)</f>
        <v>0</v>
      </c>
      <c r="N1048" s="92"/>
      <c r="O1048" s="92"/>
      <c r="P1048" s="92"/>
      <c r="Q1048" s="92"/>
      <c r="R1048" s="16" t="e">
        <f>VLOOKUP((D1049),'Pwr Factor'!$A$1:$B$52,2)</f>
        <v>#N/A</v>
      </c>
      <c r="S1048" s="50">
        <v>0</v>
      </c>
      <c r="T1048" s="92"/>
      <c r="U1048" s="92"/>
      <c r="V1048" s="32"/>
      <c r="W1048" s="92"/>
      <c r="X1048" s="92"/>
      <c r="Y1048" s="92"/>
      <c r="Z1048" s="92"/>
      <c r="AA1048" s="92"/>
      <c r="AB1048" s="19"/>
      <c r="AC1048" s="105">
        <f t="shared" si="68"/>
        <v>0</v>
      </c>
    </row>
    <row r="1049" spans="1:29" x14ac:dyDescent="0.2">
      <c r="A1049" s="1" t="s">
        <v>147</v>
      </c>
      <c r="B1049" s="103">
        <f>IF(AND('AES Indiana Bill Calc.'!$D$17="HL2",'AES Indiana Bill Calc.'!$D$18="No",'AES Indiana Bill Calc.'!$D$20="Yes 2024"),'AES Indiana Bill Calc.'!$D$19,-1)</f>
        <v>-1</v>
      </c>
      <c r="C1049" s="103">
        <f>MAX(E1049,$C$837)</f>
        <v>2000</v>
      </c>
      <c r="D1049" s="103" t="b">
        <f>IF(AND('AES Indiana Bill Calc.'!$D$17="HL2",'AES Indiana Bill Calc.'!$D$18="No",'AES Indiana Bill Calc.'!$D$20="Yes 2024"),'AES Indiana Bill Calc.'!$D$22)</f>
        <v>0</v>
      </c>
      <c r="E1049" s="103" t="b">
        <f>IF(AND('AES Indiana Bill Calc.'!$D$17="HL2",'AES Indiana Bill Calc.'!$D$18="No",'AES Indiana Bill Calc.'!$D$20="Yes 2024"),'AES Indiana Bill Calc.'!$D$21)</f>
        <v>0</v>
      </c>
      <c r="F1049" s="36" t="s">
        <v>298</v>
      </c>
      <c r="G1049" s="92" t="e">
        <f>SUM(J1049:M1049,R1049:AA1049)</f>
        <v>#N/A</v>
      </c>
      <c r="H1049" s="19" t="e">
        <f>IF(ISBLANK(B1049),0,+#REF!/B1049)</f>
        <v>#REF!</v>
      </c>
      <c r="J1049" s="109">
        <f t="shared" si="67"/>
        <v>215</v>
      </c>
      <c r="K1049" s="92">
        <f t="shared" si="65"/>
        <v>-0.04</v>
      </c>
      <c r="L1049" s="17">
        <f>IF(ISBLANK($C1049),0,IF($C1049&lt;$C$957,ROUND($C$957*$L$956,2),IF($C1049&gt;L$957,ROUND(L$957*L$956,2),ROUND($C1049*L$956,2))))</f>
        <v>50000</v>
      </c>
      <c r="M1049" s="17">
        <f>IF($C1049&gt;L$957,ROUND(($C1049-L$957)*M$956,2),0)</f>
        <v>0</v>
      </c>
      <c r="N1049" s="17">
        <f>K1049</f>
        <v>-0.04</v>
      </c>
      <c r="O1049" s="92"/>
      <c r="P1049" s="92"/>
      <c r="Q1049" s="17">
        <f>SUM(L1049:M1049)</f>
        <v>50000</v>
      </c>
      <c r="R1049" s="110" t="e">
        <f>ROUND(SUM(K1049:M1049)*(R1048-1),2)</f>
        <v>#N/A</v>
      </c>
      <c r="S1049" s="92">
        <f>ROUND($B1049*S$956*S1048,2)</f>
        <v>0</v>
      </c>
      <c r="T1049" s="92">
        <f>ROUND($B1049*T$956,2)</f>
        <v>0</v>
      </c>
      <c r="U1049" s="92">
        <f>ROUND($B1049*U$956,2)</f>
        <v>0</v>
      </c>
      <c r="V1049" s="32">
        <f>ROUND($B1049*$V$954,2)</f>
        <v>-0.01</v>
      </c>
      <c r="W1049" s="92">
        <f>ROUND($B1049*W$956,2)</f>
        <v>0</v>
      </c>
      <c r="X1049" s="92">
        <f>ROUND($B1049*X$956,2)</f>
        <v>-0.01</v>
      </c>
      <c r="Y1049" s="92">
        <f>ROUND($B1049*Y$956,2)</f>
        <v>0</v>
      </c>
      <c r="Z1049" s="92">
        <f>ROUND($B1049*Z$956,2)</f>
        <v>0</v>
      </c>
      <c r="AA1049" s="92">
        <f>ROUND($B1049*AA$956,2)</f>
        <v>0</v>
      </c>
      <c r="AB1049" s="19">
        <f>SUM(U$956:AA$956)+(-V$956+V1035)</f>
        <v>1.1855000000000001E-2</v>
      </c>
      <c r="AC1049" s="105" t="str">
        <f t="shared" si="68"/>
        <v>HL24</v>
      </c>
    </row>
    <row r="1050" spans="1:29" x14ac:dyDescent="0.2">
      <c r="B1050" s="103">
        <v>-1</v>
      </c>
      <c r="D1050" s="32"/>
      <c r="E1050" s="103"/>
      <c r="F1050" s="36"/>
      <c r="G1050" s="92"/>
      <c r="H1050" s="19" t="e">
        <f>IF(ISBLANK(B1050),0,+#REF!/B1050)</f>
        <v>#REF!</v>
      </c>
      <c r="J1050" s="109">
        <f t="shared" si="67"/>
        <v>215</v>
      </c>
      <c r="K1050" s="92">
        <f t="shared" si="65"/>
        <v>-0.04</v>
      </c>
      <c r="L1050" s="92">
        <f>IF(ISBLANK($E1050),0,IF($E1050&lt;$C$957,ROUND($C$957*$L$956,2),IF($E1050&gt;L$957,ROUND(L$957*L$956,2),ROUND($E1050*L$956,2))))</f>
        <v>0</v>
      </c>
      <c r="M1050" s="92">
        <f>IF($E1050&gt;L$957,ROUND(($E1050-L$957)*M$956,2),0)</f>
        <v>0</v>
      </c>
      <c r="N1050" s="92"/>
      <c r="O1050" s="92"/>
      <c r="P1050" s="92"/>
      <c r="Q1050" s="92"/>
      <c r="R1050" s="16" t="e">
        <f>VLOOKUP((D1051),'Pwr Factor'!$A$1:$B$52,2)</f>
        <v>#N/A</v>
      </c>
      <c r="S1050" s="50">
        <v>1</v>
      </c>
      <c r="T1050" s="92"/>
      <c r="U1050" s="92"/>
      <c r="V1050" s="32"/>
      <c r="W1050" s="92"/>
      <c r="X1050" s="92"/>
      <c r="Y1050" s="92"/>
      <c r="Z1050" s="92"/>
      <c r="AA1050" s="92"/>
      <c r="AB1050" s="19"/>
      <c r="AC1050" s="105">
        <f t="shared" si="68"/>
        <v>0</v>
      </c>
    </row>
    <row r="1051" spans="1:29" x14ac:dyDescent="0.2">
      <c r="A1051" s="1" t="s">
        <v>148</v>
      </c>
      <c r="B1051" s="103">
        <f>IF(AND('AES Indiana Bill Calc.'!$D$17="HL2",'AES Indiana Bill Calc.'!$D$18="Yes 100%",'AES Indiana Bill Calc.'!$D$20="Yes 2025"),'AES Indiana Bill Calc.'!$D$19,-1)</f>
        <v>-1</v>
      </c>
      <c r="C1051" s="103">
        <f>MAX(E1051,$C$837)</f>
        <v>2000</v>
      </c>
      <c r="D1051" s="103" t="b">
        <f>IF(AND('AES Indiana Bill Calc.'!$D$17="HL2",'AES Indiana Bill Calc.'!$D$18="Yes 100%",'AES Indiana Bill Calc.'!$D$20="Yes 2025"),'AES Indiana Bill Calc.'!$D$22)</f>
        <v>0</v>
      </c>
      <c r="E1051" s="103" t="b">
        <f>IF(AND('AES Indiana Bill Calc.'!$D$17="HL2",'AES Indiana Bill Calc.'!$D$18="Yes 100%",'AES Indiana Bill Calc.'!$D$20="Yes 2025"),'AES Indiana Bill Calc.'!$D$21)</f>
        <v>0</v>
      </c>
      <c r="F1051" s="36" t="s">
        <v>333</v>
      </c>
      <c r="G1051" s="92" t="e">
        <f>SUM(J1051:M1051,R1051:AA1051)</f>
        <v>#N/A</v>
      </c>
      <c r="H1051" s="19" t="e">
        <f>IF(ISBLANK(B1051),0,+#REF!/B1051)</f>
        <v>#REF!</v>
      </c>
      <c r="J1051" s="109">
        <f t="shared" si="67"/>
        <v>215</v>
      </c>
      <c r="K1051" s="92">
        <f t="shared" si="65"/>
        <v>-0.04</v>
      </c>
      <c r="L1051" s="17">
        <f>IF(ISBLANK($C1051),0,IF($C1051&lt;$C$957,ROUND($C$957*$L$956,2),IF($C1051&gt;L$957,ROUND(L$957*L$956,2),ROUND($C1051*L$956,2))))</f>
        <v>50000</v>
      </c>
      <c r="M1051" s="17">
        <f>IF($C1051&gt;L$957,ROUND(($C1051-L$957)*M$956,2),0)</f>
        <v>0</v>
      </c>
      <c r="N1051" s="17">
        <f>K1051</f>
        <v>-0.04</v>
      </c>
      <c r="O1051" s="92"/>
      <c r="P1051" s="92"/>
      <c r="Q1051" s="17">
        <f>SUM(L1051:M1051)</f>
        <v>50000</v>
      </c>
      <c r="R1051" s="110" t="e">
        <f>ROUND(SUM(K1051:M1051)*(R1050-1),2)</f>
        <v>#N/A</v>
      </c>
      <c r="S1051" s="92">
        <f>ROUND($B1051*S$956*S1050,2)</f>
        <v>0</v>
      </c>
      <c r="T1051" s="92">
        <f>ROUND($B1051*T$956,2)</f>
        <v>0</v>
      </c>
      <c r="U1051" s="92">
        <f>ROUND($B1051*U$956,2)</f>
        <v>0</v>
      </c>
      <c r="V1051" s="32">
        <f>ROUND($B1051*$V$955,2)</f>
        <v>-0.01</v>
      </c>
      <c r="W1051" s="92">
        <f>ROUND($B1051*W$956,2)</f>
        <v>0</v>
      </c>
      <c r="X1051" s="92">
        <f>ROUND($B1051*X$956,2)</f>
        <v>-0.01</v>
      </c>
      <c r="Y1051" s="92">
        <f>ROUND($B1051*Y$956,2)</f>
        <v>0</v>
      </c>
      <c r="Z1051" s="92">
        <f>ROUND($B1051*Z$956,2)</f>
        <v>0</v>
      </c>
      <c r="AA1051" s="92">
        <f>ROUND($B1051*AA$956,2)</f>
        <v>0</v>
      </c>
      <c r="AB1051" s="19">
        <f>SUM(U$956:AA$956)+(-V$956+V1037)</f>
        <v>1.1855000000000001E-2</v>
      </c>
      <c r="AC1051" s="105" t="str">
        <f t="shared" si="68"/>
        <v>HL25</v>
      </c>
    </row>
    <row r="1052" spans="1:29" x14ac:dyDescent="0.2">
      <c r="A1052" s="9"/>
      <c r="B1052" s="103">
        <v>-1</v>
      </c>
      <c r="D1052" s="32"/>
      <c r="E1052" s="103"/>
      <c r="F1052" s="36"/>
      <c r="G1052" s="92"/>
      <c r="H1052" s="19" t="e">
        <f>IF(ISBLANK(B1052),0,+#REF!/B1052)</f>
        <v>#REF!</v>
      </c>
      <c r="J1052" s="109">
        <f t="shared" si="67"/>
        <v>215</v>
      </c>
      <c r="K1052" s="92">
        <f t="shared" si="65"/>
        <v>-0.04</v>
      </c>
      <c r="L1052" s="92">
        <f>IF(ISBLANK($E1052),0,IF($E1052&lt;$C$957,ROUND($C$957*$L$956,2),IF($E1052&gt;L$957,ROUND(L$957*L$956,2),ROUND($E1052*L$956,2))))</f>
        <v>0</v>
      </c>
      <c r="M1052" s="92">
        <f>IF($E1052&gt;L$957,ROUND(($E1052-L$957)*M$956,2),0)</f>
        <v>0</v>
      </c>
      <c r="N1052" s="92"/>
      <c r="O1052" s="92"/>
      <c r="P1052" s="92"/>
      <c r="Q1052" s="92"/>
      <c r="R1052" s="16" t="e">
        <f>VLOOKUP((D1053),'Pwr Factor'!$A$1:$B$52,2)</f>
        <v>#N/A</v>
      </c>
      <c r="S1052" s="50">
        <v>0.5</v>
      </c>
      <c r="T1052" s="92"/>
      <c r="U1052" s="92"/>
      <c r="V1052" s="32"/>
      <c r="W1052" s="92"/>
      <c r="X1052" s="92"/>
      <c r="Y1052" s="92"/>
      <c r="Z1052" s="92"/>
      <c r="AA1052" s="92"/>
      <c r="AB1052" s="19"/>
      <c r="AC1052" s="105">
        <f t="shared" si="68"/>
        <v>0</v>
      </c>
    </row>
    <row r="1053" spans="1:29" x14ac:dyDescent="0.2">
      <c r="A1053" s="1" t="s">
        <v>149</v>
      </c>
      <c r="B1053" s="103">
        <f>IF(AND('AES Indiana Bill Calc.'!$D$17="HL2",'AES Indiana Bill Calc.'!$D$18="Yes 50%",'AES Indiana Bill Calc.'!$D$20="Yes 2025"),'AES Indiana Bill Calc.'!$D$19,-1)</f>
        <v>-1</v>
      </c>
      <c r="C1053" s="103">
        <f>MAX(E1053,$C$837)</f>
        <v>2000</v>
      </c>
      <c r="D1053" s="103" t="b">
        <f>IF(AND('AES Indiana Bill Calc.'!$D$17="HL2",'AES Indiana Bill Calc.'!$D$18="Yes 50%",'AES Indiana Bill Calc.'!$D$20="Yes 2025"),'AES Indiana Bill Calc.'!$D$22)</f>
        <v>0</v>
      </c>
      <c r="E1053" s="103" t="b">
        <f>IF(AND('AES Indiana Bill Calc.'!$D$17="HL2",'AES Indiana Bill Calc.'!$D$18="Yes 50%",'AES Indiana Bill Calc.'!$D$20="Yes 2025"),'AES Indiana Bill Calc.'!$D$21)</f>
        <v>0</v>
      </c>
      <c r="F1053" s="36" t="s">
        <v>333</v>
      </c>
      <c r="G1053" s="92" t="e">
        <f>SUM(J1053:M1053,R1053:AA1053)</f>
        <v>#N/A</v>
      </c>
      <c r="H1053" s="19" t="e">
        <f>IF(ISBLANK(B1053),0,+#REF!/B1053)</f>
        <v>#REF!</v>
      </c>
      <c r="J1053" s="109">
        <f t="shared" ref="J1053:J1059" si="69">IF(ISBLANK(B1053),0,+J$956)</f>
        <v>215</v>
      </c>
      <c r="K1053" s="92">
        <f t="shared" si="65"/>
        <v>-0.04</v>
      </c>
      <c r="L1053" s="17">
        <f>IF(ISBLANK($C1053),0,IF($C1053&lt;$C$957,ROUND($C$957*$L$956,2),IF($C1053&gt;L$957,ROUND(L$957*L$956,2),ROUND($C1053*L$956,2))))</f>
        <v>50000</v>
      </c>
      <c r="M1053" s="17">
        <f>IF($C1053&gt;L$957,ROUND(($C1053-L$957)*M$956,2),0)</f>
        <v>0</v>
      </c>
      <c r="N1053" s="17">
        <f>K1053</f>
        <v>-0.04</v>
      </c>
      <c r="O1053" s="92"/>
      <c r="P1053" s="92"/>
      <c r="Q1053" s="17">
        <f>SUM(L1053:M1053)</f>
        <v>50000</v>
      </c>
      <c r="R1053" s="110" t="e">
        <f>ROUND(SUM(K1053:M1053)*(R1052-1),2)</f>
        <v>#N/A</v>
      </c>
      <c r="S1053" s="92">
        <f>ROUND($B1053*S$956*S1052,2)</f>
        <v>0</v>
      </c>
      <c r="T1053" s="92">
        <f>ROUND($B1053*T$956,2)</f>
        <v>0</v>
      </c>
      <c r="U1053" s="92">
        <f>ROUND($B1053*U$956,2)</f>
        <v>0</v>
      </c>
      <c r="V1053" s="32">
        <f>ROUND($B1053*$V$955,2)</f>
        <v>-0.01</v>
      </c>
      <c r="W1053" s="92">
        <f>ROUND($B1053*W$956,2)</f>
        <v>0</v>
      </c>
      <c r="X1053" s="92">
        <f>ROUND($B1053*X$956,2)</f>
        <v>-0.01</v>
      </c>
      <c r="Y1053" s="92">
        <f>ROUND($B1053*Y$956,2)</f>
        <v>0</v>
      </c>
      <c r="Z1053" s="92">
        <f>ROUND($B1053*Z$956,2)</f>
        <v>0</v>
      </c>
      <c r="AA1053" s="92">
        <f>ROUND($B1053*AA$956,2)</f>
        <v>0</v>
      </c>
      <c r="AB1053" s="19">
        <f>SUM(U$956:AA$956)+(-V$956+V1039)</f>
        <v>1.1855000000000001E-2</v>
      </c>
      <c r="AC1053" s="105" t="str">
        <f t="shared" ref="AC1053:AC1059" si="70">+F1053</f>
        <v>HL25</v>
      </c>
    </row>
    <row r="1054" spans="1:29" x14ac:dyDescent="0.2">
      <c r="A1054" s="9"/>
      <c r="B1054" s="103">
        <v>-1</v>
      </c>
      <c r="D1054" s="32"/>
      <c r="E1054" s="103"/>
      <c r="F1054" s="36"/>
      <c r="G1054" s="92"/>
      <c r="H1054" s="19" t="e">
        <f>IF(ISBLANK(B1054),0,+#REF!/B1054)</f>
        <v>#REF!</v>
      </c>
      <c r="J1054" s="109">
        <f t="shared" si="69"/>
        <v>215</v>
      </c>
      <c r="K1054" s="92">
        <f t="shared" si="65"/>
        <v>-0.04</v>
      </c>
      <c r="L1054" s="92">
        <f>IF(ISBLANK($E1054),0,IF($E1054&lt;$C$957,ROUND($C$957*$L$956,2),IF($E1054&gt;L$957,ROUND(L$957*L$956,2),ROUND($E1054*L$956,2))))</f>
        <v>0</v>
      </c>
      <c r="M1054" s="92">
        <f>IF($E1054&gt;L$957,ROUND(($E1054-L$957)*M$956,2),0)</f>
        <v>0</v>
      </c>
      <c r="N1054" s="92"/>
      <c r="O1054" s="92"/>
      <c r="P1054" s="92"/>
      <c r="Q1054" s="92"/>
      <c r="R1054" s="16" t="e">
        <f>VLOOKUP((D1055),'Pwr Factor'!$A$1:$B$52,2)</f>
        <v>#N/A</v>
      </c>
      <c r="S1054" s="50">
        <v>0.25</v>
      </c>
      <c r="T1054" s="92"/>
      <c r="U1054" s="92"/>
      <c r="V1054" s="32"/>
      <c r="W1054" s="92"/>
      <c r="X1054" s="92"/>
      <c r="Y1054" s="92"/>
      <c r="Z1054" s="92"/>
      <c r="AA1054" s="92"/>
      <c r="AB1054" s="19"/>
      <c r="AC1054" s="105">
        <f t="shared" si="70"/>
        <v>0</v>
      </c>
    </row>
    <row r="1055" spans="1:29" x14ac:dyDescent="0.2">
      <c r="A1055" s="1" t="s">
        <v>150</v>
      </c>
      <c r="B1055" s="103">
        <f>IF(AND('AES Indiana Bill Calc.'!$D$17="HL2",'AES Indiana Bill Calc.'!$D$18="Yes 25%",'AES Indiana Bill Calc.'!$D$20="Yes 2025"),'AES Indiana Bill Calc.'!$D$19,-1)</f>
        <v>-1</v>
      </c>
      <c r="C1055" s="103">
        <f>MAX(E1055,$C$837)</f>
        <v>2000</v>
      </c>
      <c r="D1055" s="103" t="b">
        <f>IF(AND('AES Indiana Bill Calc.'!$D$17="HL2",'AES Indiana Bill Calc.'!$D$18="Yes 25%",'AES Indiana Bill Calc.'!$D$20="Yes 2025"),'AES Indiana Bill Calc.'!$D$22)</f>
        <v>0</v>
      </c>
      <c r="E1055" s="103" t="b">
        <f>IF(AND('AES Indiana Bill Calc.'!$D$17="HL2",'AES Indiana Bill Calc.'!$D$18="Yes 25%",'AES Indiana Bill Calc.'!$D$20="Yes 2025"),'AES Indiana Bill Calc.'!$D$21)</f>
        <v>0</v>
      </c>
      <c r="F1055" s="36" t="s">
        <v>333</v>
      </c>
      <c r="G1055" s="92" t="e">
        <f>SUM(J1055:M1055,R1055:AA1055)</f>
        <v>#N/A</v>
      </c>
      <c r="H1055" s="19" t="e">
        <f>IF(ISBLANK(B1055),0,+#REF!/B1055)</f>
        <v>#REF!</v>
      </c>
      <c r="J1055" s="109">
        <f t="shared" si="69"/>
        <v>215</v>
      </c>
      <c r="K1055" s="92">
        <f t="shared" si="65"/>
        <v>-0.04</v>
      </c>
      <c r="L1055" s="17">
        <f>IF(ISBLANK($C1055),0,IF($C1055&lt;$C$957,ROUND($C$957*$L$956,2),IF($C1055&gt;L$957,ROUND(L$957*L$956,2),ROUND($C1055*L$956,2))))</f>
        <v>50000</v>
      </c>
      <c r="M1055" s="17">
        <f>IF($C1055&gt;L$957,ROUND(($C1055-L$957)*M$956,2),0)</f>
        <v>0</v>
      </c>
      <c r="N1055" s="17">
        <f>K1055</f>
        <v>-0.04</v>
      </c>
      <c r="O1055" s="92"/>
      <c r="P1055" s="92"/>
      <c r="Q1055" s="17">
        <f>SUM(L1055:M1055)</f>
        <v>50000</v>
      </c>
      <c r="R1055" s="110" t="e">
        <f>ROUND(SUM(K1055:M1055)*(R1054-1),2)</f>
        <v>#N/A</v>
      </c>
      <c r="S1055" s="92">
        <f>ROUND($B1055*S$956*S1054,2)</f>
        <v>0</v>
      </c>
      <c r="T1055" s="92">
        <f>ROUND($B1055*T$956,2)</f>
        <v>0</v>
      </c>
      <c r="U1055" s="92">
        <f>ROUND($B1055*U$956,2)</f>
        <v>0</v>
      </c>
      <c r="V1055" s="32">
        <f>ROUND($B1055*$V$955,2)</f>
        <v>-0.01</v>
      </c>
      <c r="W1055" s="92">
        <f>ROUND($B1055*W$956,2)</f>
        <v>0</v>
      </c>
      <c r="X1055" s="92">
        <f>ROUND($B1055*X$956,2)</f>
        <v>-0.01</v>
      </c>
      <c r="Y1055" s="92">
        <f>ROUND($B1055*Y$956,2)</f>
        <v>0</v>
      </c>
      <c r="Z1055" s="92">
        <f>ROUND($B1055*Z$956,2)</f>
        <v>0</v>
      </c>
      <c r="AA1055" s="92">
        <f>ROUND($B1055*AA$956,2)</f>
        <v>0</v>
      </c>
      <c r="AB1055" s="19">
        <f>SUM(U$956:AA$956)+(-V$956+V1041)</f>
        <v>1.8550000000000025E-3</v>
      </c>
      <c r="AC1055" s="105" t="str">
        <f t="shared" si="70"/>
        <v>HL25</v>
      </c>
    </row>
    <row r="1056" spans="1:29" x14ac:dyDescent="0.2">
      <c r="A1056" s="9"/>
      <c r="B1056" s="103">
        <v>-1</v>
      </c>
      <c r="D1056" s="32"/>
      <c r="E1056" s="103"/>
      <c r="F1056" s="36"/>
      <c r="G1056" s="92"/>
      <c r="H1056" s="19" t="e">
        <f>IF(ISBLANK(B1056),0,+#REF!/B1056)</f>
        <v>#REF!</v>
      </c>
      <c r="J1056" s="109">
        <f t="shared" si="69"/>
        <v>215</v>
      </c>
      <c r="K1056" s="92">
        <f t="shared" si="65"/>
        <v>-0.04</v>
      </c>
      <c r="L1056" s="92">
        <f>IF(ISBLANK($E1056),0,IF($E1056&lt;$C$957,ROUND($C$957*$L$956,2),IF($E1056&gt;L$957,ROUND(L$957*L$956,2),ROUND($E1056*L$956,2))))</f>
        <v>0</v>
      </c>
      <c r="M1056" s="92">
        <f>IF($E1056&gt;L$957,ROUND(($E1056-L$957)*M$956,2),0)</f>
        <v>0</v>
      </c>
      <c r="N1056" s="92"/>
      <c r="O1056" s="92"/>
      <c r="P1056" s="92"/>
      <c r="Q1056" s="92"/>
      <c r="R1056" s="16" t="e">
        <f>VLOOKUP((D1057),'Pwr Factor'!$A$1:$B$52,2)</f>
        <v>#N/A</v>
      </c>
      <c r="S1056" s="50">
        <v>0.1</v>
      </c>
      <c r="T1056" s="92"/>
      <c r="U1056" s="92"/>
      <c r="V1056" s="32"/>
      <c r="W1056" s="92"/>
      <c r="X1056" s="92"/>
      <c r="Y1056" s="92"/>
      <c r="Z1056" s="92"/>
      <c r="AA1056" s="92"/>
      <c r="AB1056" s="19"/>
      <c r="AC1056" s="105">
        <f t="shared" si="70"/>
        <v>0</v>
      </c>
    </row>
    <row r="1057" spans="1:29" x14ac:dyDescent="0.2">
      <c r="A1057" s="1" t="s">
        <v>164</v>
      </c>
      <c r="B1057" s="103">
        <f>IF(AND('AES Indiana Bill Calc.'!$D$17="HL2",'AES Indiana Bill Calc.'!$D$18="Yes 10%",'AES Indiana Bill Calc.'!$D$20="Yes 2025"),'AES Indiana Bill Calc.'!$D$19,-1)</f>
        <v>-1</v>
      </c>
      <c r="C1057" s="103">
        <f>MAX(E1057,$C$837)</f>
        <v>2000</v>
      </c>
      <c r="D1057" s="103" t="b">
        <f>IF(AND('AES Indiana Bill Calc.'!$D$17="HL2",'AES Indiana Bill Calc.'!$D$18="Yes 10%",'AES Indiana Bill Calc.'!$D$20="Yes 2025"),'AES Indiana Bill Calc.'!$D$22)</f>
        <v>0</v>
      </c>
      <c r="E1057" s="103" t="b">
        <f>IF(AND('AES Indiana Bill Calc.'!$D$17="HL2",'AES Indiana Bill Calc.'!$D$18="Yes 10%",'AES Indiana Bill Calc.'!$D$20="Yes 2025"),'AES Indiana Bill Calc.'!$D$21)</f>
        <v>0</v>
      </c>
      <c r="F1057" s="36" t="s">
        <v>333</v>
      </c>
      <c r="G1057" s="92" t="e">
        <f>SUM(J1057:M1057,R1057:AA1057)</f>
        <v>#N/A</v>
      </c>
      <c r="H1057" s="19" t="e">
        <f>IF(ISBLANK(B1057),0,+#REF!/B1057)</f>
        <v>#REF!</v>
      </c>
      <c r="J1057" s="109">
        <f t="shared" si="69"/>
        <v>215</v>
      </c>
      <c r="K1057" s="92">
        <f t="shared" si="65"/>
        <v>-0.04</v>
      </c>
      <c r="L1057" s="17">
        <f>IF(ISBLANK($C1057),0,IF($C1057&lt;$C$957,ROUND($C$957*$L$956,2),IF($C1057&gt;L$957,ROUND(L$957*L$956,2),ROUND($C1057*L$956,2))))</f>
        <v>50000</v>
      </c>
      <c r="M1057" s="17">
        <f>IF($C1057&gt;L$957,ROUND(($C1057-L$957)*M$956,2),0)</f>
        <v>0</v>
      </c>
      <c r="N1057" s="17">
        <f>K1057</f>
        <v>-0.04</v>
      </c>
      <c r="O1057" s="92"/>
      <c r="P1057" s="92"/>
      <c r="Q1057" s="17">
        <f>SUM(L1057:M1057)</f>
        <v>50000</v>
      </c>
      <c r="R1057" s="110" t="e">
        <f>ROUND(SUM(K1057:M1057)*(R1056-1),2)</f>
        <v>#N/A</v>
      </c>
      <c r="S1057" s="92">
        <f>ROUND($B1057*S$956*S1056,2)</f>
        <v>0</v>
      </c>
      <c r="T1057" s="92">
        <f>ROUND($B1057*T$956,2)</f>
        <v>0</v>
      </c>
      <c r="U1057" s="92">
        <f>ROUND($B1057*U$956,2)</f>
        <v>0</v>
      </c>
      <c r="V1057" s="32">
        <f>ROUND($B1057*$V$955,2)</f>
        <v>-0.01</v>
      </c>
      <c r="W1057" s="92">
        <f>ROUND($B1057*W$956,2)</f>
        <v>0</v>
      </c>
      <c r="X1057" s="92">
        <f>ROUND($B1057*X$956,2)</f>
        <v>-0.01</v>
      </c>
      <c r="Y1057" s="92">
        <f>ROUND($B1057*Y$956,2)</f>
        <v>0</v>
      </c>
      <c r="Z1057" s="92">
        <f>ROUND($B1057*Z$956,2)</f>
        <v>0</v>
      </c>
      <c r="AA1057" s="92">
        <f>ROUND($B1057*AA$956,2)</f>
        <v>0</v>
      </c>
      <c r="AB1057" s="19">
        <f>SUM(U$956:AA$956)+(-V$956+V1043)</f>
        <v>1.8550000000000025E-3</v>
      </c>
      <c r="AC1057" s="105" t="str">
        <f t="shared" si="70"/>
        <v>HL25</v>
      </c>
    </row>
    <row r="1058" spans="1:29" x14ac:dyDescent="0.2">
      <c r="A1058" s="9"/>
      <c r="B1058" s="103">
        <v>-1</v>
      </c>
      <c r="D1058" s="32"/>
      <c r="E1058" s="103"/>
      <c r="F1058" s="36"/>
      <c r="G1058" s="92"/>
      <c r="H1058" s="19" t="e">
        <f>IF(ISBLANK(B1058),0,+#REF!/B1058)</f>
        <v>#REF!</v>
      </c>
      <c r="J1058" s="109">
        <f t="shared" si="69"/>
        <v>215</v>
      </c>
      <c r="K1058" s="92">
        <f t="shared" si="65"/>
        <v>-0.04</v>
      </c>
      <c r="L1058" s="92">
        <f>IF(ISBLANK($E1058),0,IF($E1058&lt;$C$957,ROUND($C$957*$L$956,2),IF($E1058&gt;L$957,ROUND(L$957*L$956,2),ROUND($E1058*L$956,2))))</f>
        <v>0</v>
      </c>
      <c r="M1058" s="92">
        <f>IF($E1058&gt;L$957,ROUND(($E1058-L$957)*M$956,2),0)</f>
        <v>0</v>
      </c>
      <c r="N1058" s="92"/>
      <c r="O1058" s="92"/>
      <c r="P1058" s="92"/>
      <c r="Q1058" s="92"/>
      <c r="R1058" s="16" t="e">
        <f>VLOOKUP((D1059),'Pwr Factor'!$A$1:$B$52,2)</f>
        <v>#N/A</v>
      </c>
      <c r="S1058" s="50">
        <v>0</v>
      </c>
      <c r="T1058" s="92"/>
      <c r="U1058" s="92"/>
      <c r="V1058" s="32"/>
      <c r="W1058" s="92"/>
      <c r="X1058" s="92"/>
      <c r="Y1058" s="92"/>
      <c r="Z1058" s="92"/>
      <c r="AA1058" s="92"/>
      <c r="AB1058" s="19"/>
      <c r="AC1058" s="105">
        <f t="shared" si="70"/>
        <v>0</v>
      </c>
    </row>
    <row r="1059" spans="1:29" x14ac:dyDescent="0.2">
      <c r="A1059" s="1" t="s">
        <v>147</v>
      </c>
      <c r="B1059" s="103">
        <f>IF(AND('AES Indiana Bill Calc.'!$D$17="HL2",'AES Indiana Bill Calc.'!$D$18="No",'AES Indiana Bill Calc.'!$D$20="Yes 2025"),'AES Indiana Bill Calc.'!$D$19,-1)</f>
        <v>-1</v>
      </c>
      <c r="C1059" s="103">
        <f>MAX(E1059,$C$837)</f>
        <v>2000</v>
      </c>
      <c r="D1059" s="103" t="b">
        <f>IF(AND('AES Indiana Bill Calc.'!$D$17="HL2",'AES Indiana Bill Calc.'!$D$18="No",'AES Indiana Bill Calc.'!$D$20="Yes 2025"),'AES Indiana Bill Calc.'!$D$22)</f>
        <v>0</v>
      </c>
      <c r="E1059" s="103" t="b">
        <f>IF(AND('AES Indiana Bill Calc.'!$D$17="HL2",'AES Indiana Bill Calc.'!$D$18="No",'AES Indiana Bill Calc.'!$D$20="Yes 2025"),'AES Indiana Bill Calc.'!$D$21)</f>
        <v>0</v>
      </c>
      <c r="F1059" s="36" t="s">
        <v>333</v>
      </c>
      <c r="G1059" s="92" t="e">
        <f>SUM(J1059:M1059,R1059:AA1059)</f>
        <v>#N/A</v>
      </c>
      <c r="H1059" s="19" t="e">
        <f>IF(ISBLANK(B1059),0,+#REF!/B1059)</f>
        <v>#REF!</v>
      </c>
      <c r="J1059" s="109">
        <f t="shared" si="69"/>
        <v>215</v>
      </c>
      <c r="K1059" s="92">
        <f t="shared" si="65"/>
        <v>-0.04</v>
      </c>
      <c r="L1059" s="17">
        <f>IF(ISBLANK($C1059),0,IF($C1059&lt;$C$957,ROUND($C$957*$L$956,2),IF($C1059&gt;L$957,ROUND(L$957*L$956,2),ROUND($C1059*L$956,2))))</f>
        <v>50000</v>
      </c>
      <c r="M1059" s="17">
        <f>IF($C1059&gt;L$957,ROUND(($C1059-L$957)*M$956,2),0)</f>
        <v>0</v>
      </c>
      <c r="N1059" s="17">
        <f>K1059</f>
        <v>-0.04</v>
      </c>
      <c r="O1059" s="92"/>
      <c r="P1059" s="92"/>
      <c r="Q1059" s="17">
        <f>SUM(L1059:M1059)</f>
        <v>50000</v>
      </c>
      <c r="R1059" s="110" t="e">
        <f>ROUND(SUM(K1059:M1059)*(R1058-1),2)</f>
        <v>#N/A</v>
      </c>
      <c r="S1059" s="92">
        <f>ROUND($B1059*S$956*S1058,2)</f>
        <v>0</v>
      </c>
      <c r="T1059" s="92">
        <f>ROUND($B1059*T$956,2)</f>
        <v>0</v>
      </c>
      <c r="U1059" s="92">
        <f>ROUND($B1059*U$956,2)</f>
        <v>0</v>
      </c>
      <c r="V1059" s="32">
        <f>ROUND($B1059*$V$955,2)</f>
        <v>-0.01</v>
      </c>
      <c r="W1059" s="92">
        <f>ROUND($B1059*W$956,2)</f>
        <v>0</v>
      </c>
      <c r="X1059" s="92">
        <f>ROUND($B1059*X$956,2)</f>
        <v>-0.01</v>
      </c>
      <c r="Y1059" s="92">
        <f>ROUND($B1059*Y$956,2)</f>
        <v>0</v>
      </c>
      <c r="Z1059" s="92">
        <f>ROUND($B1059*Z$956,2)</f>
        <v>0</v>
      </c>
      <c r="AA1059" s="92">
        <f>ROUND($B1059*AA$956,2)</f>
        <v>0</v>
      </c>
      <c r="AB1059" s="19">
        <f>SUM(U$956:AA$956)+(-V$956+V1045)</f>
        <v>1.8550000000000025E-3</v>
      </c>
      <c r="AC1059" s="105" t="str">
        <f t="shared" si="70"/>
        <v>HL25</v>
      </c>
    </row>
    <row r="1060" spans="1:29" x14ac:dyDescent="0.2">
      <c r="B1060" s="103">
        <v>-1</v>
      </c>
      <c r="C1060" s="9"/>
      <c r="D1060" s="8"/>
      <c r="X1060" s="6"/>
      <c r="Y1060" s="6"/>
      <c r="Z1060" s="6"/>
      <c r="AA1060" s="6"/>
      <c r="AB1060" s="19"/>
    </row>
    <row r="1061" spans="1:29" x14ac:dyDescent="0.2">
      <c r="B1061" s="103">
        <v>-1</v>
      </c>
      <c r="C1061" s="9"/>
      <c r="D1061" s="8"/>
      <c r="L1061" t="s">
        <v>193</v>
      </c>
      <c r="M1061" t="s">
        <v>193</v>
      </c>
      <c r="S1061" s="6"/>
      <c r="T1061" s="6"/>
      <c r="U1061" s="6"/>
      <c r="V1061" s="19">
        <f>+T8</f>
        <v>0</v>
      </c>
      <c r="W1061" s="6" t="s">
        <v>158</v>
      </c>
      <c r="AB1061" s="19" t="e">
        <f>+AB$1071-V$1071+#REF!</f>
        <v>#REF!</v>
      </c>
    </row>
    <row r="1062" spans="1:29" x14ac:dyDescent="0.2">
      <c r="B1062" s="103">
        <v>-1</v>
      </c>
      <c r="C1062" s="9"/>
      <c r="D1062" s="8"/>
      <c r="S1062" s="6"/>
      <c r="T1062" s="6"/>
      <c r="U1062" s="6"/>
      <c r="V1062" s="19">
        <f>+T13</f>
        <v>0</v>
      </c>
      <c r="W1062" s="6" t="s">
        <v>155</v>
      </c>
      <c r="AB1062" s="19" t="e">
        <f>+AB$1071-V$1071+#REF!</f>
        <v>#REF!</v>
      </c>
    </row>
    <row r="1063" spans="1:29" x14ac:dyDescent="0.2">
      <c r="B1063" s="103">
        <v>-1</v>
      </c>
      <c r="C1063" s="9"/>
      <c r="D1063" s="8"/>
      <c r="S1063" s="6"/>
      <c r="T1063" s="6"/>
      <c r="U1063" s="6"/>
      <c r="V1063" s="19">
        <f>T16</f>
        <v>1.18E-4</v>
      </c>
      <c r="W1063" s="6" t="s">
        <v>156</v>
      </c>
      <c r="AB1063" s="19"/>
    </row>
    <row r="1064" spans="1:29" x14ac:dyDescent="0.2">
      <c r="B1064" s="103">
        <v>-1</v>
      </c>
      <c r="C1064" s="9"/>
      <c r="D1064" s="8"/>
      <c r="S1064" s="6"/>
      <c r="T1064" s="6"/>
      <c r="U1064" s="6"/>
      <c r="V1064" s="27">
        <f>$T$19</f>
        <v>4.55E-4</v>
      </c>
      <c r="W1064" s="6" t="s">
        <v>157</v>
      </c>
      <c r="AB1064" s="19"/>
    </row>
    <row r="1065" spans="1:29" x14ac:dyDescent="0.2">
      <c r="B1065" s="103">
        <v>-1</v>
      </c>
      <c r="C1065" s="9"/>
      <c r="D1065" s="8"/>
      <c r="S1065" s="6"/>
      <c r="T1065" s="6"/>
      <c r="U1065" s="6"/>
      <c r="V1065" s="27">
        <f>$T$21</f>
        <v>9.41E-4</v>
      </c>
      <c r="W1065" s="6" t="s">
        <v>158</v>
      </c>
      <c r="AB1065" s="19"/>
    </row>
    <row r="1066" spans="1:29" x14ac:dyDescent="0.2">
      <c r="B1066" s="103">
        <v>-1</v>
      </c>
      <c r="C1066" s="9"/>
      <c r="D1066" s="8"/>
      <c r="S1066" s="6"/>
      <c r="T1066" s="6"/>
      <c r="U1066" s="6"/>
      <c r="V1066" s="27">
        <f>$T$23</f>
        <v>-1.0000000000000001E-5</v>
      </c>
      <c r="W1066" s="6" t="s">
        <v>159</v>
      </c>
      <c r="AB1066" s="19"/>
    </row>
    <row r="1067" spans="1:29" x14ac:dyDescent="0.2">
      <c r="B1067" s="103">
        <v>-1</v>
      </c>
      <c r="C1067" s="9"/>
      <c r="D1067" s="8"/>
      <c r="S1067" s="6"/>
      <c r="T1067" s="6"/>
      <c r="U1067" s="6"/>
      <c r="V1067" s="27">
        <f>$T$25</f>
        <v>0</v>
      </c>
      <c r="W1067" s="6" t="s">
        <v>160</v>
      </c>
      <c r="AB1067" s="19"/>
    </row>
    <row r="1068" spans="1:29" x14ac:dyDescent="0.2">
      <c r="B1068" s="103">
        <v>-1</v>
      </c>
      <c r="C1068" s="9"/>
      <c r="D1068" s="8"/>
      <c r="S1068" s="6"/>
      <c r="T1068" s="6"/>
      <c r="U1068" s="6"/>
      <c r="V1068" s="19">
        <f>T27</f>
        <v>0</v>
      </c>
      <c r="W1068" s="6" t="s">
        <v>161</v>
      </c>
      <c r="AB1068" s="19"/>
    </row>
    <row r="1069" spans="1:29" x14ac:dyDescent="0.2">
      <c r="B1069" s="103">
        <v>-1</v>
      </c>
      <c r="C1069" s="9"/>
      <c r="D1069" s="8"/>
      <c r="S1069" s="6"/>
      <c r="T1069" s="6"/>
      <c r="U1069" s="6"/>
      <c r="V1069" s="19">
        <f>T29</f>
        <v>7.4390000000000003E-3</v>
      </c>
      <c r="W1069" s="6" t="s">
        <v>296</v>
      </c>
      <c r="AB1069" s="19"/>
    </row>
    <row r="1070" spans="1:29" x14ac:dyDescent="0.2">
      <c r="B1070" s="103">
        <v>-1</v>
      </c>
      <c r="C1070" s="9"/>
      <c r="D1070" s="8"/>
      <c r="S1070" s="6"/>
      <c r="T1070" s="6"/>
      <c r="U1070" s="6"/>
      <c r="V1070" s="19">
        <f>T31</f>
        <v>8.4290000000000007E-3</v>
      </c>
      <c r="W1070" s="6" t="s">
        <v>172</v>
      </c>
      <c r="AB1070" s="19"/>
    </row>
    <row r="1071" spans="1:29" x14ac:dyDescent="0.2">
      <c r="B1071" s="103">
        <v>-1</v>
      </c>
      <c r="C1071" s="9"/>
      <c r="D1071" s="8"/>
      <c r="F1071" s="70"/>
      <c r="G1071" s="70"/>
      <c r="H1071" s="70"/>
      <c r="I1071" s="70"/>
      <c r="J1071" s="159">
        <v>500</v>
      </c>
      <c r="K1071" s="160">
        <v>3.9872999999999999E-2</v>
      </c>
      <c r="L1071" s="159">
        <v>24.09</v>
      </c>
      <c r="M1071" s="159">
        <v>24.09</v>
      </c>
      <c r="N1071" s="72"/>
      <c r="O1071" s="72"/>
      <c r="P1071" s="72"/>
      <c r="Q1071" s="72"/>
      <c r="R1071" s="5"/>
      <c r="S1071" s="27">
        <f>+S840</f>
        <v>1.8E-3</v>
      </c>
      <c r="T1071" s="27">
        <f>+T840</f>
        <v>3.9020000000000001E-3</v>
      </c>
      <c r="U1071" s="27">
        <f>+$S$32</f>
        <v>1.305E-3</v>
      </c>
      <c r="V1071" s="27">
        <f t="shared" ref="V1071:AA1071" si="71">+V840</f>
        <v>1.3795999999999999E-2</v>
      </c>
      <c r="W1071" s="27">
        <f t="shared" si="71"/>
        <v>0</v>
      </c>
      <c r="X1071" s="27">
        <f t="shared" si="71"/>
        <v>7.084E-3</v>
      </c>
      <c r="Y1071" s="27">
        <f t="shared" si="71"/>
        <v>-2.5599999999999999E-4</v>
      </c>
      <c r="Z1071" s="27">
        <f t="shared" si="71"/>
        <v>3.1589999999999999E-3</v>
      </c>
      <c r="AA1071" s="27">
        <f t="shared" si="71"/>
        <v>5.6300000000000002E-4</v>
      </c>
      <c r="AB1071" s="19">
        <f>SUM(U1071:Z1071)</f>
        <v>2.5087999999999999E-2</v>
      </c>
    </row>
    <row r="1072" spans="1:29" x14ac:dyDescent="0.2">
      <c r="A1072" s="1"/>
      <c r="B1072" s="103">
        <v>-1</v>
      </c>
      <c r="C1072" s="9"/>
      <c r="D1072" s="8"/>
      <c r="F1072" s="70"/>
      <c r="G1072" s="70"/>
      <c r="H1072" s="70"/>
      <c r="I1072" s="70"/>
      <c r="J1072" s="70"/>
      <c r="K1072" s="70"/>
      <c r="L1072" s="73">
        <v>4000</v>
      </c>
      <c r="M1072" s="70"/>
      <c r="N1072" s="70"/>
      <c r="O1072" s="70"/>
      <c r="P1072" s="70"/>
      <c r="Q1072" s="70"/>
    </row>
    <row r="1073" spans="1:29" x14ac:dyDescent="0.2">
      <c r="B1073" s="103">
        <v>-1</v>
      </c>
      <c r="C1073" s="9"/>
      <c r="D1073" s="8"/>
      <c r="F1073" s="12"/>
      <c r="J1073" s="12" t="s">
        <v>137</v>
      </c>
      <c r="K1073" s="12" t="s">
        <v>197</v>
      </c>
      <c r="L1073" s="258" t="s">
        <v>30</v>
      </c>
      <c r="M1073" s="258"/>
      <c r="N1073" s="12"/>
      <c r="O1073" s="12"/>
      <c r="P1073" s="12"/>
      <c r="Q1073" s="142" t="s">
        <v>173</v>
      </c>
      <c r="R1073" s="12" t="s">
        <v>196</v>
      </c>
      <c r="S1073" s="12">
        <v>21</v>
      </c>
      <c r="T1073" s="12">
        <v>6</v>
      </c>
      <c r="U1073" s="12">
        <v>3</v>
      </c>
      <c r="V1073" s="12">
        <v>22</v>
      </c>
      <c r="W1073" s="12">
        <v>13</v>
      </c>
      <c r="X1073" s="12">
        <v>20</v>
      </c>
      <c r="Y1073" s="12">
        <v>24</v>
      </c>
      <c r="Z1073" s="12">
        <v>25</v>
      </c>
      <c r="AA1073" s="12">
        <v>26</v>
      </c>
    </row>
    <row r="1074" spans="1:29" x14ac:dyDescent="0.2">
      <c r="A1074" s="13"/>
      <c r="B1074" s="103">
        <v>-1</v>
      </c>
      <c r="C1074" s="99" t="s">
        <v>209</v>
      </c>
      <c r="D1074" s="100" t="s">
        <v>210</v>
      </c>
      <c r="E1074" s="130" t="s">
        <v>199</v>
      </c>
      <c r="F1074" s="13" t="s">
        <v>141</v>
      </c>
      <c r="G1074" s="13" t="s">
        <v>142</v>
      </c>
      <c r="H1074" s="13" t="s">
        <v>143</v>
      </c>
      <c r="J1074" s="13" t="s">
        <v>144</v>
      </c>
      <c r="K1074" s="13" t="s">
        <v>144</v>
      </c>
      <c r="L1074" s="13" t="s">
        <v>232</v>
      </c>
      <c r="M1074" s="13" t="s">
        <v>233</v>
      </c>
      <c r="N1074" s="142" t="s">
        <v>138</v>
      </c>
      <c r="O1074" s="13"/>
      <c r="P1074" s="13"/>
      <c r="Q1074" s="13"/>
      <c r="R1074" s="13" t="s">
        <v>201</v>
      </c>
      <c r="S1074" s="13" t="s">
        <v>106</v>
      </c>
      <c r="T1074" s="13" t="s">
        <v>36</v>
      </c>
      <c r="U1074" s="138" t="s">
        <v>38</v>
      </c>
      <c r="V1074" s="13" t="s">
        <v>107</v>
      </c>
      <c r="W1074" s="13" t="s">
        <v>108</v>
      </c>
      <c r="X1074" s="13" t="s">
        <v>109</v>
      </c>
      <c r="Y1074" s="138" t="s">
        <v>44</v>
      </c>
      <c r="Z1074" s="138" t="s">
        <v>46</v>
      </c>
      <c r="AA1074" s="138" t="s">
        <v>48</v>
      </c>
      <c r="AB1074" s="66" t="s">
        <v>110</v>
      </c>
    </row>
    <row r="1075" spans="1:29" x14ac:dyDescent="0.2">
      <c r="A1075" s="48"/>
      <c r="B1075" s="103">
        <v>-1</v>
      </c>
      <c r="D1075" s="8"/>
      <c r="E1075" s="9"/>
      <c r="F1075" s="36"/>
      <c r="G1075" s="12"/>
      <c r="H1075" s="12"/>
      <c r="J1075" s="12"/>
      <c r="K1075" s="12"/>
      <c r="L1075" s="12"/>
      <c r="M1075" s="12"/>
      <c r="N1075" s="12"/>
      <c r="O1075" s="12"/>
      <c r="P1075" s="12"/>
      <c r="Q1075" s="12"/>
      <c r="R1075" s="38" t="e">
        <f>VLOOKUP((D1076),'Pwr Factor'!$A$1:$B$52,2)</f>
        <v>#N/A</v>
      </c>
      <c r="S1075" s="50">
        <v>1</v>
      </c>
      <c r="T1075" s="12"/>
      <c r="U1075" s="12"/>
      <c r="V1075" s="12"/>
      <c r="W1075" s="12"/>
      <c r="X1075" s="12"/>
      <c r="Y1075" s="12"/>
      <c r="Z1075" s="12"/>
      <c r="AA1075" s="12"/>
    </row>
    <row r="1076" spans="1:29" x14ac:dyDescent="0.2">
      <c r="A1076" s="1" t="s">
        <v>148</v>
      </c>
      <c r="B1076" s="103">
        <f>IF(AND('AES Indiana Bill Calc.'!$D$17="HL3",'AES Indiana Bill Calc.'!$D$18="Yes 100%",'AES Indiana Bill Calc.'!$D$20="No"),'AES Indiana Bill Calc.'!$D$19,-1)</f>
        <v>-1</v>
      </c>
      <c r="C1076" s="103">
        <f>MAX(E1076,$C$837)</f>
        <v>2000</v>
      </c>
      <c r="D1076" s="103" t="b">
        <f>IF(AND('AES Indiana Bill Calc.'!$D$17="HL3",'AES Indiana Bill Calc.'!$D$18="Yes 100%",'AES Indiana Bill Calc.'!$D$20="No"),'AES Indiana Bill Calc.'!$D$22)</f>
        <v>0</v>
      </c>
      <c r="E1076" s="103" t="b">
        <f>IF(AND('AES Indiana Bill Calc.'!$D$17="HL3",'AES Indiana Bill Calc.'!$D$18="Yes 100%",'AES Indiana Bill Calc.'!$D$20="No"),'AES Indiana Bill Calc.'!$D$21)</f>
        <v>0</v>
      </c>
      <c r="F1076" s="36" t="s">
        <v>69</v>
      </c>
      <c r="G1076" s="92" t="e">
        <f>SUM(J1076:M1076,R1076:AA1076)</f>
        <v>#N/A</v>
      </c>
      <c r="H1076" s="19" t="e">
        <f>IF(ISBLANK(B1076),0,+#REF!/B1076)</f>
        <v>#REF!</v>
      </c>
      <c r="J1076" s="51">
        <f>IF(ISBLANK(B1076),0,+J$1071)</f>
        <v>500</v>
      </c>
      <c r="K1076" s="17">
        <f>ROUND($B1076*K$1071,2)</f>
        <v>-0.04</v>
      </c>
      <c r="L1076" s="17">
        <f>IF(ISBLANK($C1076),0,IF($C1076&lt;$C$1072,ROUND($C$1072*$L$1071,2),IF($C1076&gt;L$1072,ROUND(L$1072*L$1071,2),ROUND($C1076*L$1071,2))))</f>
        <v>48180</v>
      </c>
      <c r="M1076" s="17">
        <f>IF($C1076&gt;L$1072,ROUND(($C1076-L$1072)*M$1071,2),0)</f>
        <v>0</v>
      </c>
      <c r="N1076" s="17">
        <f>K1076</f>
        <v>-0.04</v>
      </c>
      <c r="O1076" s="17"/>
      <c r="P1076" s="17"/>
      <c r="Q1076" s="17">
        <f>SUM(L1076:M1076)</f>
        <v>48180</v>
      </c>
      <c r="R1076" s="16" t="e">
        <f>ROUND(SUM(K1076:M1076)*(R1075-1),2)</f>
        <v>#N/A</v>
      </c>
      <c r="S1076" s="17">
        <f>ROUND($B1076*S$1071*S1075,2)</f>
        <v>0</v>
      </c>
      <c r="T1076" s="17">
        <f t="shared" ref="T1076:AA1076" si="72">ROUND($B1076*T$1071,2)</f>
        <v>0</v>
      </c>
      <c r="U1076" s="17">
        <f t="shared" si="72"/>
        <v>0</v>
      </c>
      <c r="V1076" s="8">
        <f t="shared" si="72"/>
        <v>-0.01</v>
      </c>
      <c r="W1076" s="17">
        <f t="shared" si="72"/>
        <v>0</v>
      </c>
      <c r="X1076" s="17">
        <f t="shared" si="72"/>
        <v>-0.01</v>
      </c>
      <c r="Y1076" s="17">
        <f t="shared" si="72"/>
        <v>0</v>
      </c>
      <c r="Z1076" s="17">
        <f t="shared" si="72"/>
        <v>0</v>
      </c>
      <c r="AA1076" s="17">
        <f t="shared" si="72"/>
        <v>0</v>
      </c>
      <c r="AB1076" s="19">
        <f>SUM(U$1071:AA$1071)+(-V$1071+V1028)</f>
        <v>1.1855000000000001E-2</v>
      </c>
      <c r="AC1076" s="67" t="str">
        <f>+F1076</f>
        <v>HL3</v>
      </c>
    </row>
    <row r="1077" spans="1:29" x14ac:dyDescent="0.2">
      <c r="A1077" s="9"/>
      <c r="B1077" s="103">
        <v>-1</v>
      </c>
      <c r="D1077" s="8"/>
      <c r="E1077" s="9"/>
      <c r="F1077" s="36"/>
      <c r="G1077" s="12"/>
      <c r="H1077" s="12"/>
      <c r="J1077" s="12"/>
      <c r="K1077" s="12"/>
      <c r="L1077" s="12"/>
      <c r="M1077" s="12"/>
      <c r="N1077" s="12"/>
      <c r="O1077" s="12"/>
      <c r="P1077" s="12"/>
      <c r="Q1077" s="12"/>
      <c r="R1077" s="38" t="e">
        <f>VLOOKUP((D1078),'Pwr Factor'!$A$1:$B$52,2)</f>
        <v>#N/A</v>
      </c>
      <c r="S1077" s="50">
        <v>0.5</v>
      </c>
      <c r="T1077" s="12"/>
      <c r="U1077" s="12"/>
      <c r="V1077" s="12"/>
      <c r="W1077" s="12"/>
      <c r="X1077" s="12"/>
      <c r="Y1077" s="12"/>
      <c r="Z1077" s="12"/>
      <c r="AA1077" s="12"/>
    </row>
    <row r="1078" spans="1:29" x14ac:dyDescent="0.2">
      <c r="A1078" s="1" t="s">
        <v>149</v>
      </c>
      <c r="B1078" s="103">
        <f>IF(AND('AES Indiana Bill Calc.'!$D$17="HL3",'AES Indiana Bill Calc.'!$D$18="Yes 50%",'AES Indiana Bill Calc.'!$D$20="No"),'AES Indiana Bill Calc.'!$D$19,-1)</f>
        <v>-1</v>
      </c>
      <c r="C1078" s="103">
        <f>MAX(E1078,$C$837)</f>
        <v>2000</v>
      </c>
      <c r="D1078" s="103" t="b">
        <f>IF(AND('AES Indiana Bill Calc.'!$D$17="HL3",'AES Indiana Bill Calc.'!$D$18="Yes 50%",'AES Indiana Bill Calc.'!$D$20="No"),'AES Indiana Bill Calc.'!$D$22)</f>
        <v>0</v>
      </c>
      <c r="E1078" s="103" t="b">
        <f>IF(AND('AES Indiana Bill Calc.'!$D$17="HL3",'AES Indiana Bill Calc.'!$D$18="Yes 50%",'AES Indiana Bill Calc.'!$D$20="No"),'AES Indiana Bill Calc.'!$D$21)</f>
        <v>0</v>
      </c>
      <c r="F1078" s="36" t="s">
        <v>69</v>
      </c>
      <c r="G1078" s="92" t="e">
        <f>SUM(J1078:M1078,R1078:AA1078)</f>
        <v>#N/A</v>
      </c>
      <c r="H1078" s="19" t="e">
        <f>IF(ISBLANK(B1078),0,+#REF!/B1078)</f>
        <v>#REF!</v>
      </c>
      <c r="J1078" s="51">
        <f>IF(ISBLANK(B1078),0,+J$1071)</f>
        <v>500</v>
      </c>
      <c r="K1078" s="17">
        <f>ROUND($B1078*K$1071,2)</f>
        <v>-0.04</v>
      </c>
      <c r="L1078" s="17">
        <f>IF(ISBLANK($C1078),0,IF($C1078&lt;$C$1072,ROUND($C$1072*$L$1071,2),IF($C1078&gt;L$1072,ROUND(L$1072*L$1071,2),ROUND($C1078*L$1071,2))))</f>
        <v>48180</v>
      </c>
      <c r="M1078" s="17">
        <f>IF($C1078&gt;L$1072,ROUND(($C1078-L$1072)*M$1071,2),0)</f>
        <v>0</v>
      </c>
      <c r="N1078" s="17">
        <f>K1078</f>
        <v>-0.04</v>
      </c>
      <c r="O1078" s="17"/>
      <c r="P1078" s="17"/>
      <c r="Q1078" s="17">
        <f>SUM(L1078:M1078)</f>
        <v>48180</v>
      </c>
      <c r="R1078" s="16" t="e">
        <f>ROUND(SUM(K1078:M1078)*(R1077-1),2)</f>
        <v>#N/A</v>
      </c>
      <c r="S1078" s="17">
        <f>ROUND($B1078*S$1071*S1077,2)</f>
        <v>0</v>
      </c>
      <c r="T1078" s="17">
        <f t="shared" ref="T1078:AA1078" si="73">ROUND($B1078*T$1071,2)</f>
        <v>0</v>
      </c>
      <c r="U1078" s="17">
        <f t="shared" si="73"/>
        <v>0</v>
      </c>
      <c r="V1078" s="8">
        <f t="shared" si="73"/>
        <v>-0.01</v>
      </c>
      <c r="W1078" s="17">
        <f t="shared" si="73"/>
        <v>0</v>
      </c>
      <c r="X1078" s="17">
        <f t="shared" si="73"/>
        <v>-0.01</v>
      </c>
      <c r="Y1078" s="17">
        <f t="shared" si="73"/>
        <v>0</v>
      </c>
      <c r="Z1078" s="17">
        <f t="shared" si="73"/>
        <v>0</v>
      </c>
      <c r="AA1078" s="17">
        <f t="shared" si="73"/>
        <v>0</v>
      </c>
      <c r="AB1078" s="19">
        <f>SUM(U$1071:AA$1071)+(-V$1071+V1061)</f>
        <v>1.1855000000000001E-2</v>
      </c>
      <c r="AC1078" s="67" t="str">
        <f>+F1078</f>
        <v>HL3</v>
      </c>
    </row>
    <row r="1079" spans="1:29" x14ac:dyDescent="0.2">
      <c r="A1079" s="9"/>
      <c r="B1079" s="103">
        <v>-1</v>
      </c>
      <c r="D1079" s="8"/>
      <c r="E1079" s="9"/>
      <c r="F1079" s="36"/>
      <c r="G1079" s="12"/>
      <c r="H1079" s="12"/>
      <c r="J1079" s="12"/>
      <c r="K1079" s="12"/>
      <c r="L1079" s="12"/>
      <c r="M1079" s="12"/>
      <c r="N1079" s="12"/>
      <c r="O1079" s="12"/>
      <c r="P1079" s="12"/>
      <c r="Q1079" s="12"/>
      <c r="R1079" s="38" t="e">
        <f>VLOOKUP((D1080),'Pwr Factor'!$A$1:$B$52,2)</f>
        <v>#N/A</v>
      </c>
      <c r="S1079" s="50">
        <v>0.25</v>
      </c>
      <c r="T1079" s="12"/>
      <c r="U1079" s="12"/>
      <c r="V1079" s="12"/>
      <c r="W1079" s="12"/>
      <c r="X1079" s="12"/>
      <c r="Y1079" s="12"/>
      <c r="Z1079" s="12"/>
      <c r="AA1079" s="12"/>
    </row>
    <row r="1080" spans="1:29" x14ac:dyDescent="0.2">
      <c r="A1080" s="1" t="s">
        <v>150</v>
      </c>
      <c r="B1080" s="103">
        <f>IF(AND('AES Indiana Bill Calc.'!$D$17="HL3",'AES Indiana Bill Calc.'!$D$18="Yes 25%",'AES Indiana Bill Calc.'!$D$20="No"),'AES Indiana Bill Calc.'!$D$19,-1)</f>
        <v>-1</v>
      </c>
      <c r="C1080" s="103">
        <f>MAX(E1080,$C$837)</f>
        <v>2000</v>
      </c>
      <c r="D1080" s="103" t="b">
        <f>IF(AND('AES Indiana Bill Calc.'!$D$17="HL3",'AES Indiana Bill Calc.'!$D$18="Yes 25%",'AES Indiana Bill Calc.'!$D$20="No"),'AES Indiana Bill Calc.'!$D$22)</f>
        <v>0</v>
      </c>
      <c r="E1080" s="103" t="b">
        <f>IF(AND('AES Indiana Bill Calc.'!$D$17="HL3",'AES Indiana Bill Calc.'!$D$18="Yes 25%",'AES Indiana Bill Calc.'!$D$20="No"),'AES Indiana Bill Calc.'!$D$21)</f>
        <v>0</v>
      </c>
      <c r="F1080" s="36" t="s">
        <v>69</v>
      </c>
      <c r="G1080" s="92" t="e">
        <f>SUM(J1080:M1080,R1080:AA1080)</f>
        <v>#N/A</v>
      </c>
      <c r="H1080" s="19" t="e">
        <f>IF(ISBLANK(B1080),0,+#REF!/B1080)</f>
        <v>#REF!</v>
      </c>
      <c r="J1080" s="51">
        <f>IF(ISBLANK(B1080),0,+J$1071)</f>
        <v>500</v>
      </c>
      <c r="K1080" s="17">
        <f>ROUND($B1080*K$1071,2)</f>
        <v>-0.04</v>
      </c>
      <c r="L1080" s="17">
        <f>IF(ISBLANK($C1080),0,IF($C1080&lt;$C$1072,ROUND($C$1072*$L$1071,2),IF($C1080&gt;L$1072,ROUND(L$1072*L$1071,2),ROUND($C1080*L$1071,2))))</f>
        <v>48180</v>
      </c>
      <c r="M1080" s="17">
        <f>IF($C1080&gt;L$1072,ROUND(($C1080-L$1072)*M$1071,2),0)</f>
        <v>0</v>
      </c>
      <c r="N1080" s="17">
        <f>K1080</f>
        <v>-0.04</v>
      </c>
      <c r="O1080" s="17"/>
      <c r="P1080" s="17"/>
      <c r="Q1080" s="17">
        <f>SUM(L1080:M1080)</f>
        <v>48180</v>
      </c>
      <c r="R1080" s="16" t="e">
        <f>ROUND(SUM(K1080:M1080)*(R1079-1),2)</f>
        <v>#N/A</v>
      </c>
      <c r="S1080" s="17">
        <f>ROUND($B1080*S$1071*S1079,2)</f>
        <v>0</v>
      </c>
      <c r="T1080" s="17">
        <f t="shared" ref="T1080:AA1080" si="74">ROUND($B1080*T$1071,2)</f>
        <v>0</v>
      </c>
      <c r="U1080" s="17">
        <f t="shared" si="74"/>
        <v>0</v>
      </c>
      <c r="V1080" s="8">
        <f t="shared" si="74"/>
        <v>-0.01</v>
      </c>
      <c r="W1080" s="17">
        <f t="shared" si="74"/>
        <v>0</v>
      </c>
      <c r="X1080" s="17">
        <f t="shared" si="74"/>
        <v>-0.01</v>
      </c>
      <c r="Y1080" s="17">
        <f t="shared" si="74"/>
        <v>0</v>
      </c>
      <c r="Z1080" s="17">
        <f t="shared" si="74"/>
        <v>0</v>
      </c>
      <c r="AA1080" s="17">
        <f t="shared" si="74"/>
        <v>0</v>
      </c>
      <c r="AB1080" s="19" t="e">
        <f>SUM(U$1071:AA$1071)+(-V$1071+#REF!)</f>
        <v>#REF!</v>
      </c>
      <c r="AC1080" s="67" t="str">
        <f>+F1080</f>
        <v>HL3</v>
      </c>
    </row>
    <row r="1081" spans="1:29" x14ac:dyDescent="0.2">
      <c r="A1081" s="9"/>
      <c r="B1081" s="103">
        <v>-1</v>
      </c>
      <c r="D1081" s="8"/>
      <c r="E1081" s="9"/>
      <c r="F1081" s="36"/>
      <c r="G1081" s="12"/>
      <c r="H1081" s="12"/>
      <c r="J1081" s="12"/>
      <c r="K1081" s="12"/>
      <c r="L1081" s="12"/>
      <c r="M1081" s="12"/>
      <c r="N1081" s="12"/>
      <c r="O1081" s="12"/>
      <c r="P1081" s="12"/>
      <c r="Q1081" s="12"/>
      <c r="R1081" s="38" t="e">
        <f>VLOOKUP((D1082),'Pwr Factor'!$A$1:$B$52,2)</f>
        <v>#N/A</v>
      </c>
      <c r="S1081" s="50">
        <v>0.1</v>
      </c>
      <c r="T1081" s="12"/>
      <c r="U1081" s="12"/>
      <c r="V1081" s="12"/>
      <c r="W1081" s="12"/>
      <c r="X1081" s="12"/>
      <c r="Y1081" s="12"/>
      <c r="Z1081" s="12"/>
      <c r="AA1081" s="12"/>
    </row>
    <row r="1082" spans="1:29" x14ac:dyDescent="0.2">
      <c r="A1082" s="1" t="s">
        <v>164</v>
      </c>
      <c r="B1082" s="103">
        <f>IF(AND('AES Indiana Bill Calc.'!$D$17="HL3",'AES Indiana Bill Calc.'!$D$18="Yes 10%",'AES Indiana Bill Calc.'!$D$20="No"),'AES Indiana Bill Calc.'!$D$19,-1)</f>
        <v>-1</v>
      </c>
      <c r="C1082" s="103">
        <f>MAX(E1082,$C$837)</f>
        <v>2000</v>
      </c>
      <c r="D1082" s="103" t="b">
        <f>IF(AND('AES Indiana Bill Calc.'!$D$17="HL3",'AES Indiana Bill Calc.'!$D$18="Yes 10%",'AES Indiana Bill Calc.'!$D$20="No"),'AES Indiana Bill Calc.'!$D$22)</f>
        <v>0</v>
      </c>
      <c r="E1082" s="103" t="b">
        <f>IF(AND('AES Indiana Bill Calc.'!$D$17="HL3",'AES Indiana Bill Calc.'!$D$18="Yes 10%",'AES Indiana Bill Calc.'!$D$20="No"),'AES Indiana Bill Calc.'!$D$21)</f>
        <v>0</v>
      </c>
      <c r="F1082" s="36" t="s">
        <v>69</v>
      </c>
      <c r="G1082" s="92" t="e">
        <f>SUM(J1082:M1082,R1082:AA1082)</f>
        <v>#N/A</v>
      </c>
      <c r="H1082" s="19" t="e">
        <f>IF(ISBLANK(B1082),0,+#REF!/B1082)</f>
        <v>#REF!</v>
      </c>
      <c r="J1082" s="51">
        <f>IF(ISBLANK(B1082),0,+J$1071)</f>
        <v>500</v>
      </c>
      <c r="K1082" s="17">
        <f>ROUND($B1082*K$1071,2)</f>
        <v>-0.04</v>
      </c>
      <c r="L1082" s="17">
        <f>IF(ISBLANK($C1082),0,IF($C1082&lt;$C$1072,ROUND($C$1072*$L$1071,2),IF($C1082&gt;L$1072,ROUND(L$1072*L$1071,2),ROUND($C1082*L$1071,2))))</f>
        <v>48180</v>
      </c>
      <c r="M1082" s="17">
        <f>IF($C1082&gt;L$1072,ROUND(($C1082-L$1072)*M$1071,2),0)</f>
        <v>0</v>
      </c>
      <c r="N1082" s="17">
        <f>K1082</f>
        <v>-0.04</v>
      </c>
      <c r="O1082" s="17"/>
      <c r="P1082" s="17"/>
      <c r="Q1082" s="17">
        <f>SUM(L1082:M1082)</f>
        <v>48180</v>
      </c>
      <c r="R1082" s="16" t="e">
        <f>ROUND(SUM(K1082:M1082)*(R1081-1),2)</f>
        <v>#N/A</v>
      </c>
      <c r="S1082" s="17">
        <f>ROUND($B1082*S$1071*S1081,2)</f>
        <v>0</v>
      </c>
      <c r="T1082" s="17">
        <f t="shared" ref="T1082:AA1082" si="75">ROUND($B1082*T$1071,2)</f>
        <v>0</v>
      </c>
      <c r="U1082" s="17">
        <f t="shared" si="75"/>
        <v>0</v>
      </c>
      <c r="V1082" s="8">
        <f t="shared" si="75"/>
        <v>-0.01</v>
      </c>
      <c r="W1082" s="17">
        <f t="shared" si="75"/>
        <v>0</v>
      </c>
      <c r="X1082" s="17">
        <f t="shared" si="75"/>
        <v>-0.01</v>
      </c>
      <c r="Y1082" s="17">
        <f t="shared" si="75"/>
        <v>0</v>
      </c>
      <c r="Z1082" s="17">
        <f t="shared" si="75"/>
        <v>0</v>
      </c>
      <c r="AA1082" s="17">
        <f t="shared" si="75"/>
        <v>0</v>
      </c>
      <c r="AB1082" s="19">
        <f>SUM(U$1071:AA$1071)+(-V$1071+V1063)</f>
        <v>1.1973000000000001E-2</v>
      </c>
      <c r="AC1082" s="67" t="str">
        <f>+F1082</f>
        <v>HL3</v>
      </c>
    </row>
    <row r="1083" spans="1:29" x14ac:dyDescent="0.2">
      <c r="A1083" s="9"/>
      <c r="B1083" s="103">
        <v>-1</v>
      </c>
      <c r="D1083" s="8"/>
      <c r="E1083" s="9"/>
      <c r="F1083" s="36"/>
      <c r="G1083" s="12"/>
      <c r="H1083" s="12"/>
      <c r="J1083" s="12"/>
      <c r="K1083" s="12"/>
      <c r="L1083" s="12"/>
      <c r="M1083" s="12"/>
      <c r="N1083" s="12"/>
      <c r="O1083" s="12"/>
      <c r="P1083" s="12"/>
      <c r="Q1083" s="12"/>
      <c r="R1083" s="38" t="e">
        <f>VLOOKUP((D1084),'Pwr Factor'!$A$1:$B$52,2)</f>
        <v>#N/A</v>
      </c>
      <c r="S1083" s="50">
        <v>0</v>
      </c>
      <c r="T1083" s="12"/>
      <c r="U1083" s="12"/>
      <c r="V1083" s="12"/>
      <c r="W1083" s="12"/>
      <c r="X1083" s="12"/>
      <c r="Y1083" s="12"/>
      <c r="Z1083" s="12"/>
      <c r="AA1083" s="12"/>
    </row>
    <row r="1084" spans="1:29" x14ac:dyDescent="0.2">
      <c r="A1084" s="1" t="s">
        <v>147</v>
      </c>
      <c r="B1084" s="103">
        <f>IF(AND('AES Indiana Bill Calc.'!$D$17="HL3",'AES Indiana Bill Calc.'!$D$18="No",'AES Indiana Bill Calc.'!$D$20="No"),'AES Indiana Bill Calc.'!$D$19,-1)</f>
        <v>-1</v>
      </c>
      <c r="C1084" s="103">
        <f>MAX(E1084,$C$837)</f>
        <v>2000</v>
      </c>
      <c r="D1084" s="103" t="b">
        <f>IF(AND('AES Indiana Bill Calc.'!$D$17="HL3",'AES Indiana Bill Calc.'!$D$18="No",'AES Indiana Bill Calc.'!$D$20="No"),'AES Indiana Bill Calc.'!$D$22)</f>
        <v>0</v>
      </c>
      <c r="E1084" s="103" t="b">
        <f>IF(AND('AES Indiana Bill Calc.'!$D$17="HL3",'AES Indiana Bill Calc.'!$D$18="No",'AES Indiana Bill Calc.'!$D$20="No"),'AES Indiana Bill Calc.'!$D$21)</f>
        <v>0</v>
      </c>
      <c r="F1084" s="36" t="s">
        <v>69</v>
      </c>
      <c r="G1084" s="92" t="e">
        <f>SUM(J1084:M1084,R1084:AA1084)</f>
        <v>#N/A</v>
      </c>
      <c r="H1084" s="19" t="e">
        <f>IF(ISBLANK(B1084),0,+#REF!/B1084)</f>
        <v>#REF!</v>
      </c>
      <c r="J1084" s="51">
        <f>IF(ISBLANK(B1084),0,+J$1071)</f>
        <v>500</v>
      </c>
      <c r="K1084" s="17">
        <f>ROUND($B1084*K$1071,2)</f>
        <v>-0.04</v>
      </c>
      <c r="L1084" s="17">
        <f>IF(ISBLANK($C1084),0,IF($C1084&lt;$C$1072,ROUND($C$1072*$L$1071,2),IF($C1084&gt;L$1072,ROUND(L$1072*L$1071,2),ROUND($C1084*L$1071,2))))</f>
        <v>48180</v>
      </c>
      <c r="M1084" s="17">
        <f>IF($C1084&gt;L$1072,ROUND(($C1084-L$1072)*M$1071,2),0)</f>
        <v>0</v>
      </c>
      <c r="N1084" s="17">
        <f>K1084</f>
        <v>-0.04</v>
      </c>
      <c r="O1084" s="17"/>
      <c r="P1084" s="17"/>
      <c r="Q1084" s="17">
        <f>SUM(L1084:M1084)</f>
        <v>48180</v>
      </c>
      <c r="R1084" s="16" t="e">
        <f>ROUND(SUM(K1084:M1084)*(R1083-1),2)</f>
        <v>#N/A</v>
      </c>
      <c r="S1084" s="17">
        <f>ROUND($B1084*S$1071*S1083,2)</f>
        <v>0</v>
      </c>
      <c r="T1084" s="17">
        <f t="shared" ref="T1084:AA1084" si="76">ROUND($B1084*T$1071,2)</f>
        <v>0</v>
      </c>
      <c r="U1084" s="17">
        <f t="shared" si="76"/>
        <v>0</v>
      </c>
      <c r="V1084" s="8">
        <f t="shared" si="76"/>
        <v>-0.01</v>
      </c>
      <c r="W1084" s="17">
        <f t="shared" si="76"/>
        <v>0</v>
      </c>
      <c r="X1084" s="17">
        <f t="shared" si="76"/>
        <v>-0.01</v>
      </c>
      <c r="Y1084" s="17">
        <f t="shared" si="76"/>
        <v>0</v>
      </c>
      <c r="Z1084" s="17">
        <f t="shared" si="76"/>
        <v>0</v>
      </c>
      <c r="AA1084" s="17">
        <f t="shared" si="76"/>
        <v>0</v>
      </c>
      <c r="AB1084" s="19">
        <f>SUM(U$1071:AA$1071)+(-V$1071+V1065)</f>
        <v>1.2796000000000002E-2</v>
      </c>
      <c r="AC1084" s="67" t="str">
        <f>+F1084</f>
        <v>HL3</v>
      </c>
    </row>
    <row r="1085" spans="1:29" x14ac:dyDescent="0.2">
      <c r="A1085" s="48"/>
      <c r="B1085" s="103">
        <v>-1</v>
      </c>
      <c r="D1085" s="8"/>
      <c r="E1085" s="9"/>
      <c r="F1085" s="36"/>
      <c r="G1085" s="12"/>
      <c r="H1085" s="12"/>
      <c r="J1085" s="12"/>
      <c r="K1085" s="12"/>
      <c r="L1085" s="12"/>
      <c r="M1085" s="12"/>
      <c r="N1085" s="12"/>
      <c r="O1085" s="12"/>
      <c r="P1085" s="12"/>
      <c r="Q1085" s="12"/>
      <c r="R1085" s="38" t="e">
        <f>VLOOKUP((D1086),'Pwr Factor'!$A$1:$B$52,2)</f>
        <v>#N/A</v>
      </c>
      <c r="S1085" s="50">
        <v>1</v>
      </c>
      <c r="T1085" s="12"/>
      <c r="U1085" s="12"/>
      <c r="V1085" s="12"/>
      <c r="W1085" s="12"/>
      <c r="X1085" s="12"/>
      <c r="Y1085" s="12"/>
      <c r="Z1085" s="12"/>
      <c r="AA1085" s="12"/>
    </row>
    <row r="1086" spans="1:29" x14ac:dyDescent="0.2">
      <c r="A1086" s="1" t="s">
        <v>148</v>
      </c>
      <c r="B1086" s="103">
        <f>IF(AND('AES Indiana Bill Calc.'!$D$17="HL3",'AES Indiana Bill Calc.'!$D$18="Yes 100%",'AES Indiana Bill Calc.'!$D$20="Yes Before 2018"),'AES Indiana Bill Calc.'!$D$19,-1)</f>
        <v>-1</v>
      </c>
      <c r="C1086" s="103">
        <f>MAX(E1086,$C$837)</f>
        <v>2000</v>
      </c>
      <c r="D1086" s="103" t="b">
        <f>IF(AND('AES Indiana Bill Calc.'!$D$17="HL3",'AES Indiana Bill Calc.'!$D$18="Yes 100%",'AES Indiana Bill Calc.'!$D$20="Yes Before 2018"),'AES Indiana Bill Calc.'!$D$22)</f>
        <v>0</v>
      </c>
      <c r="E1086" s="103" t="b">
        <f>IF(AND('AES Indiana Bill Calc.'!$D$17="HL3",'AES Indiana Bill Calc.'!$D$18="Yes 100%",'AES Indiana Bill Calc.'!$D$20="Yes Before 2018"),'AES Indiana Bill Calc.'!$D$21)</f>
        <v>0</v>
      </c>
      <c r="F1086" s="36" t="s">
        <v>247</v>
      </c>
      <c r="G1086" s="92" t="e">
        <f>SUM(J1086:M1086,R1086:AA1086)</f>
        <v>#N/A</v>
      </c>
      <c r="H1086" s="19" t="e">
        <f>IF(ISBLANK(B1086),0,+#REF!/B1086)</f>
        <v>#REF!</v>
      </c>
      <c r="J1086" s="51">
        <f>IF(ISBLANK(B1086),0,+J$1071)</f>
        <v>500</v>
      </c>
      <c r="K1086" s="17">
        <f>ROUND($B1086*K$1071,2)</f>
        <v>-0.04</v>
      </c>
      <c r="L1086" s="17">
        <f>IF(ISBLANK($C1086),0,IF($C1086&lt;$C$1072,ROUND($C$1072*$L$1071,2),IF($C1086&gt;L$1072,ROUND(L$1072*L$1071,2),ROUND($C1086*L$1071,2))))</f>
        <v>48180</v>
      </c>
      <c r="M1086" s="17">
        <f>IF($C1086&gt;L$1072,ROUND(($C1086-L$1072)*M$1071,2),0)</f>
        <v>0</v>
      </c>
      <c r="N1086" s="17">
        <f>K1086</f>
        <v>-0.04</v>
      </c>
      <c r="O1086" s="17"/>
      <c r="P1086" s="17"/>
      <c r="Q1086" s="17">
        <f>SUM(L1086:M1086)</f>
        <v>48180</v>
      </c>
      <c r="R1086" s="16" t="e">
        <f>ROUND(SUM(K1086:M1086)*(R1085-1),2)</f>
        <v>#N/A</v>
      </c>
      <c r="S1086" s="17">
        <f>ROUND($B1086*S$1071*S1085,2)</f>
        <v>0</v>
      </c>
      <c r="T1086" s="17">
        <f>ROUND($B1086*T$1071,2)</f>
        <v>0</v>
      </c>
      <c r="U1086" s="17">
        <f>ROUND($B1086*U$1071,2)</f>
        <v>0</v>
      </c>
      <c r="V1086" s="8">
        <f>ROUND($B1086*V$1062,2)</f>
        <v>0</v>
      </c>
      <c r="W1086" s="17">
        <f>ROUND($B1086*W$1071,2)</f>
        <v>0</v>
      </c>
      <c r="X1086" s="17">
        <f>ROUND($B1086*X$1071,2)</f>
        <v>-0.01</v>
      </c>
      <c r="Y1086" s="17">
        <f>ROUND($B1086*Y$1071,2)</f>
        <v>0</v>
      </c>
      <c r="Z1086" s="17">
        <f>ROUND($B1086*Z$1071,2)</f>
        <v>0</v>
      </c>
      <c r="AA1086" s="17">
        <f>ROUND($B1086*AA$1071,2)</f>
        <v>0</v>
      </c>
      <c r="AB1086" s="19">
        <f>SUM(U$1071:AA$1071)+(-V$1071+V1067)</f>
        <v>1.1855000000000001E-2</v>
      </c>
      <c r="AC1086" s="67" t="str">
        <f>+F1086</f>
        <v>HL37</v>
      </c>
    </row>
    <row r="1087" spans="1:29" x14ac:dyDescent="0.2">
      <c r="A1087" s="9"/>
      <c r="B1087" s="103">
        <v>-1</v>
      </c>
      <c r="D1087" s="8"/>
      <c r="E1087" s="9"/>
      <c r="F1087" s="36"/>
      <c r="G1087" s="12"/>
      <c r="H1087" s="12"/>
      <c r="J1087" s="12"/>
      <c r="K1087" s="12"/>
      <c r="L1087" s="12"/>
      <c r="M1087" s="12"/>
      <c r="N1087" s="12"/>
      <c r="O1087" s="12"/>
      <c r="P1087" s="12"/>
      <c r="Q1087" s="12"/>
      <c r="R1087" s="38" t="e">
        <f>VLOOKUP((D1088),'Pwr Factor'!$A$1:$B$52,2)</f>
        <v>#N/A</v>
      </c>
      <c r="S1087" s="50">
        <v>0.5</v>
      </c>
      <c r="T1087" s="12"/>
      <c r="U1087" s="12"/>
      <c r="V1087" s="12"/>
      <c r="W1087" s="12"/>
      <c r="X1087" s="12"/>
      <c r="Y1087" s="12"/>
      <c r="Z1087" s="12"/>
      <c r="AA1087" s="12"/>
    </row>
    <row r="1088" spans="1:29" x14ac:dyDescent="0.2">
      <c r="A1088" s="1" t="s">
        <v>149</v>
      </c>
      <c r="B1088" s="103">
        <f>IF(AND('AES Indiana Bill Calc.'!$D$17="HL3",'AES Indiana Bill Calc.'!$D$18="Yes 50%",'AES Indiana Bill Calc.'!$D$20="Yes Before 2018"),'AES Indiana Bill Calc.'!$D$19,-1)</f>
        <v>-1</v>
      </c>
      <c r="C1088" s="103">
        <f>MAX(E1088,$C$837)</f>
        <v>2000</v>
      </c>
      <c r="D1088" s="103" t="b">
        <f>IF(AND('AES Indiana Bill Calc.'!$D$17="HL3",'AES Indiana Bill Calc.'!$D$18="Yes 50%",'AES Indiana Bill Calc.'!$D$20="Yes Before 2018"),'AES Indiana Bill Calc.'!$D$22)</f>
        <v>0</v>
      </c>
      <c r="E1088" s="103" t="b">
        <f>IF(AND('AES Indiana Bill Calc.'!$D$17="HL3",'AES Indiana Bill Calc.'!$D$18="Yes 50%",'AES Indiana Bill Calc.'!$D$20="Yes Before 2018"),'AES Indiana Bill Calc.'!$D$21)</f>
        <v>0</v>
      </c>
      <c r="F1088" s="36" t="s">
        <v>247</v>
      </c>
      <c r="G1088" s="92" t="e">
        <f>SUM(J1088:M1088,R1088:AA1088)</f>
        <v>#N/A</v>
      </c>
      <c r="H1088" s="19" t="e">
        <f>IF(ISBLANK(B1088),0,+#REF!/B1088)</f>
        <v>#REF!</v>
      </c>
      <c r="J1088" s="51">
        <f>IF(ISBLANK(B1088),0,+J$1071)</f>
        <v>500</v>
      </c>
      <c r="K1088" s="17">
        <f>ROUND($B1088*K$1071,2)</f>
        <v>-0.04</v>
      </c>
      <c r="L1088" s="17">
        <f>IF(ISBLANK($C1088),0,IF($C1088&lt;$C$1072,ROUND($C$1072*$L$1071,2),IF($C1088&gt;L$1072,ROUND(L$1072*L$1071,2),ROUND($C1088*L$1071,2))))</f>
        <v>48180</v>
      </c>
      <c r="M1088" s="17">
        <f>IF($C1088&gt;L$1072,ROUND(($C1088-L$1072)*M$1071,2),0)</f>
        <v>0</v>
      </c>
      <c r="N1088" s="17">
        <f>K1088</f>
        <v>-0.04</v>
      </c>
      <c r="O1088" s="17"/>
      <c r="P1088" s="17"/>
      <c r="Q1088" s="17">
        <f>SUM(L1088:M1088)</f>
        <v>48180</v>
      </c>
      <c r="R1088" s="16" t="e">
        <f>ROUND(SUM(K1088:M1088)*(R1087-1),2)</f>
        <v>#N/A</v>
      </c>
      <c r="S1088" s="17">
        <f>ROUND($B1088*S$1071*S1087,2)</f>
        <v>0</v>
      </c>
      <c r="T1088" s="17">
        <f>ROUND($B1088*T$1071,2)</f>
        <v>0</v>
      </c>
      <c r="U1088" s="17">
        <f>ROUND($B1088*U$1071,2)</f>
        <v>0</v>
      </c>
      <c r="V1088" s="8">
        <f>ROUND($B1088*V$1062,2)</f>
        <v>0</v>
      </c>
      <c r="W1088" s="17">
        <f>ROUND($B1088*W$1071,2)</f>
        <v>0</v>
      </c>
      <c r="X1088" s="17">
        <f>ROUND($B1088*X$1071,2)</f>
        <v>-0.01</v>
      </c>
      <c r="Y1088" s="17">
        <f>ROUND($B1088*Y$1071,2)</f>
        <v>0</v>
      </c>
      <c r="Z1088" s="17">
        <f>ROUND($B1088*Z$1071,2)</f>
        <v>0</v>
      </c>
      <c r="AA1088" s="17">
        <f>ROUND($B1088*AA$1071,2)</f>
        <v>0</v>
      </c>
      <c r="AB1088" s="19">
        <f>SUM(U$1071:AA$1071)+(-V$1071+V1072)</f>
        <v>1.1855000000000001E-2</v>
      </c>
      <c r="AC1088" s="67" t="str">
        <f>+F1088</f>
        <v>HL37</v>
      </c>
    </row>
    <row r="1089" spans="1:29" x14ac:dyDescent="0.2">
      <c r="A1089" s="9"/>
      <c r="B1089" s="103">
        <v>-1</v>
      </c>
      <c r="D1089" s="8"/>
      <c r="E1089" s="9"/>
      <c r="F1089" s="36"/>
      <c r="G1089" s="12"/>
      <c r="H1089" s="12"/>
      <c r="J1089" s="12"/>
      <c r="K1089" s="12"/>
      <c r="L1089" s="12"/>
      <c r="M1089" s="12"/>
      <c r="N1089" s="12"/>
      <c r="O1089" s="12"/>
      <c r="P1089" s="12"/>
      <c r="Q1089" s="12"/>
      <c r="R1089" s="38" t="e">
        <f>VLOOKUP((D1090),'Pwr Factor'!$A$1:$B$52,2)</f>
        <v>#N/A</v>
      </c>
      <c r="S1089" s="50">
        <v>0.25</v>
      </c>
      <c r="T1089" s="12"/>
      <c r="U1089" s="12"/>
      <c r="V1089" s="12"/>
      <c r="W1089" s="12"/>
      <c r="X1089" s="12"/>
      <c r="Y1089" s="12"/>
      <c r="Z1089" s="12"/>
      <c r="AA1089" s="12"/>
    </row>
    <row r="1090" spans="1:29" x14ac:dyDescent="0.2">
      <c r="A1090" s="1" t="s">
        <v>150</v>
      </c>
      <c r="B1090" s="103">
        <f>IF(AND('AES Indiana Bill Calc.'!$D$17="HL3",'AES Indiana Bill Calc.'!$D$18="Yes 25%",'AES Indiana Bill Calc.'!$D$20="Yes Before 2018"),'AES Indiana Bill Calc.'!$D$19,-1)</f>
        <v>-1</v>
      </c>
      <c r="C1090" s="103">
        <f>MAX(E1090,$C$837)</f>
        <v>2000</v>
      </c>
      <c r="D1090" s="103" t="b">
        <f>IF(AND('AES Indiana Bill Calc.'!$D$17="HL3",'AES Indiana Bill Calc.'!$D$18="Yes 25%",'AES Indiana Bill Calc.'!$D$20="Yes Before 2018"),'AES Indiana Bill Calc.'!$D$22)</f>
        <v>0</v>
      </c>
      <c r="E1090" s="103" t="b">
        <f>IF(AND('AES Indiana Bill Calc.'!$D$17="HL3",'AES Indiana Bill Calc.'!$D$18="Yes 25%",'AES Indiana Bill Calc.'!$D$20="Yes Before 2018"),'AES Indiana Bill Calc.'!$D$21)</f>
        <v>0</v>
      </c>
      <c r="F1090" s="36" t="s">
        <v>247</v>
      </c>
      <c r="G1090" s="92" t="e">
        <f>SUM(J1090:M1090,R1090:AA1090)</f>
        <v>#N/A</v>
      </c>
      <c r="H1090" s="19" t="e">
        <f>IF(ISBLANK(B1090),0,+#REF!/B1090)</f>
        <v>#REF!</v>
      </c>
      <c r="J1090" s="51">
        <f>IF(ISBLANK(B1090),0,+J$1071)</f>
        <v>500</v>
      </c>
      <c r="K1090" s="17">
        <f>ROUND($B1090*K$1071,2)</f>
        <v>-0.04</v>
      </c>
      <c r="L1090" s="17">
        <f>IF(ISBLANK($C1090),0,IF($C1090&lt;$C$1072,ROUND($C$1072*$L$1071,2),IF($C1090&gt;L$1072,ROUND(L$1072*L$1071,2),ROUND($C1090*L$1071,2))))</f>
        <v>48180</v>
      </c>
      <c r="M1090" s="17">
        <f>IF($C1090&gt;L$1072,ROUND(($C1090-L$1072)*M$1071,2),0)</f>
        <v>0</v>
      </c>
      <c r="N1090" s="17">
        <f>K1090</f>
        <v>-0.04</v>
      </c>
      <c r="O1090" s="17"/>
      <c r="P1090" s="17"/>
      <c r="Q1090" s="17">
        <f>SUM(L1090:M1090)</f>
        <v>48180</v>
      </c>
      <c r="R1090" s="16" t="e">
        <f>ROUND(SUM(K1090:M1090)*(R1089-1),2)</f>
        <v>#N/A</v>
      </c>
      <c r="S1090" s="17">
        <f>ROUND($B1090*S$1071*S1089,2)</f>
        <v>0</v>
      </c>
      <c r="T1090" s="17">
        <f>ROUND($B1090*T$1071,2)</f>
        <v>0</v>
      </c>
      <c r="U1090" s="17">
        <f>ROUND($B1090*U$1071,2)</f>
        <v>0</v>
      </c>
      <c r="V1090" s="8">
        <f>ROUND($B1090*V$1062,2)</f>
        <v>0</v>
      </c>
      <c r="W1090" s="17">
        <f>ROUND($B1090*W$1071,2)</f>
        <v>0</v>
      </c>
      <c r="X1090" s="17">
        <f>ROUND($B1090*X$1071,2)</f>
        <v>-0.01</v>
      </c>
      <c r="Y1090" s="17">
        <f>ROUND($B1090*Y$1071,2)</f>
        <v>0</v>
      </c>
      <c r="Z1090" s="17">
        <f>ROUND($B1090*Z$1071,2)</f>
        <v>0</v>
      </c>
      <c r="AA1090" s="17">
        <f>ROUND($B1090*AA$1071,2)</f>
        <v>0</v>
      </c>
      <c r="AB1090" s="19" t="e">
        <f>SUM(U$1071:AA$1071)+(-V$1071+V1074)</f>
        <v>#VALUE!</v>
      </c>
      <c r="AC1090" s="67" t="str">
        <f>+F1090</f>
        <v>HL37</v>
      </c>
    </row>
    <row r="1091" spans="1:29" x14ac:dyDescent="0.2">
      <c r="A1091" s="9"/>
      <c r="B1091" s="103">
        <v>-1</v>
      </c>
      <c r="D1091" s="8"/>
      <c r="E1091" s="9"/>
      <c r="F1091" s="36"/>
      <c r="G1091" s="12"/>
      <c r="H1091" s="12"/>
      <c r="J1091" s="12"/>
      <c r="K1091" s="12"/>
      <c r="L1091" s="12"/>
      <c r="M1091" s="12"/>
      <c r="N1091" s="12"/>
      <c r="O1091" s="12"/>
      <c r="P1091" s="12"/>
      <c r="Q1091" s="12"/>
      <c r="R1091" s="38" t="e">
        <f>VLOOKUP((D1092),'Pwr Factor'!$A$1:$B$52,2)</f>
        <v>#N/A</v>
      </c>
      <c r="S1091" s="50">
        <v>0.1</v>
      </c>
      <c r="T1091" s="12"/>
      <c r="U1091" s="12"/>
      <c r="V1091" s="12"/>
      <c r="W1091" s="12"/>
      <c r="X1091" s="12"/>
      <c r="Y1091" s="12"/>
      <c r="Z1091" s="12"/>
      <c r="AA1091" s="12"/>
    </row>
    <row r="1092" spans="1:29" x14ac:dyDescent="0.2">
      <c r="A1092" s="1" t="s">
        <v>164</v>
      </c>
      <c r="B1092" s="103">
        <f>IF(AND('AES Indiana Bill Calc.'!$D$17="HL3",'AES Indiana Bill Calc.'!$D$18="Yes 10%",'AES Indiana Bill Calc.'!$D$20="Yes Before 2018"),'AES Indiana Bill Calc.'!$D$19,-1)</f>
        <v>-1</v>
      </c>
      <c r="C1092" s="103">
        <f>MAX(E1092,$C$837)</f>
        <v>2000</v>
      </c>
      <c r="D1092" s="103" t="b">
        <f>IF(AND('AES Indiana Bill Calc.'!$D$17="HL3",'AES Indiana Bill Calc.'!$D$18="Yes 10%",'AES Indiana Bill Calc.'!$D$20="Yes Before 2018"),'AES Indiana Bill Calc.'!$D$22)</f>
        <v>0</v>
      </c>
      <c r="E1092" s="103" t="b">
        <f>IF(AND('AES Indiana Bill Calc.'!$D$17="HL3",'AES Indiana Bill Calc.'!$D$18="Yes 10%",'AES Indiana Bill Calc.'!$D$20="Yes Before 2018"),'AES Indiana Bill Calc.'!$D$21)</f>
        <v>0</v>
      </c>
      <c r="F1092" s="36" t="s">
        <v>247</v>
      </c>
      <c r="G1092" s="92" t="e">
        <f>SUM(J1092:M1092,R1092:AA1092)</f>
        <v>#N/A</v>
      </c>
      <c r="H1092" s="19" t="e">
        <f>IF(ISBLANK(B1092),0,+#REF!/B1092)</f>
        <v>#REF!</v>
      </c>
      <c r="J1092" s="51">
        <f>IF(ISBLANK(B1092),0,+J$1071)</f>
        <v>500</v>
      </c>
      <c r="K1092" s="17">
        <f>ROUND($B1092*K$1071,2)</f>
        <v>-0.04</v>
      </c>
      <c r="L1092" s="17">
        <f>IF(ISBLANK($C1092),0,IF($C1092&lt;$C$1072,ROUND($C$1072*$L$1071,2),IF($C1092&gt;L$1072,ROUND(L$1072*L$1071,2),ROUND($C1092*L$1071,2))))</f>
        <v>48180</v>
      </c>
      <c r="M1092" s="17">
        <f>IF($C1092&gt;L$1072,ROUND(($C1092-L$1072)*M$1071,2),0)</f>
        <v>0</v>
      </c>
      <c r="N1092" s="17">
        <f>K1092</f>
        <v>-0.04</v>
      </c>
      <c r="O1092" s="17"/>
      <c r="P1092" s="17"/>
      <c r="Q1092" s="17">
        <f>SUM(L1092:M1092)</f>
        <v>48180</v>
      </c>
      <c r="R1092" s="16" t="e">
        <f>ROUND(SUM(K1092:M1092)*(R1091-1),2)</f>
        <v>#N/A</v>
      </c>
      <c r="S1092" s="17">
        <f>ROUND($B1092*S$1071*S1091,2)</f>
        <v>0</v>
      </c>
      <c r="T1092" s="17">
        <f>ROUND($B1092*T$1071,2)</f>
        <v>0</v>
      </c>
      <c r="U1092" s="17">
        <f>ROUND($B1092*U$1071,2)</f>
        <v>0</v>
      </c>
      <c r="V1092" s="8">
        <f>ROUND($B1092*V$1062,2)</f>
        <v>0</v>
      </c>
      <c r="W1092" s="17">
        <f>ROUND($B1092*W$1071,2)</f>
        <v>0</v>
      </c>
      <c r="X1092" s="17">
        <f>ROUND($B1092*X$1071,2)</f>
        <v>-0.01</v>
      </c>
      <c r="Y1092" s="17">
        <f>ROUND($B1092*Y$1071,2)</f>
        <v>0</v>
      </c>
      <c r="Z1092" s="17">
        <f>ROUND($B1092*Z$1071,2)</f>
        <v>0</v>
      </c>
      <c r="AA1092" s="17">
        <f>ROUND($B1092*AA$1071,2)</f>
        <v>0</v>
      </c>
      <c r="AB1092" s="19">
        <f>SUM(U$1071:AA$1071)+(-V$1071+V1076)</f>
        <v>1.8550000000000025E-3</v>
      </c>
      <c r="AC1092" s="67" t="str">
        <f>+F1092</f>
        <v>HL37</v>
      </c>
    </row>
    <row r="1093" spans="1:29" x14ac:dyDescent="0.2">
      <c r="A1093" s="9"/>
      <c r="B1093" s="103">
        <v>-1</v>
      </c>
      <c r="D1093" s="8"/>
      <c r="E1093" s="9"/>
      <c r="F1093" s="36"/>
      <c r="G1093" s="12"/>
      <c r="H1093" s="12"/>
      <c r="J1093" s="12"/>
      <c r="K1093" s="12"/>
      <c r="L1093" s="12"/>
      <c r="M1093" s="12"/>
      <c r="N1093" s="12"/>
      <c r="O1093" s="12"/>
      <c r="P1093" s="12"/>
      <c r="Q1093" s="12"/>
      <c r="R1093" s="38" t="e">
        <f>VLOOKUP((D1094),'Pwr Factor'!$A$1:$B$52,2)</f>
        <v>#N/A</v>
      </c>
      <c r="S1093" s="50">
        <v>0</v>
      </c>
      <c r="T1093" s="12"/>
      <c r="U1093" s="12"/>
      <c r="V1093" s="12"/>
      <c r="W1093" s="12"/>
      <c r="X1093" s="12"/>
      <c r="Y1093" s="12"/>
      <c r="Z1093" s="12"/>
      <c r="AA1093" s="12"/>
    </row>
    <row r="1094" spans="1:29" x14ac:dyDescent="0.2">
      <c r="A1094" s="1" t="s">
        <v>147</v>
      </c>
      <c r="B1094" s="103">
        <f>IF(AND('AES Indiana Bill Calc.'!$D$17="HL3",'AES Indiana Bill Calc.'!$D$18="No",'AES Indiana Bill Calc.'!$D$20="Yes Before 2018"),'AES Indiana Bill Calc.'!$D$19,-1)</f>
        <v>-1</v>
      </c>
      <c r="C1094" s="103">
        <f>MAX(E1094,$C$837)</f>
        <v>2000</v>
      </c>
      <c r="D1094" s="103" t="b">
        <f>IF(AND('AES Indiana Bill Calc.'!$D$17="HL3",'AES Indiana Bill Calc.'!$D$18="No",'AES Indiana Bill Calc.'!$D$20="Yes Before 2018"),'AES Indiana Bill Calc.'!$D$22)</f>
        <v>0</v>
      </c>
      <c r="E1094" s="103" t="b">
        <f>IF(AND('AES Indiana Bill Calc.'!$D$17="HL3",'AES Indiana Bill Calc.'!$D$18="No",'AES Indiana Bill Calc.'!$D$20="Yes Before 2018"),'AES Indiana Bill Calc.'!$D$21)</f>
        <v>0</v>
      </c>
      <c r="F1094" s="36" t="s">
        <v>247</v>
      </c>
      <c r="G1094" s="92" t="e">
        <f>SUM(J1094:M1094,R1094:AA1094)</f>
        <v>#N/A</v>
      </c>
      <c r="H1094" s="19" t="e">
        <f>IF(ISBLANK(B1094),0,+#REF!/B1094)</f>
        <v>#REF!</v>
      </c>
      <c r="J1094" s="51">
        <f>IF(ISBLANK(B1094),0,+J$1071)</f>
        <v>500</v>
      </c>
      <c r="K1094" s="17">
        <f>ROUND($B1094*K$1071,2)</f>
        <v>-0.04</v>
      </c>
      <c r="L1094" s="17">
        <f>IF(ISBLANK($C1094),0,IF($C1094&lt;$C$1072,ROUND($C$1072*$L$1071,2),IF($C1094&gt;L$1072,ROUND(L$1072*L$1071,2),ROUND($C1094*L$1071,2))))</f>
        <v>48180</v>
      </c>
      <c r="M1094" s="17">
        <f>IF($C1094&gt;L$1072,ROUND(($C1094-L$1072)*M$1071,2),0)</f>
        <v>0</v>
      </c>
      <c r="N1094" s="17">
        <f>K1094</f>
        <v>-0.04</v>
      </c>
      <c r="O1094" s="17"/>
      <c r="P1094" s="17"/>
      <c r="Q1094" s="17">
        <f>SUM(L1094:M1094)</f>
        <v>48180</v>
      </c>
      <c r="R1094" s="16" t="e">
        <f>ROUND(SUM(K1094:M1094)*(R1093-1),2)</f>
        <v>#N/A</v>
      </c>
      <c r="S1094" s="17">
        <f>ROUND($B1094*S$1071*S1093,2)</f>
        <v>0</v>
      </c>
      <c r="T1094" s="17">
        <f>ROUND($B1094*T$1071,2)</f>
        <v>0</v>
      </c>
      <c r="U1094" s="17">
        <f>ROUND($B1094*U$1071,2)</f>
        <v>0</v>
      </c>
      <c r="V1094" s="8">
        <f>ROUND($B1094*V$1062,2)</f>
        <v>0</v>
      </c>
      <c r="W1094" s="17">
        <f>ROUND($B1094*W$1071,2)</f>
        <v>0</v>
      </c>
      <c r="X1094" s="17">
        <f>ROUND($B1094*X$1071,2)</f>
        <v>-0.01</v>
      </c>
      <c r="Y1094" s="17">
        <f>ROUND($B1094*Y$1071,2)</f>
        <v>0</v>
      </c>
      <c r="Z1094" s="17">
        <f>ROUND($B1094*Z$1071,2)</f>
        <v>0</v>
      </c>
      <c r="AA1094" s="17">
        <f>ROUND($B1094*AA$1071,2)</f>
        <v>0</v>
      </c>
      <c r="AB1094" s="19">
        <f>SUM(U$1071:AA$1071)+(-V$1071+V1078)</f>
        <v>1.8550000000000025E-3</v>
      </c>
      <c r="AC1094" s="67" t="str">
        <f>+F1094</f>
        <v>HL37</v>
      </c>
    </row>
    <row r="1095" spans="1:29" x14ac:dyDescent="0.2">
      <c r="A1095" s="48"/>
      <c r="B1095" s="103">
        <v>-1</v>
      </c>
      <c r="D1095" s="8"/>
      <c r="E1095" s="9"/>
      <c r="F1095" s="36"/>
      <c r="G1095" s="12"/>
      <c r="H1095" s="12"/>
      <c r="J1095" s="12"/>
      <c r="K1095" s="12"/>
      <c r="L1095" s="12"/>
      <c r="M1095" s="12"/>
      <c r="N1095" s="12"/>
      <c r="O1095" s="12"/>
      <c r="P1095" s="12"/>
      <c r="Q1095" s="12"/>
      <c r="R1095" s="38" t="e">
        <f>VLOOKUP((D1096),'Pwr Factor'!$A$1:$B$52,2)</f>
        <v>#N/A</v>
      </c>
      <c r="S1095" s="50">
        <v>1</v>
      </c>
      <c r="T1095" s="12"/>
      <c r="U1095" s="12"/>
      <c r="V1095" s="12"/>
      <c r="W1095" s="12"/>
      <c r="X1095" s="12"/>
      <c r="Y1095" s="12"/>
      <c r="Z1095" s="12"/>
      <c r="AA1095" s="12"/>
    </row>
    <row r="1096" spans="1:29" x14ac:dyDescent="0.2">
      <c r="A1096" s="1" t="s">
        <v>148</v>
      </c>
      <c r="B1096" s="103">
        <f>IF(AND('AES Indiana Bill Calc.'!$D$17="HL3",'AES Indiana Bill Calc.'!$D$18="Yes 100%",'AES Indiana Bill Calc.'!$D$20="Yes 2018"),'AES Indiana Bill Calc.'!$D$19,-1)</f>
        <v>-1</v>
      </c>
      <c r="C1096" s="103">
        <f>MAX(E1096,$C$837)</f>
        <v>2000</v>
      </c>
      <c r="D1096" s="103" t="b">
        <f>IF(AND('AES Indiana Bill Calc.'!$D$17="HL3",'AES Indiana Bill Calc.'!$D$18="Yes 100%",'AES Indiana Bill Calc.'!$D$20="Yes 2018"),'AES Indiana Bill Calc.'!$D$22)</f>
        <v>0</v>
      </c>
      <c r="E1096" s="103" t="b">
        <f>IF(AND('AES Indiana Bill Calc.'!$D$17="HL3",'AES Indiana Bill Calc.'!$D$18="Yes 100%",'AES Indiana Bill Calc.'!$D$20="Yes 2018"),'AES Indiana Bill Calc.'!$D$21)</f>
        <v>0</v>
      </c>
      <c r="F1096" s="36" t="s">
        <v>248</v>
      </c>
      <c r="G1096" s="92" t="e">
        <f>SUM(J1096:M1096,R1096:AA1096)</f>
        <v>#N/A</v>
      </c>
      <c r="H1096" s="19" t="e">
        <f>IF(ISBLANK(B1096),0,+#REF!/B1096)</f>
        <v>#REF!</v>
      </c>
      <c r="J1096" s="51">
        <f>IF(ISBLANK(B1096),0,+J$1071)</f>
        <v>500</v>
      </c>
      <c r="K1096" s="17">
        <f>ROUND($B1096*K$1071,2)</f>
        <v>-0.04</v>
      </c>
      <c r="L1096" s="17">
        <f>IF(ISBLANK($C1096),0,IF($C1096&lt;$C$1072,ROUND($C$1072*$L$1071,2),IF($C1096&gt;L$1072,ROUND(L$1072*L$1071,2),ROUND($C1096*L$1071,2))))</f>
        <v>48180</v>
      </c>
      <c r="M1096" s="17">
        <f>IF($C1096&gt;L$1072,ROUND(($C1096-L$1072)*M$1071,2),0)</f>
        <v>0</v>
      </c>
      <c r="N1096" s="17">
        <f>K1096</f>
        <v>-0.04</v>
      </c>
      <c r="O1096" s="17"/>
      <c r="P1096" s="17"/>
      <c r="Q1096" s="17">
        <f>SUM(L1096:M1096)</f>
        <v>48180</v>
      </c>
      <c r="R1096" s="16" t="e">
        <f>ROUND(SUM(K1096:M1096)*(R1095-1),2)</f>
        <v>#N/A</v>
      </c>
      <c r="S1096" s="17">
        <f>ROUND($B1096*S$1071*S1095,2)</f>
        <v>0</v>
      </c>
      <c r="T1096" s="17">
        <f>ROUND($B1096*T$1071,2)</f>
        <v>0</v>
      </c>
      <c r="U1096" s="17">
        <f>ROUND($B1096*U$1071,2)</f>
        <v>0</v>
      </c>
      <c r="V1096" s="8">
        <f>ROUND($B1096*V$1063,2)</f>
        <v>0</v>
      </c>
      <c r="W1096" s="17">
        <f>ROUND($B1096*W$1071,2)</f>
        <v>0</v>
      </c>
      <c r="X1096" s="17">
        <f>ROUND($B1096*X$1071,2)</f>
        <v>-0.01</v>
      </c>
      <c r="Y1096" s="17">
        <f>ROUND($B1096*Y$1071,2)</f>
        <v>0</v>
      </c>
      <c r="Z1096" s="17">
        <f>ROUND($B1096*Z$1071,2)</f>
        <v>0</v>
      </c>
      <c r="AA1096" s="17">
        <f>ROUND($B1096*AA$1071,2)</f>
        <v>0</v>
      </c>
      <c r="AB1096" s="19">
        <f>SUM(U$1071:AA$1071)+(-V$1071+V1080)</f>
        <v>1.8550000000000025E-3</v>
      </c>
      <c r="AC1096" s="67" t="str">
        <f>+F1096</f>
        <v>HL38</v>
      </c>
    </row>
    <row r="1097" spans="1:29" x14ac:dyDescent="0.2">
      <c r="A1097" s="48"/>
      <c r="B1097" s="103">
        <v>-1</v>
      </c>
      <c r="D1097" s="8"/>
      <c r="E1097" s="9"/>
      <c r="F1097" s="36"/>
      <c r="G1097" s="12"/>
      <c r="H1097" s="12"/>
      <c r="J1097" s="12"/>
      <c r="K1097" s="12"/>
      <c r="L1097" s="12"/>
      <c r="M1097" s="12"/>
      <c r="N1097" s="12"/>
      <c r="O1097" s="12"/>
      <c r="P1097" s="12"/>
      <c r="Q1097" s="12"/>
      <c r="R1097" s="38" t="e">
        <f>VLOOKUP((D1098),'Pwr Factor'!$A$1:$B$52,2)</f>
        <v>#N/A</v>
      </c>
      <c r="S1097" s="50">
        <v>0.5</v>
      </c>
      <c r="T1097" s="12"/>
      <c r="U1097" s="12"/>
      <c r="V1097" s="12"/>
      <c r="W1097" s="12"/>
      <c r="X1097" s="12"/>
      <c r="Y1097" s="12"/>
      <c r="Z1097" s="12"/>
      <c r="AA1097" s="12"/>
    </row>
    <row r="1098" spans="1:29" x14ac:dyDescent="0.2">
      <c r="A1098" s="1" t="s">
        <v>149</v>
      </c>
      <c r="B1098" s="103">
        <f>IF(AND('AES Indiana Bill Calc.'!$D$17="HL3",'AES Indiana Bill Calc.'!$D$18="Yes 50%",'AES Indiana Bill Calc.'!$D$20="Yes 2018"),'AES Indiana Bill Calc.'!$D$19,-1)</f>
        <v>-1</v>
      </c>
      <c r="C1098" s="103">
        <f>MAX(E1098,$C$837)</f>
        <v>2000</v>
      </c>
      <c r="D1098" s="103" t="b">
        <f>IF(AND('AES Indiana Bill Calc.'!$D$17="HL3",'AES Indiana Bill Calc.'!$D$18="Yes 50%",'AES Indiana Bill Calc.'!$D$20="Yes 2018"),'AES Indiana Bill Calc.'!$D$22)</f>
        <v>0</v>
      </c>
      <c r="E1098" s="103" t="b">
        <f>IF(AND('AES Indiana Bill Calc.'!$D$17="HL3",'AES Indiana Bill Calc.'!$D$18="Yes 50%",'AES Indiana Bill Calc.'!$D$20="Yes 2018"),'AES Indiana Bill Calc.'!$D$21)</f>
        <v>0</v>
      </c>
      <c r="F1098" s="36" t="s">
        <v>248</v>
      </c>
      <c r="G1098" s="92" t="e">
        <f>SUM(J1098:M1098,R1098:AA1098)</f>
        <v>#N/A</v>
      </c>
      <c r="H1098" s="19" t="e">
        <f>IF(ISBLANK(B1098),0,+#REF!/B1098)</f>
        <v>#REF!</v>
      </c>
      <c r="J1098" s="51">
        <f>IF(ISBLANK(B1098),0,+J$1071)</f>
        <v>500</v>
      </c>
      <c r="K1098" s="17">
        <f>ROUND($B1098*K$1071,2)</f>
        <v>-0.04</v>
      </c>
      <c r="L1098" s="17">
        <f>IF(ISBLANK($C1098),0,IF($C1098&lt;$C$1072,ROUND($C$1072*$L$1071,2),IF($C1098&gt;L$1072,ROUND(L$1072*L$1071,2),ROUND($C1098*L$1071,2))))</f>
        <v>48180</v>
      </c>
      <c r="M1098" s="17">
        <f>IF($C1098&gt;L$1072,ROUND(($C1098-L$1072)*M$1071,2),0)</f>
        <v>0</v>
      </c>
      <c r="N1098" s="17">
        <f>K1098</f>
        <v>-0.04</v>
      </c>
      <c r="O1098" s="17"/>
      <c r="P1098" s="17"/>
      <c r="Q1098" s="17">
        <f>SUM(L1098:M1098)</f>
        <v>48180</v>
      </c>
      <c r="R1098" s="16" t="e">
        <f>ROUND(SUM(K1098:M1098)*(R1097-1),2)</f>
        <v>#N/A</v>
      </c>
      <c r="S1098" s="17">
        <f>ROUND($B1098*S$1071*S1097,2)</f>
        <v>0</v>
      </c>
      <c r="T1098" s="17">
        <f>ROUND($B1098*T$1071,2)</f>
        <v>0</v>
      </c>
      <c r="U1098" s="17">
        <f>ROUND($B1098*U$1071,2)</f>
        <v>0</v>
      </c>
      <c r="V1098" s="8">
        <f>ROUND($B1098*V$1063,2)</f>
        <v>0</v>
      </c>
      <c r="W1098" s="17">
        <f>ROUND($B1098*W$1071,2)</f>
        <v>0</v>
      </c>
      <c r="X1098" s="17">
        <f>ROUND($B1098*X$1071,2)</f>
        <v>-0.01</v>
      </c>
      <c r="Y1098" s="17">
        <f>ROUND($B1098*Y$1071,2)</f>
        <v>0</v>
      </c>
      <c r="Z1098" s="17">
        <f>ROUND($B1098*Z$1071,2)</f>
        <v>0</v>
      </c>
      <c r="AA1098" s="17">
        <f>ROUND($B1098*AA$1071,2)</f>
        <v>0</v>
      </c>
      <c r="AB1098" s="19">
        <f>SUM(U$1071:AA$1071)+(-V$1071+V1082)</f>
        <v>1.8550000000000025E-3</v>
      </c>
      <c r="AC1098" s="67" t="str">
        <f>+F1098</f>
        <v>HL38</v>
      </c>
    </row>
    <row r="1099" spans="1:29" x14ac:dyDescent="0.2">
      <c r="A1099" s="9"/>
      <c r="B1099" s="103">
        <v>-1</v>
      </c>
      <c r="D1099" s="8"/>
      <c r="E1099" s="9"/>
      <c r="F1099" s="36"/>
      <c r="G1099" s="12"/>
      <c r="H1099" s="12"/>
      <c r="J1099" s="12"/>
      <c r="K1099" s="12"/>
      <c r="L1099" s="12"/>
      <c r="M1099" s="12"/>
      <c r="N1099" s="12"/>
      <c r="O1099" s="12"/>
      <c r="P1099" s="12"/>
      <c r="Q1099" s="12"/>
      <c r="R1099" s="38" t="e">
        <f>VLOOKUP((D1100),'Pwr Factor'!$A$1:$B$52,2)</f>
        <v>#N/A</v>
      </c>
      <c r="S1099" s="50">
        <v>0.25</v>
      </c>
      <c r="T1099" s="12"/>
      <c r="U1099" s="12"/>
      <c r="V1099" s="12"/>
      <c r="W1099" s="12"/>
      <c r="X1099" s="12"/>
      <c r="Y1099" s="12"/>
      <c r="Z1099" s="12"/>
      <c r="AA1099" s="12"/>
    </row>
    <row r="1100" spans="1:29" x14ac:dyDescent="0.2">
      <c r="A1100" s="1" t="s">
        <v>150</v>
      </c>
      <c r="B1100" s="103">
        <f>IF(AND('AES Indiana Bill Calc.'!$D$17="HL3",'AES Indiana Bill Calc.'!$D$18="Yes 25%",'AES Indiana Bill Calc.'!$D$20="Yes 2018"),'AES Indiana Bill Calc.'!$D$19,-1)</f>
        <v>-1</v>
      </c>
      <c r="C1100" s="103">
        <f>MAX(E1100,$C$837)</f>
        <v>2000</v>
      </c>
      <c r="D1100" s="103" t="b">
        <f>IF(AND('AES Indiana Bill Calc.'!$D$17="HL3",'AES Indiana Bill Calc.'!$D$18="Yes 25%",'AES Indiana Bill Calc.'!$D$20="Yes 2018"),'AES Indiana Bill Calc.'!$D$22)</f>
        <v>0</v>
      </c>
      <c r="E1100" s="103" t="b">
        <f>IF(AND('AES Indiana Bill Calc.'!$D$17="HL3",'AES Indiana Bill Calc.'!$D$18="Yes 25%",'AES Indiana Bill Calc.'!$D$20="Yes 2018"),'AES Indiana Bill Calc.'!$D$21)</f>
        <v>0</v>
      </c>
      <c r="F1100" s="36" t="s">
        <v>248</v>
      </c>
      <c r="G1100" s="92" t="e">
        <f>SUM(J1100:M1100,R1100:AA1100)</f>
        <v>#N/A</v>
      </c>
      <c r="H1100" s="19" t="e">
        <f>IF(ISBLANK(B1100),0,+#REF!/B1100)</f>
        <v>#REF!</v>
      </c>
      <c r="J1100" s="51">
        <f>IF(ISBLANK(B1100),0,+J$1071)</f>
        <v>500</v>
      </c>
      <c r="K1100" s="17">
        <f>ROUND($B1100*K$1071,2)</f>
        <v>-0.04</v>
      </c>
      <c r="L1100" s="17">
        <f>IF(ISBLANK($C1100),0,IF($C1100&lt;$C$1072,ROUND($C$1072*$L$1071,2),IF($C1100&gt;L$1072,ROUND(L$1072*L$1071,2),ROUND($C1100*L$1071,2))))</f>
        <v>48180</v>
      </c>
      <c r="M1100" s="17">
        <f>IF($C1100&gt;L$1072,ROUND(($C1100-L$1072)*M$1071,2),0)</f>
        <v>0</v>
      </c>
      <c r="N1100" s="17">
        <f>K1100</f>
        <v>-0.04</v>
      </c>
      <c r="O1100" s="17"/>
      <c r="P1100" s="17"/>
      <c r="Q1100" s="17">
        <f>SUM(L1100:M1100)</f>
        <v>48180</v>
      </c>
      <c r="R1100" s="16" t="e">
        <f>ROUND(SUM(K1100:M1100)*(R1099-1),2)</f>
        <v>#N/A</v>
      </c>
      <c r="S1100" s="17">
        <f>ROUND($B1100*S$1071*S1099,2)</f>
        <v>0</v>
      </c>
      <c r="T1100" s="17">
        <f>ROUND($B1100*T$1071,2)</f>
        <v>0</v>
      </c>
      <c r="U1100" s="17">
        <f>ROUND($B1100*U$1071,2)</f>
        <v>0</v>
      </c>
      <c r="V1100" s="8">
        <f>ROUND($B1100*V$1063,2)</f>
        <v>0</v>
      </c>
      <c r="W1100" s="17">
        <f>ROUND($B1100*W$1071,2)</f>
        <v>0</v>
      </c>
      <c r="X1100" s="17">
        <f>ROUND($B1100*X$1071,2)</f>
        <v>-0.01</v>
      </c>
      <c r="Y1100" s="17">
        <f>ROUND($B1100*Y$1071,2)</f>
        <v>0</v>
      </c>
      <c r="Z1100" s="17">
        <f>ROUND($B1100*Z$1071,2)</f>
        <v>0</v>
      </c>
      <c r="AA1100" s="17">
        <f>ROUND($B1100*AA$1071,2)</f>
        <v>0</v>
      </c>
      <c r="AB1100" s="19">
        <f>SUM(U$1071:AA$1071)+(-V$1071+V1084)</f>
        <v>1.8550000000000025E-3</v>
      </c>
      <c r="AC1100" s="67" t="str">
        <f>+F1100</f>
        <v>HL38</v>
      </c>
    </row>
    <row r="1101" spans="1:29" x14ac:dyDescent="0.2">
      <c r="A1101" s="9"/>
      <c r="B1101" s="103">
        <v>-1</v>
      </c>
      <c r="D1101" s="8"/>
      <c r="E1101" s="9"/>
      <c r="F1101" s="36"/>
      <c r="G1101" s="12"/>
      <c r="H1101" s="12"/>
      <c r="J1101" s="12"/>
      <c r="K1101" s="12"/>
      <c r="L1101" s="12"/>
      <c r="M1101" s="12"/>
      <c r="N1101" s="12"/>
      <c r="O1101" s="12"/>
      <c r="P1101" s="12"/>
      <c r="Q1101" s="12"/>
      <c r="R1101" s="38" t="e">
        <f>VLOOKUP((D1102),'Pwr Factor'!$A$1:$B$52,2)</f>
        <v>#N/A</v>
      </c>
      <c r="S1101" s="50">
        <v>0.1</v>
      </c>
      <c r="T1101" s="12"/>
      <c r="U1101" s="12"/>
      <c r="V1101" s="12"/>
      <c r="W1101" s="12"/>
      <c r="X1101" s="12"/>
      <c r="Y1101" s="12"/>
      <c r="Z1101" s="12"/>
      <c r="AA1101" s="12"/>
    </row>
    <row r="1102" spans="1:29" x14ac:dyDescent="0.2">
      <c r="A1102" s="1" t="s">
        <v>164</v>
      </c>
      <c r="B1102" s="103">
        <f>IF(AND('AES Indiana Bill Calc.'!$D$17="HL3",'AES Indiana Bill Calc.'!$D$18="Yes 10%",'AES Indiana Bill Calc.'!$D$20="Yes 2018"),'AES Indiana Bill Calc.'!$D$19,-1)</f>
        <v>-1</v>
      </c>
      <c r="C1102" s="103">
        <f>MAX(E1102,$C$837)</f>
        <v>2000</v>
      </c>
      <c r="D1102" s="103" t="b">
        <f>IF(AND('AES Indiana Bill Calc.'!$D$17="HL3",'AES Indiana Bill Calc.'!$D$18="Yes 10%",'AES Indiana Bill Calc.'!$D$20="Yes 2018"),'AES Indiana Bill Calc.'!$D$22)</f>
        <v>0</v>
      </c>
      <c r="E1102" s="103" t="b">
        <f>IF(AND('AES Indiana Bill Calc.'!$D$17="HL3",'AES Indiana Bill Calc.'!$D$18="Yes 10%",'AES Indiana Bill Calc.'!$D$20="Yes 2018"),'AES Indiana Bill Calc.'!$D$21)</f>
        <v>0</v>
      </c>
      <c r="F1102" s="36" t="s">
        <v>248</v>
      </c>
      <c r="G1102" s="92" t="e">
        <f>SUM(J1102:M1102,R1102:AA1102)</f>
        <v>#N/A</v>
      </c>
      <c r="H1102" s="19" t="e">
        <f>IF(ISBLANK(B1102),0,+#REF!/B1102)</f>
        <v>#REF!</v>
      </c>
      <c r="J1102" s="51">
        <f>IF(ISBLANK(B1102),0,+J$1071)</f>
        <v>500</v>
      </c>
      <c r="K1102" s="17">
        <f>ROUND($B1102*K$1071,2)</f>
        <v>-0.04</v>
      </c>
      <c r="L1102" s="17">
        <f>IF(ISBLANK($C1102),0,IF($C1102&lt;$C$1072,ROUND($C$1072*$L$1071,2),IF($C1102&gt;L$1072,ROUND(L$1072*L$1071,2),ROUND($C1102*L$1071,2))))</f>
        <v>48180</v>
      </c>
      <c r="M1102" s="17">
        <f>IF($C1102&gt;L$1072,ROUND(($C1102-L$1072)*M$1071,2),0)</f>
        <v>0</v>
      </c>
      <c r="N1102" s="17">
        <f>K1102</f>
        <v>-0.04</v>
      </c>
      <c r="O1102" s="17"/>
      <c r="P1102" s="17"/>
      <c r="Q1102" s="17">
        <f>SUM(L1102:M1102)</f>
        <v>48180</v>
      </c>
      <c r="R1102" s="16" t="e">
        <f>ROUND(SUM(K1102:M1102)*(R1101-1),2)</f>
        <v>#N/A</v>
      </c>
      <c r="S1102" s="17">
        <f>ROUND($B1102*S$1071*S1101,2)</f>
        <v>0</v>
      </c>
      <c r="T1102" s="17">
        <f>ROUND($B1102*T$1071,2)</f>
        <v>0</v>
      </c>
      <c r="U1102" s="17">
        <f>ROUND($B1102*U$1071,2)</f>
        <v>0</v>
      </c>
      <c r="V1102" s="8">
        <f>ROUND($B1102*V$1063,2)</f>
        <v>0</v>
      </c>
      <c r="W1102" s="17">
        <f>ROUND($B1102*W$1071,2)</f>
        <v>0</v>
      </c>
      <c r="X1102" s="17">
        <f>ROUND($B1102*X$1071,2)</f>
        <v>-0.01</v>
      </c>
      <c r="Y1102" s="17">
        <f>ROUND($B1102*Y$1071,2)</f>
        <v>0</v>
      </c>
      <c r="Z1102" s="17">
        <f>ROUND($B1102*Z$1071,2)</f>
        <v>0</v>
      </c>
      <c r="AA1102" s="17">
        <f>ROUND($B1102*AA$1071,2)</f>
        <v>0</v>
      </c>
      <c r="AB1102" s="19">
        <f>SUM(U$1071:AA$1071)+(-V$1071+V1086)</f>
        <v>1.1855000000000001E-2</v>
      </c>
      <c r="AC1102" s="67" t="str">
        <f>+F1102</f>
        <v>HL38</v>
      </c>
    </row>
    <row r="1103" spans="1:29" x14ac:dyDescent="0.2">
      <c r="A1103" s="9"/>
      <c r="B1103" s="103">
        <v>-1</v>
      </c>
      <c r="D1103" s="8"/>
      <c r="E1103" s="9"/>
      <c r="F1103" s="36"/>
      <c r="G1103" s="12"/>
      <c r="H1103" s="12"/>
      <c r="J1103" s="12"/>
      <c r="K1103" s="12"/>
      <c r="L1103" s="12"/>
      <c r="M1103" s="12"/>
      <c r="N1103" s="12"/>
      <c r="O1103" s="12"/>
      <c r="P1103" s="12"/>
      <c r="Q1103" s="12"/>
      <c r="R1103" s="38" t="e">
        <f>VLOOKUP((D1104),'Pwr Factor'!$A$1:$B$52,2)</f>
        <v>#N/A</v>
      </c>
      <c r="S1103" s="50">
        <v>0</v>
      </c>
      <c r="T1103" s="12"/>
      <c r="U1103" s="12"/>
      <c r="V1103" s="12"/>
      <c r="W1103" s="12"/>
      <c r="X1103" s="12"/>
      <c r="Y1103" s="12"/>
      <c r="Z1103" s="12"/>
      <c r="AA1103" s="12"/>
    </row>
    <row r="1104" spans="1:29" x14ac:dyDescent="0.2">
      <c r="A1104" s="1" t="s">
        <v>147</v>
      </c>
      <c r="B1104" s="103">
        <f>IF(AND('AES Indiana Bill Calc.'!$D$17="HL3",'AES Indiana Bill Calc.'!$D$18="No",'AES Indiana Bill Calc.'!$D$20="Yes 2018"),'AES Indiana Bill Calc.'!$D$19,-1)</f>
        <v>-1</v>
      </c>
      <c r="C1104" s="103">
        <f>MAX(E1104,$C$837)</f>
        <v>2000</v>
      </c>
      <c r="D1104" s="103" t="b">
        <f>IF(AND('AES Indiana Bill Calc.'!$D$17="HL3",'AES Indiana Bill Calc.'!$D$18="No",'AES Indiana Bill Calc.'!$D$20="Yes 2018"),'AES Indiana Bill Calc.'!$D$22)</f>
        <v>0</v>
      </c>
      <c r="E1104" s="103" t="b">
        <f>IF(AND('AES Indiana Bill Calc.'!$D$17="HL3",'AES Indiana Bill Calc.'!$D$18="No",'AES Indiana Bill Calc.'!$D$20="Yes 2018"),'AES Indiana Bill Calc.'!$D$21)</f>
        <v>0</v>
      </c>
      <c r="F1104" s="36" t="s">
        <v>248</v>
      </c>
      <c r="G1104" s="92" t="e">
        <f>SUM(J1104:M1104,R1104:AA1104)</f>
        <v>#N/A</v>
      </c>
      <c r="H1104" s="19" t="e">
        <f>IF(ISBLANK(B1104),0,+#REF!/B1104)</f>
        <v>#REF!</v>
      </c>
      <c r="J1104" s="51">
        <f>IF(ISBLANK(B1104),0,+J$1071)</f>
        <v>500</v>
      </c>
      <c r="K1104" s="17">
        <f>ROUND($B1104*K$1071,2)</f>
        <v>-0.04</v>
      </c>
      <c r="L1104" s="17">
        <f>IF(ISBLANK($C1104),0,IF($C1104&lt;$C$1072,ROUND($C$1072*$L$1071,2),IF($C1104&gt;L$1072,ROUND(L$1072*L$1071,2),ROUND($C1104*L$1071,2))))</f>
        <v>48180</v>
      </c>
      <c r="M1104" s="17">
        <f>IF($C1104&gt;L$1072,ROUND(($C1104-L$1072)*M$1071,2),0)</f>
        <v>0</v>
      </c>
      <c r="N1104" s="17">
        <f>K1104</f>
        <v>-0.04</v>
      </c>
      <c r="O1104" s="17"/>
      <c r="P1104" s="17"/>
      <c r="Q1104" s="17">
        <f>SUM(L1104:M1104)</f>
        <v>48180</v>
      </c>
      <c r="R1104" s="16" t="e">
        <f>ROUND(SUM(K1104:M1104)*(R1103-1),2)</f>
        <v>#N/A</v>
      </c>
      <c r="S1104" s="17">
        <f>ROUND($B1104*S$1071*S1103,2)</f>
        <v>0</v>
      </c>
      <c r="T1104" s="17">
        <f>ROUND($B1104*T$1071,2)</f>
        <v>0</v>
      </c>
      <c r="U1104" s="17">
        <f>ROUND($B1104*U$1071,2)</f>
        <v>0</v>
      </c>
      <c r="V1104" s="8">
        <f>ROUND($B1104*V$1063,2)</f>
        <v>0</v>
      </c>
      <c r="W1104" s="17">
        <f>ROUND($B1104*W$1071,2)</f>
        <v>0</v>
      </c>
      <c r="X1104" s="17">
        <f>ROUND($B1104*X$1071,2)</f>
        <v>-0.01</v>
      </c>
      <c r="Y1104" s="17">
        <f>ROUND($B1104*Y$1071,2)</f>
        <v>0</v>
      </c>
      <c r="Z1104" s="17">
        <f>ROUND($B1104*Z$1071,2)</f>
        <v>0</v>
      </c>
      <c r="AA1104" s="17">
        <f>ROUND($B1104*AA$1071,2)</f>
        <v>0</v>
      </c>
      <c r="AB1104" s="19">
        <f>SUM(U$1071:AA$1071)+(-V$1071+V1088)</f>
        <v>1.1855000000000001E-2</v>
      </c>
      <c r="AC1104" s="67" t="str">
        <f>+F1104</f>
        <v>HL38</v>
      </c>
    </row>
    <row r="1105" spans="1:29" x14ac:dyDescent="0.2">
      <c r="A1105" s="48"/>
      <c r="B1105" s="103">
        <v>-1</v>
      </c>
      <c r="D1105" s="8"/>
      <c r="E1105" s="9"/>
      <c r="F1105" s="36"/>
      <c r="G1105" s="12"/>
      <c r="H1105" s="12"/>
      <c r="J1105" s="12"/>
      <c r="K1105" s="12"/>
      <c r="L1105" s="12"/>
      <c r="M1105" s="12"/>
      <c r="N1105" s="12"/>
      <c r="O1105" s="12"/>
      <c r="P1105" s="12"/>
      <c r="Q1105" s="12"/>
      <c r="R1105" s="38" t="e">
        <f>VLOOKUP((D1106),'Pwr Factor'!$A$1:$B$52,2)</f>
        <v>#N/A</v>
      </c>
      <c r="S1105" s="50">
        <v>1</v>
      </c>
      <c r="T1105" s="12"/>
      <c r="U1105" s="12"/>
      <c r="V1105" s="12"/>
      <c r="W1105" s="12"/>
      <c r="X1105" s="12"/>
      <c r="Y1105" s="12"/>
      <c r="Z1105" s="12"/>
      <c r="AA1105" s="12"/>
    </row>
    <row r="1106" spans="1:29" x14ac:dyDescent="0.2">
      <c r="A1106" s="1" t="s">
        <v>148</v>
      </c>
      <c r="B1106" s="103">
        <f>IF(AND('AES Indiana Bill Calc.'!$D$17="HL3",'AES Indiana Bill Calc.'!$D$18="Yes 100%",'AES Indiana Bill Calc.'!$D$20="Yes 2019"),'AES Indiana Bill Calc.'!$D$19,-1)</f>
        <v>-1</v>
      </c>
      <c r="C1106" s="103">
        <f>MAX(E1106,$C$837)</f>
        <v>2000</v>
      </c>
      <c r="D1106" s="103" t="b">
        <f>IF(AND('AES Indiana Bill Calc.'!$D$17="HL3",'AES Indiana Bill Calc.'!$D$18="Yes 100%",'AES Indiana Bill Calc.'!$D$20="Yes 2019"),'AES Indiana Bill Calc.'!$D$22)</f>
        <v>0</v>
      </c>
      <c r="E1106" s="103" t="b">
        <f>IF(AND('AES Indiana Bill Calc.'!$D$17="HL3",'AES Indiana Bill Calc.'!$D$18="Yes 100%",'AES Indiana Bill Calc.'!$D$20="Yes 2019"),'AES Indiana Bill Calc.'!$D$21)</f>
        <v>0</v>
      </c>
      <c r="F1106" s="36" t="s">
        <v>249</v>
      </c>
      <c r="G1106" s="92" t="e">
        <f>SUM(J1106:M1106,R1106:AA1106)</f>
        <v>#N/A</v>
      </c>
      <c r="H1106" s="19" t="e">
        <f>IF(ISBLANK(B1106),0,+#REF!/B1106)</f>
        <v>#REF!</v>
      </c>
      <c r="J1106" s="51">
        <f>IF(ISBLANK(B1106),0,+J$1071)</f>
        <v>500</v>
      </c>
      <c r="K1106" s="17">
        <f>ROUND($B1106*K$1071,2)</f>
        <v>-0.04</v>
      </c>
      <c r="L1106" s="17">
        <f>IF(ISBLANK($C1106),0,IF($C1106&lt;$C$1072,ROUND($C$1072*$L$1071,2),IF($C1106&gt;L$1072,ROUND(L$1072*L$1071,2),ROUND($C1106*L$1071,2))))</f>
        <v>48180</v>
      </c>
      <c r="M1106" s="17">
        <f>IF($C1106&gt;L$1072,ROUND(($C1106-L$1072)*M$1071,2),0)</f>
        <v>0</v>
      </c>
      <c r="N1106" s="17">
        <f>K1106</f>
        <v>-0.04</v>
      </c>
      <c r="O1106" s="17"/>
      <c r="P1106" s="17"/>
      <c r="Q1106" s="17">
        <f>SUM(L1106:M1106)</f>
        <v>48180</v>
      </c>
      <c r="R1106" s="16" t="e">
        <f>ROUND(SUM(K1106:M1106)*(R1105-1),2)</f>
        <v>#N/A</v>
      </c>
      <c r="S1106" s="17">
        <f>ROUND($B1106*S$1071*S1105,2)</f>
        <v>0</v>
      </c>
      <c r="T1106" s="17">
        <f>ROUND($B1106*T$1071,2)</f>
        <v>0</v>
      </c>
      <c r="U1106" s="17">
        <f>ROUND($B1106*U$1071,2)</f>
        <v>0</v>
      </c>
      <c r="V1106" s="8">
        <f>ROUND($B1106*V$1064,2)</f>
        <v>0</v>
      </c>
      <c r="W1106" s="17">
        <f>ROUND($B1106*W$1071,2)</f>
        <v>0</v>
      </c>
      <c r="X1106" s="17">
        <f>ROUND($B1106*X$1071,2)</f>
        <v>-0.01</v>
      </c>
      <c r="Y1106" s="17">
        <f>ROUND($B1106*Y$1071,2)</f>
        <v>0</v>
      </c>
      <c r="Z1106" s="17">
        <f>ROUND($B1106*Z$1071,2)</f>
        <v>0</v>
      </c>
      <c r="AA1106" s="17">
        <f>ROUND($B1106*AA$1071,2)</f>
        <v>0</v>
      </c>
      <c r="AB1106" s="19">
        <f>SUM(U$1071:AA$1071)+(-V$1071+V1090)</f>
        <v>1.1855000000000001E-2</v>
      </c>
      <c r="AC1106" s="67" t="str">
        <f>+F1106</f>
        <v>HL39</v>
      </c>
    </row>
    <row r="1107" spans="1:29" x14ac:dyDescent="0.2">
      <c r="A1107" s="48"/>
      <c r="B1107" s="103">
        <v>-1</v>
      </c>
      <c r="D1107" s="8"/>
      <c r="E1107" s="9"/>
      <c r="F1107" s="36"/>
      <c r="G1107" s="12"/>
      <c r="H1107" s="12"/>
      <c r="J1107" s="12"/>
      <c r="K1107" s="12"/>
      <c r="L1107" s="12"/>
      <c r="M1107" s="12"/>
      <c r="N1107" s="12"/>
      <c r="O1107" s="12"/>
      <c r="P1107" s="12"/>
      <c r="Q1107" s="12"/>
      <c r="R1107" s="38" t="e">
        <f>VLOOKUP((D1108),'Pwr Factor'!$A$1:$B$52,2)</f>
        <v>#N/A</v>
      </c>
      <c r="S1107" s="50">
        <v>0.5</v>
      </c>
      <c r="T1107" s="12"/>
      <c r="U1107" s="12"/>
      <c r="V1107" s="12"/>
      <c r="W1107" s="12"/>
      <c r="X1107" s="12"/>
      <c r="Y1107" s="12"/>
      <c r="Z1107" s="12"/>
      <c r="AA1107" s="12"/>
    </row>
    <row r="1108" spans="1:29" x14ac:dyDescent="0.2">
      <c r="A1108" s="1" t="s">
        <v>149</v>
      </c>
      <c r="B1108" s="103">
        <f>IF(AND('AES Indiana Bill Calc.'!$D$17="HL3",'AES Indiana Bill Calc.'!$D$18="Yes 50%",'AES Indiana Bill Calc.'!$D$20="Yes 2019"),'AES Indiana Bill Calc.'!$D$19,-1)</f>
        <v>-1</v>
      </c>
      <c r="C1108" s="103">
        <f>MAX(E1108,$C$837)</f>
        <v>2000</v>
      </c>
      <c r="D1108" s="103" t="b">
        <f>IF(AND('AES Indiana Bill Calc.'!$D$17="HL3",'AES Indiana Bill Calc.'!$D$18="Yes 50%",'AES Indiana Bill Calc.'!$D$20="Yes 2019"),'AES Indiana Bill Calc.'!$D$22)</f>
        <v>0</v>
      </c>
      <c r="E1108" s="103" t="b">
        <f>IF(AND('AES Indiana Bill Calc.'!$D$17="HL3",'AES Indiana Bill Calc.'!$D$18="Yes 50%",'AES Indiana Bill Calc.'!$D$20="Yes 2019"),'AES Indiana Bill Calc.'!$D$21)</f>
        <v>0</v>
      </c>
      <c r="F1108" s="36" t="s">
        <v>249</v>
      </c>
      <c r="G1108" s="92" t="e">
        <f>SUM(J1108:M1108,R1108:AA1108)</f>
        <v>#N/A</v>
      </c>
      <c r="H1108" s="19" t="e">
        <f>IF(ISBLANK(B1108),0,+#REF!/B1108)</f>
        <v>#REF!</v>
      </c>
      <c r="J1108" s="51">
        <f>IF(ISBLANK(B1108),0,+J$1071)</f>
        <v>500</v>
      </c>
      <c r="K1108" s="17">
        <f>ROUND($B1108*K$1071,2)</f>
        <v>-0.04</v>
      </c>
      <c r="L1108" s="17">
        <f>IF(ISBLANK($C1108),0,IF($C1108&lt;$C$1072,ROUND($C$1072*$L$1071,2),IF($C1108&gt;L$1072,ROUND(L$1072*L$1071,2),ROUND($C1108*L$1071,2))))</f>
        <v>48180</v>
      </c>
      <c r="M1108" s="17">
        <f>IF($C1108&gt;L$1072,ROUND(($C1108-L$1072)*M$1071,2),0)</f>
        <v>0</v>
      </c>
      <c r="N1108" s="17">
        <f>K1108</f>
        <v>-0.04</v>
      </c>
      <c r="O1108" s="17"/>
      <c r="P1108" s="17"/>
      <c r="Q1108" s="17">
        <f>SUM(L1108:M1108)</f>
        <v>48180</v>
      </c>
      <c r="R1108" s="16" t="e">
        <f>ROUND(SUM(K1108:M1108)*(R1107-1),2)</f>
        <v>#N/A</v>
      </c>
      <c r="S1108" s="17">
        <f>ROUND($B1108*S$1071*S1107,2)</f>
        <v>0</v>
      </c>
      <c r="T1108" s="17">
        <f>ROUND($B1108*T$1071,2)</f>
        <v>0</v>
      </c>
      <c r="U1108" s="17">
        <f>ROUND($B1108*U$1071,2)</f>
        <v>0</v>
      </c>
      <c r="V1108" s="8">
        <f>ROUND($B1108*V$1064,2)</f>
        <v>0</v>
      </c>
      <c r="W1108" s="17">
        <f>ROUND($B1108*W$1071,2)</f>
        <v>0</v>
      </c>
      <c r="X1108" s="17">
        <f>ROUND($B1108*X$1071,2)</f>
        <v>-0.01</v>
      </c>
      <c r="Y1108" s="17">
        <f>ROUND($B1108*Y$1071,2)</f>
        <v>0</v>
      </c>
      <c r="Z1108" s="17">
        <f>ROUND($B1108*Z$1071,2)</f>
        <v>0</v>
      </c>
      <c r="AA1108" s="17">
        <f>ROUND($B1108*AA$1071,2)</f>
        <v>0</v>
      </c>
      <c r="AB1108" s="19">
        <f>SUM(U$1071:AA$1071)+(-V$1071+V1092)</f>
        <v>1.1855000000000001E-2</v>
      </c>
      <c r="AC1108" s="67" t="str">
        <f>+F1108</f>
        <v>HL39</v>
      </c>
    </row>
    <row r="1109" spans="1:29" x14ac:dyDescent="0.2">
      <c r="A1109" s="9"/>
      <c r="B1109" s="103">
        <v>-1</v>
      </c>
      <c r="D1109" s="8"/>
      <c r="E1109" s="9"/>
      <c r="F1109" s="36"/>
      <c r="G1109" s="12"/>
      <c r="H1109" s="12"/>
      <c r="J1109" s="12"/>
      <c r="K1109" s="12"/>
      <c r="L1109" s="12"/>
      <c r="M1109" s="12"/>
      <c r="N1109" s="12"/>
      <c r="O1109" s="12"/>
      <c r="P1109" s="12"/>
      <c r="Q1109" s="12"/>
      <c r="R1109" s="38" t="e">
        <f>VLOOKUP((D1110),'Pwr Factor'!$A$1:$B$52,2)</f>
        <v>#N/A</v>
      </c>
      <c r="S1109" s="50">
        <v>0.25</v>
      </c>
      <c r="T1109" s="12"/>
      <c r="U1109" s="12"/>
      <c r="V1109" s="12"/>
      <c r="W1109" s="12"/>
      <c r="X1109" s="12"/>
      <c r="Y1109" s="12"/>
      <c r="Z1109" s="12"/>
      <c r="AA1109" s="12"/>
    </row>
    <row r="1110" spans="1:29" x14ac:dyDescent="0.2">
      <c r="A1110" s="1" t="s">
        <v>150</v>
      </c>
      <c r="B1110" s="103">
        <f>IF(AND('AES Indiana Bill Calc.'!$D$17="HL3",'AES Indiana Bill Calc.'!$D$18="Yes 25%",'AES Indiana Bill Calc.'!$D$20="Yes 2019"),'AES Indiana Bill Calc.'!$D$19,-1)</f>
        <v>-1</v>
      </c>
      <c r="C1110" s="103">
        <f>MAX(E1110,$C$837)</f>
        <v>2000</v>
      </c>
      <c r="D1110" s="103" t="b">
        <f>IF(AND('AES Indiana Bill Calc.'!$D$17="HL3",'AES Indiana Bill Calc.'!$D$18="Yes 25%",'AES Indiana Bill Calc.'!$D$20="Yes 2019"),'AES Indiana Bill Calc.'!$D$22)</f>
        <v>0</v>
      </c>
      <c r="E1110" s="103" t="b">
        <f>IF(AND('AES Indiana Bill Calc.'!$D$17="HL3",'AES Indiana Bill Calc.'!$D$18="Yes 25%",'AES Indiana Bill Calc.'!$D$20="Yes 2019"),'AES Indiana Bill Calc.'!$D$21)</f>
        <v>0</v>
      </c>
      <c r="F1110" s="36" t="s">
        <v>249</v>
      </c>
      <c r="G1110" s="92" t="e">
        <f>SUM(J1110:M1110,R1110:AA1110)</f>
        <v>#N/A</v>
      </c>
      <c r="H1110" s="19" t="e">
        <f>IF(ISBLANK(B1110),0,+#REF!/B1110)</f>
        <v>#REF!</v>
      </c>
      <c r="J1110" s="51">
        <f>IF(ISBLANK(B1110),0,+J$1071)</f>
        <v>500</v>
      </c>
      <c r="K1110" s="17">
        <f>ROUND($B1110*K$1071,2)</f>
        <v>-0.04</v>
      </c>
      <c r="L1110" s="17">
        <f>IF(ISBLANK($C1110),0,IF($C1110&lt;$C$1072,ROUND($C$1072*$L$1071,2),IF($C1110&gt;L$1072,ROUND(L$1072*L$1071,2),ROUND($C1110*L$1071,2))))</f>
        <v>48180</v>
      </c>
      <c r="M1110" s="17">
        <f>IF($C1110&gt;L$1072,ROUND(($C1110-L$1072)*M$1071,2),0)</f>
        <v>0</v>
      </c>
      <c r="N1110" s="17">
        <f>K1110</f>
        <v>-0.04</v>
      </c>
      <c r="O1110" s="17"/>
      <c r="P1110" s="17"/>
      <c r="Q1110" s="17">
        <f>SUM(L1110:M1110)</f>
        <v>48180</v>
      </c>
      <c r="R1110" s="16" t="e">
        <f>ROUND(SUM(K1110:M1110)*(R1109-1),2)</f>
        <v>#N/A</v>
      </c>
      <c r="S1110" s="17">
        <f>ROUND($B1110*S$1071*S1109,2)</f>
        <v>0</v>
      </c>
      <c r="T1110" s="17">
        <f>ROUND($B1110*T$1071,2)</f>
        <v>0</v>
      </c>
      <c r="U1110" s="17">
        <f>ROUND($B1110*U$1071,2)</f>
        <v>0</v>
      </c>
      <c r="V1110" s="8">
        <f>ROUND($B1110*V$1064,2)</f>
        <v>0</v>
      </c>
      <c r="W1110" s="17">
        <f>ROUND($B1110*W$1071,2)</f>
        <v>0</v>
      </c>
      <c r="X1110" s="17">
        <f>ROUND($B1110*X$1071,2)</f>
        <v>-0.01</v>
      </c>
      <c r="Y1110" s="17">
        <f>ROUND($B1110*Y$1071,2)</f>
        <v>0</v>
      </c>
      <c r="Z1110" s="17">
        <f>ROUND($B1110*Z$1071,2)</f>
        <v>0</v>
      </c>
      <c r="AA1110" s="17">
        <f>ROUND($B1110*AA$1071,2)</f>
        <v>0</v>
      </c>
      <c r="AB1110" s="19">
        <f>SUM(U$1071:AA$1071)+(-V$1071+V1094)</f>
        <v>1.1855000000000001E-2</v>
      </c>
      <c r="AC1110" s="67" t="str">
        <f>+F1110</f>
        <v>HL39</v>
      </c>
    </row>
    <row r="1111" spans="1:29" x14ac:dyDescent="0.2">
      <c r="A1111" s="9"/>
      <c r="B1111" s="103">
        <v>-1</v>
      </c>
      <c r="D1111" s="8"/>
      <c r="E1111" s="9"/>
      <c r="F1111" s="36"/>
      <c r="G1111" s="12"/>
      <c r="H1111" s="12"/>
      <c r="J1111" s="12"/>
      <c r="K1111" s="12"/>
      <c r="L1111" s="12"/>
      <c r="M1111" s="12"/>
      <c r="N1111" s="12"/>
      <c r="O1111" s="12"/>
      <c r="P1111" s="12"/>
      <c r="Q1111" s="12"/>
      <c r="R1111" s="38" t="e">
        <f>VLOOKUP((D1112),'Pwr Factor'!$A$1:$B$52,2)</f>
        <v>#N/A</v>
      </c>
      <c r="S1111" s="50">
        <v>0.1</v>
      </c>
      <c r="T1111" s="12"/>
      <c r="U1111" s="12"/>
      <c r="V1111" s="12"/>
      <c r="W1111" s="12"/>
      <c r="X1111" s="12"/>
      <c r="Y1111" s="12"/>
      <c r="Z1111" s="12"/>
      <c r="AA1111" s="12"/>
    </row>
    <row r="1112" spans="1:29" x14ac:dyDescent="0.2">
      <c r="A1112" s="1" t="s">
        <v>164</v>
      </c>
      <c r="B1112" s="103">
        <f>IF(AND('AES Indiana Bill Calc.'!$D$17="HL3",'AES Indiana Bill Calc.'!$D$18="Yes 10%",'AES Indiana Bill Calc.'!$D$20="Yes 2019"),'AES Indiana Bill Calc.'!$D$19,-1)</f>
        <v>-1</v>
      </c>
      <c r="C1112" s="103">
        <f>MAX(E1112,$C$837)</f>
        <v>2000</v>
      </c>
      <c r="D1112" s="103" t="b">
        <f>IF(AND('AES Indiana Bill Calc.'!$D$17="HL3",'AES Indiana Bill Calc.'!$D$18="Yes 10%",'AES Indiana Bill Calc.'!$D$20="Yes 2019"),'AES Indiana Bill Calc.'!$D$22)</f>
        <v>0</v>
      </c>
      <c r="E1112" s="103" t="b">
        <f>IF(AND('AES Indiana Bill Calc.'!$D$17="HL3",'AES Indiana Bill Calc.'!$D$18="Yes 10%",'AES Indiana Bill Calc.'!$D$20="Yes 2019"),'AES Indiana Bill Calc.'!$D$21)</f>
        <v>0</v>
      </c>
      <c r="F1112" s="36" t="s">
        <v>249</v>
      </c>
      <c r="G1112" s="92" t="e">
        <f>SUM(J1112:M1112,R1112:AA1112)</f>
        <v>#N/A</v>
      </c>
      <c r="H1112" s="19" t="e">
        <f>IF(ISBLANK(B1112),0,+#REF!/B1112)</f>
        <v>#REF!</v>
      </c>
      <c r="J1112" s="51">
        <f>IF(ISBLANK(B1112),0,+J$1071)</f>
        <v>500</v>
      </c>
      <c r="K1112" s="17">
        <f>ROUND($B1112*K$1071,2)</f>
        <v>-0.04</v>
      </c>
      <c r="L1112" s="17">
        <f>IF(ISBLANK($C1112),0,IF($C1112&lt;$C$1072,ROUND($C$1072*$L$1071,2),IF($C1112&gt;L$1072,ROUND(L$1072*L$1071,2),ROUND($C1112*L$1071,2))))</f>
        <v>48180</v>
      </c>
      <c r="M1112" s="17">
        <f>IF($C1112&gt;L$1072,ROUND(($C1112-L$1072)*M$1071,2),0)</f>
        <v>0</v>
      </c>
      <c r="N1112" s="17">
        <f>K1112</f>
        <v>-0.04</v>
      </c>
      <c r="O1112" s="17"/>
      <c r="P1112" s="17"/>
      <c r="Q1112" s="17">
        <f>SUM(L1112:M1112)</f>
        <v>48180</v>
      </c>
      <c r="R1112" s="16" t="e">
        <f>ROUND(SUM(K1112:M1112)*(R1111-1),2)</f>
        <v>#N/A</v>
      </c>
      <c r="S1112" s="17">
        <f>ROUND($B1112*S$1071*S1111,2)</f>
        <v>0</v>
      </c>
      <c r="T1112" s="17">
        <f>ROUND($B1112*T$1071,2)</f>
        <v>0</v>
      </c>
      <c r="U1112" s="17">
        <f>ROUND($B1112*U$1071,2)</f>
        <v>0</v>
      </c>
      <c r="V1112" s="8">
        <f>ROUND($B1112*V$1064,2)</f>
        <v>0</v>
      </c>
      <c r="W1112" s="17">
        <f>ROUND($B1112*W$1071,2)</f>
        <v>0</v>
      </c>
      <c r="X1112" s="17">
        <f>ROUND($B1112*X$1071,2)</f>
        <v>-0.01</v>
      </c>
      <c r="Y1112" s="17">
        <f>ROUND($B1112*Y$1071,2)</f>
        <v>0</v>
      </c>
      <c r="Z1112" s="17">
        <f>ROUND($B1112*Z$1071,2)</f>
        <v>0</v>
      </c>
      <c r="AA1112" s="17">
        <f>ROUND($B1112*AA$1071,2)</f>
        <v>0</v>
      </c>
      <c r="AB1112" s="19">
        <f>SUM(U$1071:AA$1071)+(-V$1071+V1096)</f>
        <v>1.1855000000000001E-2</v>
      </c>
      <c r="AC1112" s="67" t="str">
        <f>+F1112</f>
        <v>HL39</v>
      </c>
    </row>
    <row r="1113" spans="1:29" x14ac:dyDescent="0.2">
      <c r="A1113" s="9"/>
      <c r="B1113" s="103">
        <v>-1</v>
      </c>
      <c r="D1113" s="8"/>
      <c r="E1113" s="9"/>
      <c r="F1113" s="36"/>
      <c r="G1113" s="12"/>
      <c r="H1113" s="12"/>
      <c r="J1113" s="12"/>
      <c r="K1113" s="12"/>
      <c r="L1113" s="12"/>
      <c r="M1113" s="12"/>
      <c r="N1113" s="12"/>
      <c r="O1113" s="12"/>
      <c r="P1113" s="12"/>
      <c r="Q1113" s="12"/>
      <c r="R1113" s="38" t="e">
        <f>VLOOKUP((D1114),'Pwr Factor'!$A$1:$B$52,2)</f>
        <v>#N/A</v>
      </c>
      <c r="S1113" s="50">
        <v>0</v>
      </c>
      <c r="T1113" s="12"/>
      <c r="U1113" s="12"/>
      <c r="V1113" s="12"/>
      <c r="W1113" s="12"/>
      <c r="X1113" s="12"/>
      <c r="Y1113" s="12"/>
      <c r="Z1113" s="12"/>
      <c r="AA1113" s="12"/>
    </row>
    <row r="1114" spans="1:29" x14ac:dyDescent="0.2">
      <c r="A1114" s="1" t="s">
        <v>147</v>
      </c>
      <c r="B1114" s="103">
        <f>IF(AND('AES Indiana Bill Calc.'!$D$17="HL3",'AES Indiana Bill Calc.'!$D$18="No",'AES Indiana Bill Calc.'!$D$20="Yes 2019"),'AES Indiana Bill Calc.'!$D$19,-1)</f>
        <v>-1</v>
      </c>
      <c r="C1114" s="103">
        <f>MAX(E1114,$C$837)</f>
        <v>2000</v>
      </c>
      <c r="D1114" s="103" t="b">
        <f>IF(AND('AES Indiana Bill Calc.'!$D$17="HL3",'AES Indiana Bill Calc.'!$D$18="No",'AES Indiana Bill Calc.'!$D$20="Yes 2019"),'AES Indiana Bill Calc.'!$D$22)</f>
        <v>0</v>
      </c>
      <c r="E1114" s="103" t="b">
        <f>IF(AND('AES Indiana Bill Calc.'!$D$17="HL3",'AES Indiana Bill Calc.'!$D$18="No",'AES Indiana Bill Calc.'!$D$20="Yes 2019"),'AES Indiana Bill Calc.'!$D$21)</f>
        <v>0</v>
      </c>
      <c r="F1114" s="36" t="s">
        <v>249</v>
      </c>
      <c r="G1114" s="92" t="e">
        <f>SUM(J1114:M1114,R1114:AA1114)</f>
        <v>#N/A</v>
      </c>
      <c r="H1114" s="19" t="e">
        <f>IF(ISBLANK(B1114),0,+#REF!/B1114)</f>
        <v>#REF!</v>
      </c>
      <c r="J1114" s="51">
        <f>IF(ISBLANK(B1114),0,+J$1071)</f>
        <v>500</v>
      </c>
      <c r="K1114" s="17">
        <f>ROUND($B1114*K$1071,2)</f>
        <v>-0.04</v>
      </c>
      <c r="L1114" s="17">
        <f>IF(ISBLANK($C1114),0,IF($C1114&lt;$C$1072,ROUND($C$1072*$L$1071,2),IF($C1114&gt;L$1072,ROUND(L$1072*L$1071,2),ROUND($C1114*L$1071,2))))</f>
        <v>48180</v>
      </c>
      <c r="M1114" s="17">
        <f>IF($C1114&gt;L$1072,ROUND(($C1114-L$1072)*M$1071,2),0)</f>
        <v>0</v>
      </c>
      <c r="N1114" s="17">
        <f>K1114</f>
        <v>-0.04</v>
      </c>
      <c r="O1114" s="17"/>
      <c r="P1114" s="17"/>
      <c r="Q1114" s="17">
        <f>SUM(L1114:M1114)</f>
        <v>48180</v>
      </c>
      <c r="R1114" s="16" t="e">
        <f>ROUND(SUM(K1114:M1114)*(R1113-1),2)</f>
        <v>#N/A</v>
      </c>
      <c r="S1114" s="17">
        <f>ROUND($B1114*S$1071*S1113,2)</f>
        <v>0</v>
      </c>
      <c r="T1114" s="17">
        <f>ROUND($B1114*T$1071,2)</f>
        <v>0</v>
      </c>
      <c r="U1114" s="17">
        <f>ROUND($B1114*U$1071,2)</f>
        <v>0</v>
      </c>
      <c r="V1114" s="8">
        <f>ROUND($B1114*V$1064,2)</f>
        <v>0</v>
      </c>
      <c r="W1114" s="17">
        <f>ROUND($B1114*W$1071,2)</f>
        <v>0</v>
      </c>
      <c r="X1114" s="17">
        <f>ROUND($B1114*X$1071,2)</f>
        <v>-0.01</v>
      </c>
      <c r="Y1114" s="17">
        <f>ROUND($B1114*Y$1071,2)</f>
        <v>0</v>
      </c>
      <c r="Z1114" s="17">
        <f>ROUND($B1114*Z$1071,2)</f>
        <v>0</v>
      </c>
      <c r="AA1114" s="17">
        <f>ROUND($B1114*AA$1071,2)</f>
        <v>0</v>
      </c>
      <c r="AB1114" s="19">
        <f>SUM(U$1071:AA$1071)+(-V$1071+V1098)</f>
        <v>1.1855000000000001E-2</v>
      </c>
      <c r="AC1114" s="67" t="str">
        <f>+F1114</f>
        <v>HL39</v>
      </c>
    </row>
    <row r="1115" spans="1:29" x14ac:dyDescent="0.2">
      <c r="A1115" s="48"/>
      <c r="B1115" s="103">
        <v>-1</v>
      </c>
      <c r="D1115" s="8"/>
      <c r="E1115" s="9"/>
      <c r="F1115" s="36"/>
      <c r="G1115" s="12"/>
      <c r="H1115" s="12"/>
      <c r="J1115" s="12"/>
      <c r="K1115" s="12"/>
      <c r="L1115" s="12"/>
      <c r="M1115" s="12"/>
      <c r="N1115" s="12"/>
      <c r="O1115" s="12"/>
      <c r="P1115" s="12"/>
      <c r="Q1115" s="12"/>
      <c r="R1115" s="38" t="e">
        <f>VLOOKUP((D1116),'Pwr Factor'!$A$1:$B$52,2)</f>
        <v>#N/A</v>
      </c>
      <c r="S1115" s="50">
        <v>1</v>
      </c>
      <c r="T1115" s="12"/>
      <c r="U1115" s="12"/>
      <c r="V1115" s="12"/>
      <c r="W1115" s="12"/>
      <c r="X1115" s="12"/>
      <c r="Y1115" s="12"/>
      <c r="Z1115" s="12"/>
      <c r="AA1115" s="12"/>
    </row>
    <row r="1116" spans="1:29" x14ac:dyDescent="0.2">
      <c r="A1116" s="1" t="s">
        <v>148</v>
      </c>
      <c r="B1116" s="103">
        <f>IF(AND('AES Indiana Bill Calc.'!$D$17="HL3",'AES Indiana Bill Calc.'!$D$18="Yes 100%",'AES Indiana Bill Calc.'!$D$20="Yes 2020"),'AES Indiana Bill Calc.'!$D$19,-1)</f>
        <v>-1</v>
      </c>
      <c r="C1116" s="103">
        <f>MAX(E1116,$C$837)</f>
        <v>2000</v>
      </c>
      <c r="D1116" s="103" t="b">
        <f>IF(AND('AES Indiana Bill Calc.'!$D$17="HL3",'AES Indiana Bill Calc.'!$D$18="Yes 100%",'AES Indiana Bill Calc.'!$D$20="Yes 2020"),'AES Indiana Bill Calc.'!$D$22)</f>
        <v>0</v>
      </c>
      <c r="E1116" s="103" t="b">
        <f>IF(AND('AES Indiana Bill Calc.'!$D$17="HL3",'AES Indiana Bill Calc.'!$D$18="Yes 100%",'AES Indiana Bill Calc.'!$D$20="Yes 2020"),'AES Indiana Bill Calc.'!$D$21)</f>
        <v>0</v>
      </c>
      <c r="F1116" s="36" t="s">
        <v>250</v>
      </c>
      <c r="G1116" s="92" t="e">
        <f>SUM(J1116:M1116,R1116:AA1116)</f>
        <v>#N/A</v>
      </c>
      <c r="H1116" s="19" t="e">
        <f>IF(ISBLANK(B1116),0,+#REF!/B1116)</f>
        <v>#REF!</v>
      </c>
      <c r="J1116" s="51">
        <f>IF(ISBLANK(B1116),0,+J$1071)</f>
        <v>500</v>
      </c>
      <c r="K1116" s="17">
        <f>ROUND($B1116*K$1071,2)</f>
        <v>-0.04</v>
      </c>
      <c r="L1116" s="17">
        <f>IF(ISBLANK($C1116),0,IF($C1116&lt;$C$1072,ROUND($C$1072*$L$1071,2),IF($C1116&gt;L$1072,ROUND(L$1072*L$1071,2),ROUND($C1116*L$1071,2))))</f>
        <v>48180</v>
      </c>
      <c r="M1116" s="17">
        <f>IF($C1116&gt;L$1072,ROUND(($C1116-L$1072)*M$1071,2),0)</f>
        <v>0</v>
      </c>
      <c r="N1116" s="17">
        <f>K1116</f>
        <v>-0.04</v>
      </c>
      <c r="O1116" s="17"/>
      <c r="P1116" s="17"/>
      <c r="Q1116" s="17">
        <f>SUM(L1116:M1116)</f>
        <v>48180</v>
      </c>
      <c r="R1116" s="16" t="e">
        <f>ROUND(SUM(K1116:M1116)*(R1115-1),2)</f>
        <v>#N/A</v>
      </c>
      <c r="S1116" s="17">
        <f>ROUND($B1116*S$1071*S1115,2)</f>
        <v>0</v>
      </c>
      <c r="T1116" s="17">
        <f>ROUND($B1116*T$1071,2)</f>
        <v>0</v>
      </c>
      <c r="U1116" s="17">
        <f>ROUND($B1116*U$1071,2)</f>
        <v>0</v>
      </c>
      <c r="V1116" s="8">
        <f>ROUND($B1116*V$1065,2)</f>
        <v>0</v>
      </c>
      <c r="W1116" s="17">
        <f>ROUND($B1116*W$1071,2)</f>
        <v>0</v>
      </c>
      <c r="X1116" s="17">
        <f>ROUND($B1116*X$1071,2)</f>
        <v>-0.01</v>
      </c>
      <c r="Y1116" s="17">
        <f>ROUND($B1116*Y$1071,2)</f>
        <v>0</v>
      </c>
      <c r="Z1116" s="17">
        <f>ROUND($B1116*Z$1071,2)</f>
        <v>0</v>
      </c>
      <c r="AA1116" s="17">
        <f>ROUND($B1116*AA$1071,2)</f>
        <v>0</v>
      </c>
      <c r="AB1116" s="19">
        <f>SUM(U$1071:AA$1071)+(-V$1071+V1100)</f>
        <v>1.1855000000000001E-2</v>
      </c>
      <c r="AC1116" s="67" t="str">
        <f>+F1116</f>
        <v>HL30</v>
      </c>
    </row>
    <row r="1117" spans="1:29" x14ac:dyDescent="0.2">
      <c r="A1117" s="48"/>
      <c r="B1117" s="103">
        <v>-1</v>
      </c>
      <c r="D1117" s="8"/>
      <c r="E1117" s="9"/>
      <c r="F1117" s="36"/>
      <c r="G1117" s="12"/>
      <c r="H1117" s="12"/>
      <c r="J1117" s="12"/>
      <c r="K1117" s="12"/>
      <c r="L1117" s="12"/>
      <c r="M1117" s="12"/>
      <c r="N1117" s="12"/>
      <c r="O1117" s="12"/>
      <c r="P1117" s="12"/>
      <c r="Q1117" s="12"/>
      <c r="R1117" s="38" t="e">
        <f>VLOOKUP((D1118),'Pwr Factor'!$A$1:$B$52,2)</f>
        <v>#N/A</v>
      </c>
      <c r="S1117" s="50">
        <v>0.5</v>
      </c>
      <c r="T1117" s="12"/>
      <c r="U1117" s="12"/>
      <c r="V1117" s="12"/>
      <c r="W1117" s="12"/>
      <c r="X1117" s="12"/>
      <c r="Y1117" s="12"/>
      <c r="Z1117" s="12"/>
      <c r="AA1117" s="12"/>
    </row>
    <row r="1118" spans="1:29" x14ac:dyDescent="0.2">
      <c r="A1118" s="1" t="s">
        <v>149</v>
      </c>
      <c r="B1118" s="103">
        <f>IF(AND('AES Indiana Bill Calc.'!$D$17="HL3",'AES Indiana Bill Calc.'!$D$18="Yes 50%",'AES Indiana Bill Calc.'!$D$20="Yes 2020"),'AES Indiana Bill Calc.'!$D$19,-1)</f>
        <v>-1</v>
      </c>
      <c r="C1118" s="103">
        <f>MAX(E1118,$C$837)</f>
        <v>2000</v>
      </c>
      <c r="D1118" s="103" t="b">
        <f>IF(AND('AES Indiana Bill Calc.'!$D$17="HL3",'AES Indiana Bill Calc.'!$D$18="Yes 50%",'AES Indiana Bill Calc.'!$D$20="Yes 2020"),'AES Indiana Bill Calc.'!$D$22)</f>
        <v>0</v>
      </c>
      <c r="E1118" s="103" t="b">
        <f>IF(AND('AES Indiana Bill Calc.'!$D$17="HL3",'AES Indiana Bill Calc.'!$D$18="Yes 50%",'AES Indiana Bill Calc.'!$D$20="Yes 2020"),'AES Indiana Bill Calc.'!$D$21)</f>
        <v>0</v>
      </c>
      <c r="F1118" s="36" t="s">
        <v>250</v>
      </c>
      <c r="G1118" s="92" t="e">
        <f>SUM(J1118:M1118,R1118:AA1118)</f>
        <v>#N/A</v>
      </c>
      <c r="H1118" s="19" t="e">
        <f>IF(ISBLANK(B1118),0,+#REF!/B1118)</f>
        <v>#REF!</v>
      </c>
      <c r="J1118" s="51">
        <f>IF(ISBLANK(B1118),0,+J$1071)</f>
        <v>500</v>
      </c>
      <c r="K1118" s="17">
        <f>ROUND($B1118*K$1071,2)</f>
        <v>-0.04</v>
      </c>
      <c r="L1118" s="17">
        <f>IF(ISBLANK($C1118),0,IF($C1118&lt;$C$1072,ROUND($C$1072*$L$1071,2),IF($C1118&gt;L$1072,ROUND(L$1072*L$1071,2),ROUND($C1118*L$1071,2))))</f>
        <v>48180</v>
      </c>
      <c r="M1118" s="17">
        <f>IF($C1118&gt;L$1072,ROUND(($C1118-L$1072)*M$1071,2),0)</f>
        <v>0</v>
      </c>
      <c r="N1118" s="17">
        <v>0</v>
      </c>
      <c r="O1118" s="17"/>
      <c r="P1118" s="17"/>
      <c r="Q1118" s="17">
        <f>SUM(L1118:M1118)</f>
        <v>48180</v>
      </c>
      <c r="R1118" s="16" t="e">
        <f>ROUND(SUM(K1118:M1118)*(R1117-1),2)</f>
        <v>#N/A</v>
      </c>
      <c r="S1118" s="17">
        <f>ROUND($B1118*S$1071*S1117,2)</f>
        <v>0</v>
      </c>
      <c r="T1118" s="17">
        <f>ROUND($B1118*T$1071,2)</f>
        <v>0</v>
      </c>
      <c r="U1118" s="17">
        <f>ROUND($B1118*U$1071,2)</f>
        <v>0</v>
      </c>
      <c r="V1118" s="8">
        <f>ROUND($B1118*V$1065,2)</f>
        <v>0</v>
      </c>
      <c r="W1118" s="17">
        <f>ROUND($B1118*W$1071,2)</f>
        <v>0</v>
      </c>
      <c r="X1118" s="17">
        <f>ROUND($B1118*X$1071,2)</f>
        <v>-0.01</v>
      </c>
      <c r="Y1118" s="17">
        <f>ROUND($B1118*Y$1071,2)</f>
        <v>0</v>
      </c>
      <c r="Z1118" s="17">
        <f>ROUND($B1118*Z$1071,2)</f>
        <v>0</v>
      </c>
      <c r="AA1118" s="17">
        <f>ROUND($B1118*AA$1071,2)</f>
        <v>0</v>
      </c>
      <c r="AB1118" s="19">
        <f>SUM(U$1071:AA$1071)+(-V$1071+V1102)</f>
        <v>1.1855000000000001E-2</v>
      </c>
      <c r="AC1118" s="67" t="str">
        <f>+F1118</f>
        <v>HL30</v>
      </c>
    </row>
    <row r="1119" spans="1:29" x14ac:dyDescent="0.2">
      <c r="A1119" s="9"/>
      <c r="B1119" s="103">
        <v>-1</v>
      </c>
      <c r="D1119" s="8"/>
      <c r="E1119" s="9"/>
      <c r="F1119" s="36"/>
      <c r="G1119" s="12"/>
      <c r="H1119" s="12"/>
      <c r="J1119" s="12"/>
      <c r="K1119" s="12"/>
      <c r="L1119" s="12"/>
      <c r="M1119" s="12"/>
      <c r="N1119" s="12"/>
      <c r="O1119" s="12"/>
      <c r="P1119" s="12"/>
      <c r="Q1119" s="12"/>
      <c r="R1119" s="38" t="e">
        <f>VLOOKUP((D1120),'Pwr Factor'!$A$1:$B$52,2)</f>
        <v>#N/A</v>
      </c>
      <c r="S1119" s="50">
        <v>0.25</v>
      </c>
      <c r="T1119" s="12"/>
      <c r="U1119" s="12"/>
      <c r="V1119" s="12"/>
      <c r="W1119" s="12"/>
      <c r="X1119" s="12"/>
      <c r="Y1119" s="12"/>
      <c r="Z1119" s="12"/>
      <c r="AA1119" s="12"/>
    </row>
    <row r="1120" spans="1:29" x14ac:dyDescent="0.2">
      <c r="A1120" s="1" t="s">
        <v>150</v>
      </c>
      <c r="B1120" s="103">
        <f>IF(AND('AES Indiana Bill Calc.'!$D$17="HL3",'AES Indiana Bill Calc.'!$D$18="Yes 25%",'AES Indiana Bill Calc.'!$D$20="Yes 2020"),'AES Indiana Bill Calc.'!$D$19,-1)</f>
        <v>-1</v>
      </c>
      <c r="C1120" s="103">
        <f>MAX(E1120,$C$837)</f>
        <v>2000</v>
      </c>
      <c r="D1120" s="103" t="b">
        <f>IF(AND('AES Indiana Bill Calc.'!$D$17="HL3",'AES Indiana Bill Calc.'!$D$18="Yes 25%",'AES Indiana Bill Calc.'!$D$20="Yes 2020"),'AES Indiana Bill Calc.'!$D$22)</f>
        <v>0</v>
      </c>
      <c r="E1120" s="103" t="b">
        <f>IF(AND('AES Indiana Bill Calc.'!$D$17="HL3",'AES Indiana Bill Calc.'!$D$18="Yes 25%",'AES Indiana Bill Calc.'!$D$20="Yes 2020"),'AES Indiana Bill Calc.'!$D$21)</f>
        <v>0</v>
      </c>
      <c r="F1120" s="36" t="s">
        <v>250</v>
      </c>
      <c r="G1120" s="92" t="e">
        <f>SUM(J1120:M1120,R1120:AA1120)</f>
        <v>#N/A</v>
      </c>
      <c r="H1120" s="19" t="e">
        <f>IF(ISBLANK(B1120),0,+#REF!/B1120)</f>
        <v>#REF!</v>
      </c>
      <c r="J1120" s="51">
        <f>IF(ISBLANK(B1120),0,+J$1071)</f>
        <v>500</v>
      </c>
      <c r="K1120" s="17">
        <f>ROUND($B1120*K$1071,2)</f>
        <v>-0.04</v>
      </c>
      <c r="L1120" s="17">
        <f>IF(ISBLANK($C1120),0,IF($C1120&lt;$C$1072,ROUND($C$1072*$L$1071,2),IF($C1120&gt;L$1072,ROUND(L$1072*L$1071,2),ROUND($C1120*L$1071,2))))</f>
        <v>48180</v>
      </c>
      <c r="M1120" s="17">
        <f>IF($C1120&gt;L$1072,ROUND(($C1120-L$1072)*M$1071,2),0)</f>
        <v>0</v>
      </c>
      <c r="N1120" s="17">
        <f>K1120</f>
        <v>-0.04</v>
      </c>
      <c r="O1120" s="17"/>
      <c r="P1120" s="17"/>
      <c r="Q1120" s="17">
        <f>SUM(L1120:M1120)</f>
        <v>48180</v>
      </c>
      <c r="R1120" s="16" t="e">
        <f>ROUND(SUM(K1120:M1120)*(R1119-1),2)</f>
        <v>#N/A</v>
      </c>
      <c r="S1120" s="17">
        <f>ROUND($B1120*S$1071*S1119,2)</f>
        <v>0</v>
      </c>
      <c r="T1120" s="17">
        <f>ROUND($B1120*T$1071,2)</f>
        <v>0</v>
      </c>
      <c r="U1120" s="17">
        <f>ROUND($B1120*U$1071,2)</f>
        <v>0</v>
      </c>
      <c r="V1120" s="8">
        <f>ROUND($B1120*V$1065,2)</f>
        <v>0</v>
      </c>
      <c r="W1120" s="17">
        <f>ROUND($B1120*W$1071,2)</f>
        <v>0</v>
      </c>
      <c r="X1120" s="17">
        <f>ROUND($B1120*X$1071,2)</f>
        <v>-0.01</v>
      </c>
      <c r="Y1120" s="17">
        <f>ROUND($B1120*Y$1071,2)</f>
        <v>0</v>
      </c>
      <c r="Z1120" s="17">
        <f>ROUND($B1120*Z$1071,2)</f>
        <v>0</v>
      </c>
      <c r="AA1120" s="17">
        <f>ROUND($B1120*AA$1071,2)</f>
        <v>0</v>
      </c>
      <c r="AB1120" s="19">
        <f>SUM(U$1071:AA$1071)+(-V$1071+V1104)</f>
        <v>1.1855000000000001E-2</v>
      </c>
      <c r="AC1120" s="67" t="str">
        <f>+F1120</f>
        <v>HL30</v>
      </c>
    </row>
    <row r="1121" spans="1:29" x14ac:dyDescent="0.2">
      <c r="A1121" s="9"/>
      <c r="B1121" s="103">
        <v>-1</v>
      </c>
      <c r="D1121" s="8"/>
      <c r="E1121" s="9"/>
      <c r="F1121" s="36"/>
      <c r="G1121" s="12"/>
      <c r="H1121" s="12"/>
      <c r="J1121" s="12"/>
      <c r="K1121" s="12"/>
      <c r="L1121" s="12"/>
      <c r="M1121" s="12"/>
      <c r="N1121" s="12"/>
      <c r="O1121" s="12"/>
      <c r="P1121" s="12"/>
      <c r="Q1121" s="12"/>
      <c r="R1121" s="38" t="e">
        <f>VLOOKUP((D1122),'Pwr Factor'!$A$1:$B$52,2)</f>
        <v>#N/A</v>
      </c>
      <c r="S1121" s="50">
        <v>0.1</v>
      </c>
      <c r="T1121" s="12"/>
      <c r="U1121" s="12"/>
      <c r="V1121" s="12"/>
      <c r="W1121" s="12"/>
      <c r="X1121" s="12"/>
      <c r="Y1121" s="12"/>
      <c r="Z1121" s="12"/>
      <c r="AA1121" s="12"/>
    </row>
    <row r="1122" spans="1:29" x14ac:dyDescent="0.2">
      <c r="A1122" s="1" t="s">
        <v>164</v>
      </c>
      <c r="B1122" s="103">
        <f>IF(AND('AES Indiana Bill Calc.'!$D$17="HL3",'AES Indiana Bill Calc.'!$D$18="Yes 10%",'AES Indiana Bill Calc.'!$D$20="Yes 2020"),'AES Indiana Bill Calc.'!$D$19,-1)</f>
        <v>-1</v>
      </c>
      <c r="C1122" s="103">
        <f>MAX(E1122,$C$837)</f>
        <v>2000</v>
      </c>
      <c r="D1122" s="103" t="b">
        <f>IF(AND('AES Indiana Bill Calc.'!$D$17="HL3",'AES Indiana Bill Calc.'!$D$18="Yes 10%",'AES Indiana Bill Calc.'!$D$20="Yes 2020"),'AES Indiana Bill Calc.'!$D$22)</f>
        <v>0</v>
      </c>
      <c r="E1122" s="103" t="b">
        <f>IF(AND('AES Indiana Bill Calc.'!$D$17="HL3",'AES Indiana Bill Calc.'!$D$18="Yes 10%",'AES Indiana Bill Calc.'!$D$20="Yes 2020"),'AES Indiana Bill Calc.'!$D$21)</f>
        <v>0</v>
      </c>
      <c r="F1122" s="36" t="s">
        <v>250</v>
      </c>
      <c r="G1122" s="92" t="e">
        <f>SUM(J1122:M1122,R1122:AA1122)</f>
        <v>#N/A</v>
      </c>
      <c r="H1122" s="19" t="e">
        <f>IF(ISBLANK(B1122),0,+#REF!/B1122)</f>
        <v>#REF!</v>
      </c>
      <c r="J1122" s="51">
        <f>IF(ISBLANK(B1122),0,+J$1071)</f>
        <v>500</v>
      </c>
      <c r="K1122" s="17">
        <f>ROUND($B1122*K$1071,2)</f>
        <v>-0.04</v>
      </c>
      <c r="L1122" s="17">
        <f>IF(ISBLANK($C1122),0,IF($C1122&lt;$C$1072,ROUND($C$1072*$L$1071,2),IF($C1122&gt;L$1072,ROUND(L$1072*L$1071,2),ROUND($C1122*L$1071,2))))</f>
        <v>48180</v>
      </c>
      <c r="M1122" s="17">
        <f>IF($C1122&gt;L$1072,ROUND(($C1122-L$1072)*M$1071,2),0)</f>
        <v>0</v>
      </c>
      <c r="N1122" s="17">
        <f>K1122</f>
        <v>-0.04</v>
      </c>
      <c r="O1122" s="17"/>
      <c r="P1122" s="17"/>
      <c r="Q1122" s="17">
        <f>SUM(L1122:M1122)</f>
        <v>48180</v>
      </c>
      <c r="R1122" s="16" t="e">
        <f>ROUND(SUM(K1122:M1122)*(R1121-1),2)</f>
        <v>#N/A</v>
      </c>
      <c r="S1122" s="17">
        <f>ROUND($B1122*S$1071*S1121,2)</f>
        <v>0</v>
      </c>
      <c r="T1122" s="17">
        <f>ROUND($B1122*T$1071,2)</f>
        <v>0</v>
      </c>
      <c r="U1122" s="17">
        <f>ROUND($B1122*U$1071,2)</f>
        <v>0</v>
      </c>
      <c r="V1122" s="8">
        <f>ROUND($B1122*V$1065,2)</f>
        <v>0</v>
      </c>
      <c r="W1122" s="17">
        <f>ROUND($B1122*W$1071,2)</f>
        <v>0</v>
      </c>
      <c r="X1122" s="17">
        <f>ROUND($B1122*X$1071,2)</f>
        <v>-0.01</v>
      </c>
      <c r="Y1122" s="17">
        <f>ROUND($B1122*Y$1071,2)</f>
        <v>0</v>
      </c>
      <c r="Z1122" s="17">
        <f>ROUND($B1122*Z$1071,2)</f>
        <v>0</v>
      </c>
      <c r="AA1122" s="17">
        <f>ROUND($B1122*AA$1071,2)</f>
        <v>0</v>
      </c>
      <c r="AB1122" s="19">
        <f>SUM(U$1071:AA$1071)+(-V$1071+V1106)</f>
        <v>1.1855000000000001E-2</v>
      </c>
      <c r="AC1122" s="67" t="str">
        <f>+F1122</f>
        <v>HL30</v>
      </c>
    </row>
    <row r="1123" spans="1:29" x14ac:dyDescent="0.2">
      <c r="A1123" s="9"/>
      <c r="B1123" s="103">
        <v>-1</v>
      </c>
      <c r="D1123" s="8"/>
      <c r="E1123" s="9"/>
      <c r="F1123" s="36"/>
      <c r="G1123" s="12"/>
      <c r="H1123" s="12"/>
      <c r="J1123" s="12"/>
      <c r="K1123" s="12"/>
      <c r="L1123" s="12"/>
      <c r="M1123" s="12"/>
      <c r="N1123" s="12"/>
      <c r="O1123" s="12"/>
      <c r="P1123" s="12"/>
      <c r="Q1123" s="12"/>
      <c r="R1123" s="38" t="e">
        <f>VLOOKUP((D1124),'Pwr Factor'!$A$1:$B$52,2)</f>
        <v>#N/A</v>
      </c>
      <c r="S1123" s="50">
        <v>0</v>
      </c>
      <c r="T1123" s="12"/>
      <c r="U1123" s="12"/>
      <c r="V1123" s="12"/>
      <c r="W1123" s="12"/>
      <c r="X1123" s="12"/>
      <c r="Y1123" s="12"/>
      <c r="Z1123" s="12"/>
      <c r="AA1123" s="12"/>
    </row>
    <row r="1124" spans="1:29" x14ac:dyDescent="0.2">
      <c r="A1124" s="1" t="s">
        <v>147</v>
      </c>
      <c r="B1124" s="103">
        <f>IF(AND('AES Indiana Bill Calc.'!$D$17="HL3",'AES Indiana Bill Calc.'!$D$18="No",'AES Indiana Bill Calc.'!$D$20="Yes 2020"),'AES Indiana Bill Calc.'!$D$19,-1)</f>
        <v>-1</v>
      </c>
      <c r="C1124" s="103">
        <f>MAX(E1124,$C$837)</f>
        <v>2000</v>
      </c>
      <c r="D1124" s="103" t="b">
        <f>IF(AND('AES Indiana Bill Calc.'!$D$17="HL3",'AES Indiana Bill Calc.'!$D$18="No",'AES Indiana Bill Calc.'!$D$20="Yes 2020"),'AES Indiana Bill Calc.'!$D$22)</f>
        <v>0</v>
      </c>
      <c r="E1124" s="103" t="b">
        <f>IF(AND('AES Indiana Bill Calc.'!$D$17="HL3",'AES Indiana Bill Calc.'!$D$18="No",'AES Indiana Bill Calc.'!$D$20="Yes 2020"),'AES Indiana Bill Calc.'!$D$21)</f>
        <v>0</v>
      </c>
      <c r="F1124" s="36" t="s">
        <v>250</v>
      </c>
      <c r="G1124" s="92" t="e">
        <f>SUM(J1124:M1124,R1124:AA1124)</f>
        <v>#N/A</v>
      </c>
      <c r="H1124" s="19" t="e">
        <f>IF(ISBLANK(B1124),0,+#REF!/B1124)</f>
        <v>#REF!</v>
      </c>
      <c r="J1124" s="51">
        <f>IF(ISBLANK(B1124),0,+J$1071)</f>
        <v>500</v>
      </c>
      <c r="K1124" s="17">
        <f>ROUND($B1124*K$1071,2)</f>
        <v>-0.04</v>
      </c>
      <c r="L1124" s="17">
        <f>IF(ISBLANK($C1124),0,IF($C1124&lt;$C$1072,ROUND($C$1072*$L$1071,2),IF($C1124&gt;L$1072,ROUND(L$1072*L$1071,2),ROUND($C1124*L$1071,2))))</f>
        <v>48180</v>
      </c>
      <c r="M1124" s="17">
        <f>IF($C1124&gt;L$1072,ROUND(($C1124-L$1072)*M$1071,2),0)</f>
        <v>0</v>
      </c>
      <c r="N1124" s="17">
        <f>K1124</f>
        <v>-0.04</v>
      </c>
      <c r="O1124" s="17"/>
      <c r="P1124" s="17"/>
      <c r="Q1124" s="17">
        <f>SUM(L1124:M1124)</f>
        <v>48180</v>
      </c>
      <c r="R1124" s="16" t="e">
        <f>ROUND(SUM(K1124:M1124)*(R1123-1),2)</f>
        <v>#N/A</v>
      </c>
      <c r="S1124" s="17">
        <f>ROUND($B1124*S$1071*S1123,2)</f>
        <v>0</v>
      </c>
      <c r="T1124" s="17">
        <f>ROUND($B1124*T$1071,2)</f>
        <v>0</v>
      </c>
      <c r="U1124" s="17">
        <f>ROUND($B1124*U$1071,2)</f>
        <v>0</v>
      </c>
      <c r="V1124" s="8">
        <f>ROUND($B1124*V$1065,2)</f>
        <v>0</v>
      </c>
      <c r="W1124" s="17">
        <f>ROUND($B1124*W$1071,2)</f>
        <v>0</v>
      </c>
      <c r="X1124" s="17">
        <f>ROUND($B1124*X$1071,2)</f>
        <v>-0.01</v>
      </c>
      <c r="Y1124" s="17">
        <f>ROUND($B1124*Y$1071,2)</f>
        <v>0</v>
      </c>
      <c r="Z1124" s="17">
        <f>ROUND($B1124*Z$1071,2)</f>
        <v>0</v>
      </c>
      <c r="AA1124" s="17">
        <f>ROUND($B1124*AA$1071,2)</f>
        <v>0</v>
      </c>
      <c r="AB1124" s="19">
        <f>SUM(U$1071:AA$1071)+(-V$1071+V1108)</f>
        <v>1.1855000000000001E-2</v>
      </c>
      <c r="AC1124" s="67" t="str">
        <f>+F1124</f>
        <v>HL30</v>
      </c>
    </row>
    <row r="1125" spans="1:29" x14ac:dyDescent="0.2">
      <c r="A1125" s="48"/>
      <c r="B1125" s="103">
        <v>-1</v>
      </c>
      <c r="D1125" s="8"/>
      <c r="E1125" s="9"/>
      <c r="F1125" s="36"/>
      <c r="G1125" s="12"/>
      <c r="H1125" s="12"/>
      <c r="J1125" s="12"/>
      <c r="K1125" s="12"/>
      <c r="L1125" s="12"/>
      <c r="M1125" s="12"/>
      <c r="N1125" s="12"/>
      <c r="O1125" s="12"/>
      <c r="P1125" s="12"/>
      <c r="Q1125" s="12"/>
      <c r="R1125" s="38" t="e">
        <f>VLOOKUP((D1126),'Pwr Factor'!$A$1:$B$52,2)</f>
        <v>#N/A</v>
      </c>
      <c r="S1125" s="50">
        <v>1</v>
      </c>
      <c r="T1125" s="12"/>
      <c r="U1125" s="12"/>
      <c r="V1125" s="12"/>
      <c r="W1125" s="12"/>
      <c r="X1125" s="12"/>
      <c r="Y1125" s="12"/>
      <c r="Z1125" s="12"/>
      <c r="AA1125" s="12"/>
    </row>
    <row r="1126" spans="1:29" x14ac:dyDescent="0.2">
      <c r="A1126" s="1" t="s">
        <v>148</v>
      </c>
      <c r="B1126" s="103">
        <f>IF(AND('AES Indiana Bill Calc.'!$D$17="HL3",'AES Indiana Bill Calc.'!$D$18="Yes 100%",'AES Indiana Bill Calc.'!$D$20="Yes 2021"),'AES Indiana Bill Calc.'!$D$19,-1)</f>
        <v>-1</v>
      </c>
      <c r="C1126" s="103">
        <f>MAX(E1126,$C$837)</f>
        <v>2000</v>
      </c>
      <c r="D1126" s="103" t="b">
        <f>IF(AND('AES Indiana Bill Calc.'!$D$17="HL3",'AES Indiana Bill Calc.'!$D$18="Yes 100%",'AES Indiana Bill Calc.'!$D$20="Yes 2021"),'AES Indiana Bill Calc.'!$D$22)</f>
        <v>0</v>
      </c>
      <c r="E1126" s="103" t="b">
        <f>IF(AND('AES Indiana Bill Calc.'!$D$17="HL3",'AES Indiana Bill Calc.'!$D$18="Yes 100%",'AES Indiana Bill Calc.'!$D$20="Yes 2021"),'AES Indiana Bill Calc.'!$D$21)</f>
        <v>0</v>
      </c>
      <c r="F1126" s="36" t="s">
        <v>251</v>
      </c>
      <c r="G1126" s="92" t="e">
        <f>SUM(J1126:M1126,R1126:AA1126)</f>
        <v>#N/A</v>
      </c>
      <c r="H1126" s="19" t="e">
        <f>IF(ISBLANK(B1126),0,+#REF!/B1126)</f>
        <v>#REF!</v>
      </c>
      <c r="J1126" s="51">
        <f>IF(ISBLANK(B1126),0,+J$1071)</f>
        <v>500</v>
      </c>
      <c r="K1126" s="17">
        <f>ROUND($B1126*K$1071,2)</f>
        <v>-0.04</v>
      </c>
      <c r="L1126" s="17">
        <f>IF(ISBLANK($C1126),0,IF($C1126&lt;$C$1072,ROUND($C$1072*$L$1071,2),IF($C1126&gt;L$1072,ROUND(L$1072*L$1071,2),ROUND($C1126*L$1071,2))))</f>
        <v>48180</v>
      </c>
      <c r="M1126" s="17">
        <f>IF($C1126&gt;L$1072,ROUND(($C1126-L$1072)*M$1071,2),0)</f>
        <v>0</v>
      </c>
      <c r="N1126" s="17">
        <f>K1126</f>
        <v>-0.04</v>
      </c>
      <c r="O1126" s="17"/>
      <c r="P1126" s="17"/>
      <c r="Q1126" s="17">
        <f>SUM(L1126:M1126)</f>
        <v>48180</v>
      </c>
      <c r="R1126" s="16" t="e">
        <f>ROUND(SUM(K1126:M1126)*(R1125-1),2)</f>
        <v>#N/A</v>
      </c>
      <c r="S1126" s="17">
        <f>ROUND($B1126*S$1071*S1125,2)</f>
        <v>0</v>
      </c>
      <c r="T1126" s="17">
        <f>ROUND($B1126*T$1071,2)</f>
        <v>0</v>
      </c>
      <c r="U1126" s="17">
        <f>ROUND($B1126*U$1071,2)</f>
        <v>0</v>
      </c>
      <c r="V1126" s="8">
        <f>ROUND($B1126*V$1066,2)</f>
        <v>0</v>
      </c>
      <c r="W1126" s="17">
        <f>ROUND($B1126*W$1071,2)</f>
        <v>0</v>
      </c>
      <c r="X1126" s="17">
        <f>ROUND($B1126*X$1071,2)</f>
        <v>-0.01</v>
      </c>
      <c r="Y1126" s="17">
        <f>ROUND($B1126*Y$1071,2)</f>
        <v>0</v>
      </c>
      <c r="Z1126" s="17">
        <f>ROUND($B1126*Z$1071,2)</f>
        <v>0</v>
      </c>
      <c r="AA1126" s="17">
        <f>ROUND($B1126*AA$1071,2)</f>
        <v>0</v>
      </c>
      <c r="AB1126" s="19">
        <f>SUM(U$1071:AA$1071)+(-V$1071+V1110)</f>
        <v>1.1855000000000001E-2</v>
      </c>
      <c r="AC1126" s="67" t="str">
        <f>+F1126</f>
        <v>HL31</v>
      </c>
    </row>
    <row r="1127" spans="1:29" x14ac:dyDescent="0.2">
      <c r="A1127" s="48"/>
      <c r="B1127" s="103">
        <v>-1</v>
      </c>
      <c r="D1127" s="8"/>
      <c r="E1127" s="9"/>
      <c r="F1127" s="36"/>
      <c r="G1127" s="12"/>
      <c r="H1127" s="12"/>
      <c r="J1127" s="12"/>
      <c r="K1127" s="12"/>
      <c r="L1127" s="12"/>
      <c r="M1127" s="12"/>
      <c r="N1127" s="12"/>
      <c r="O1127" s="12"/>
      <c r="P1127" s="12"/>
      <c r="Q1127" s="12"/>
      <c r="R1127" s="38" t="e">
        <f>VLOOKUP((D1128),'Pwr Factor'!$A$1:$B$52,2)</f>
        <v>#N/A</v>
      </c>
      <c r="S1127" s="50">
        <v>0.5</v>
      </c>
      <c r="T1127" s="12"/>
      <c r="U1127" s="12"/>
      <c r="V1127" s="12"/>
      <c r="W1127" s="12"/>
      <c r="X1127" s="12"/>
      <c r="Y1127" s="12"/>
      <c r="Z1127" s="12"/>
      <c r="AA1127" s="12"/>
    </row>
    <row r="1128" spans="1:29" x14ac:dyDescent="0.2">
      <c r="A1128" s="1" t="s">
        <v>149</v>
      </c>
      <c r="B1128" s="103">
        <f>IF(AND('AES Indiana Bill Calc.'!$D$17="HL3",'AES Indiana Bill Calc.'!$D$18="Yes 50%",'AES Indiana Bill Calc.'!$D$20="Yes 2021"),'AES Indiana Bill Calc.'!$D$19,-1)</f>
        <v>-1</v>
      </c>
      <c r="C1128" s="103">
        <f>MAX(E1128,$C$837)</f>
        <v>2000</v>
      </c>
      <c r="D1128" s="103" t="b">
        <f>IF(AND('AES Indiana Bill Calc.'!$D$17="HL3",'AES Indiana Bill Calc.'!$D$18="Yes 50%",'AES Indiana Bill Calc.'!$D$20="Yes 2021"),'AES Indiana Bill Calc.'!$D$22)</f>
        <v>0</v>
      </c>
      <c r="E1128" s="103" t="b">
        <f>IF(AND('AES Indiana Bill Calc.'!$D$17="HL3",'AES Indiana Bill Calc.'!$D$18="Yes 50%",'AES Indiana Bill Calc.'!$D$20="Yes 2021"),'AES Indiana Bill Calc.'!$D$21)</f>
        <v>0</v>
      </c>
      <c r="F1128" s="36" t="s">
        <v>251</v>
      </c>
      <c r="G1128" s="92" t="e">
        <f>SUM(J1128:M1128,R1128:AA1128)</f>
        <v>#N/A</v>
      </c>
      <c r="H1128" s="19" t="e">
        <f>IF(ISBLANK(B1128),0,+#REF!/B1128)</f>
        <v>#REF!</v>
      </c>
      <c r="J1128" s="51">
        <f>IF(ISBLANK(B1128),0,+J$1071)</f>
        <v>500</v>
      </c>
      <c r="K1128" s="17">
        <f>ROUND($B1128*K$1071,2)</f>
        <v>-0.04</v>
      </c>
      <c r="L1128" s="17">
        <f>IF(ISBLANK($C1128),0,IF($C1128&lt;$C$1072,ROUND($C$1072*$L$1071,2),IF($C1128&gt;L$1072,ROUND(L$1072*L$1071,2),ROUND($C1128*L$1071,2))))</f>
        <v>48180</v>
      </c>
      <c r="M1128" s="17">
        <f>IF($C1128&gt;L$1072,ROUND(($C1128-L$1072)*M$1071,2),0)</f>
        <v>0</v>
      </c>
      <c r="N1128" s="17">
        <f>K1128</f>
        <v>-0.04</v>
      </c>
      <c r="O1128" s="17"/>
      <c r="P1128" s="17"/>
      <c r="Q1128" s="17">
        <f>SUM(L1128:M1128)</f>
        <v>48180</v>
      </c>
      <c r="R1128" s="16" t="e">
        <f>ROUND(SUM(K1128:M1128)*(R1127-1),2)</f>
        <v>#N/A</v>
      </c>
      <c r="S1128" s="17">
        <f>ROUND($B1128*S$1071*S1127,2)</f>
        <v>0</v>
      </c>
      <c r="T1128" s="17">
        <f>ROUND($B1128*T$1071,2)</f>
        <v>0</v>
      </c>
      <c r="U1128" s="17">
        <f>ROUND($B1128*U$1071,2)</f>
        <v>0</v>
      </c>
      <c r="V1128" s="8">
        <f>ROUND($B1128*V$1066,2)</f>
        <v>0</v>
      </c>
      <c r="W1128" s="17">
        <f>ROUND($B1128*W$1071,2)</f>
        <v>0</v>
      </c>
      <c r="X1128" s="17">
        <f>ROUND($B1128*X$1071,2)</f>
        <v>-0.01</v>
      </c>
      <c r="Y1128" s="17">
        <f>ROUND($B1128*Y$1071,2)</f>
        <v>0</v>
      </c>
      <c r="Z1128" s="17">
        <f>ROUND($B1128*Z$1071,2)</f>
        <v>0</v>
      </c>
      <c r="AA1128" s="17">
        <f>ROUND($B1128*AA$1071,2)</f>
        <v>0</v>
      </c>
      <c r="AB1128" s="19">
        <f>SUM(U$1071:AA$1071)+(-V$1071+V1112)</f>
        <v>1.1855000000000001E-2</v>
      </c>
      <c r="AC1128" s="67" t="str">
        <f>+F1128</f>
        <v>HL31</v>
      </c>
    </row>
    <row r="1129" spans="1:29" x14ac:dyDescent="0.2">
      <c r="A1129" s="9"/>
      <c r="B1129" s="103">
        <v>-1</v>
      </c>
      <c r="D1129" s="8"/>
      <c r="E1129" s="9"/>
      <c r="F1129" s="36"/>
      <c r="G1129" s="12"/>
      <c r="H1129" s="12"/>
      <c r="J1129" s="12"/>
      <c r="K1129" s="12"/>
      <c r="L1129" s="12"/>
      <c r="M1129" s="12"/>
      <c r="N1129" s="12"/>
      <c r="O1129" s="12"/>
      <c r="P1129" s="12"/>
      <c r="Q1129" s="12"/>
      <c r="R1129" s="38" t="e">
        <f>VLOOKUP((D1130),'Pwr Factor'!$A$1:$B$52,2)</f>
        <v>#N/A</v>
      </c>
      <c r="S1129" s="50">
        <v>0.25</v>
      </c>
      <c r="T1129" s="12"/>
      <c r="U1129" s="12"/>
      <c r="V1129" s="12"/>
      <c r="W1129" s="12"/>
      <c r="X1129" s="12"/>
      <c r="Y1129" s="12"/>
      <c r="Z1129" s="12"/>
      <c r="AA1129" s="12"/>
    </row>
    <row r="1130" spans="1:29" x14ac:dyDescent="0.2">
      <c r="A1130" s="1" t="s">
        <v>150</v>
      </c>
      <c r="B1130" s="103">
        <f>IF(AND('AES Indiana Bill Calc.'!$D$17="HL3",'AES Indiana Bill Calc.'!$D$18="Yes 25%",'AES Indiana Bill Calc.'!$D$20="Yes 2021"),'AES Indiana Bill Calc.'!$D$19,-1)</f>
        <v>-1</v>
      </c>
      <c r="C1130" s="103">
        <f>MAX(E1130,$C$837)</f>
        <v>2000</v>
      </c>
      <c r="D1130" s="103" t="b">
        <f>IF(AND('AES Indiana Bill Calc.'!$D$17="HL3",'AES Indiana Bill Calc.'!$D$18="Yes 25%",'AES Indiana Bill Calc.'!$D$20="Yes 2021"),'AES Indiana Bill Calc.'!$D$22)</f>
        <v>0</v>
      </c>
      <c r="E1130" s="103" t="b">
        <f>IF(AND('AES Indiana Bill Calc.'!$D$17="HL3",'AES Indiana Bill Calc.'!$D$18="Yes 25%",'AES Indiana Bill Calc.'!$D$20="Yes 2021"),'AES Indiana Bill Calc.'!$D$21)</f>
        <v>0</v>
      </c>
      <c r="F1130" s="36" t="s">
        <v>251</v>
      </c>
      <c r="G1130" s="92" t="e">
        <f>SUM(J1130:M1130,R1130:AA1130)</f>
        <v>#N/A</v>
      </c>
      <c r="H1130" s="19" t="e">
        <f>IF(ISBLANK(B1130),0,+#REF!/B1130)</f>
        <v>#REF!</v>
      </c>
      <c r="J1130" s="51">
        <f>IF(ISBLANK(B1130),0,+J$1071)</f>
        <v>500</v>
      </c>
      <c r="K1130" s="17">
        <f>ROUND($B1130*K$1071,2)</f>
        <v>-0.04</v>
      </c>
      <c r="L1130" s="17">
        <f>IF(ISBLANK($C1130),0,IF($C1130&lt;$C$1072,ROUND($C$1072*$L$1071,2),IF($C1130&gt;L$1072,ROUND(L$1072*L$1071,2),ROUND($C1130*L$1071,2))))</f>
        <v>48180</v>
      </c>
      <c r="M1130" s="17">
        <f>IF($C1130&gt;L$1072,ROUND(($C1130-L$1072)*M$1071,2),0)</f>
        <v>0</v>
      </c>
      <c r="N1130" s="17">
        <f>K1130</f>
        <v>-0.04</v>
      </c>
      <c r="O1130" s="17"/>
      <c r="P1130" s="17"/>
      <c r="Q1130" s="17">
        <f>SUM(L1130:M1130)</f>
        <v>48180</v>
      </c>
      <c r="R1130" s="16" t="e">
        <f>ROUND(SUM(K1130:M1130)*(R1129-1),2)</f>
        <v>#N/A</v>
      </c>
      <c r="S1130" s="17">
        <f>ROUND($B1130*S$1071*S1129,2)</f>
        <v>0</v>
      </c>
      <c r="T1130" s="17">
        <f>ROUND($B1130*T$1071,2)</f>
        <v>0</v>
      </c>
      <c r="U1130" s="17">
        <f>ROUND($B1130*U$1071,2)</f>
        <v>0</v>
      </c>
      <c r="V1130" s="8">
        <f>ROUND($B1130*V$1066,2)</f>
        <v>0</v>
      </c>
      <c r="W1130" s="17">
        <f>ROUND($B1130*W$1071,2)</f>
        <v>0</v>
      </c>
      <c r="X1130" s="17">
        <f>ROUND($B1130*X$1071,2)</f>
        <v>-0.01</v>
      </c>
      <c r="Y1130" s="17">
        <f>ROUND($B1130*Y$1071,2)</f>
        <v>0</v>
      </c>
      <c r="Z1130" s="17">
        <f>ROUND($B1130*Z$1071,2)</f>
        <v>0</v>
      </c>
      <c r="AA1130" s="17">
        <f>ROUND($B1130*AA$1071,2)</f>
        <v>0</v>
      </c>
      <c r="AB1130" s="19">
        <f>SUM(U$1071:AA$1071)+(-V$1071+V1114)</f>
        <v>1.1855000000000001E-2</v>
      </c>
      <c r="AC1130" s="67" t="str">
        <f>+F1130</f>
        <v>HL31</v>
      </c>
    </row>
    <row r="1131" spans="1:29" x14ac:dyDescent="0.2">
      <c r="A1131" s="9"/>
      <c r="B1131" s="103">
        <v>-1</v>
      </c>
      <c r="D1131" s="8"/>
      <c r="E1131" s="9"/>
      <c r="F1131" s="36"/>
      <c r="G1131" s="12"/>
      <c r="H1131" s="12"/>
      <c r="J1131" s="12"/>
      <c r="K1131" s="12"/>
      <c r="L1131" s="12"/>
      <c r="M1131" s="12"/>
      <c r="N1131" s="12"/>
      <c r="O1131" s="12"/>
      <c r="P1131" s="12"/>
      <c r="Q1131" s="12"/>
      <c r="R1131" s="38" t="e">
        <f>VLOOKUP((D1132),'Pwr Factor'!$A$1:$B$52,2)</f>
        <v>#N/A</v>
      </c>
      <c r="S1131" s="50">
        <v>0.1</v>
      </c>
      <c r="T1131" s="12"/>
      <c r="U1131" s="12"/>
      <c r="V1131" s="12"/>
      <c r="W1131" s="12"/>
      <c r="X1131" s="12"/>
      <c r="Y1131" s="12"/>
      <c r="Z1131" s="12"/>
      <c r="AA1131" s="12"/>
    </row>
    <row r="1132" spans="1:29" x14ac:dyDescent="0.2">
      <c r="A1132" s="1" t="s">
        <v>164</v>
      </c>
      <c r="B1132" s="103">
        <f>IF(AND('AES Indiana Bill Calc.'!$D$17="HL3",'AES Indiana Bill Calc.'!$D$18="Yes 10%",'AES Indiana Bill Calc.'!$D$20="Yes 2021"),'AES Indiana Bill Calc.'!$D$19,-1)</f>
        <v>-1</v>
      </c>
      <c r="C1132" s="103">
        <f>MAX(E1132,$C$837)</f>
        <v>2000</v>
      </c>
      <c r="D1132" s="103" t="b">
        <f>IF(AND('AES Indiana Bill Calc.'!$D$17="HL3",'AES Indiana Bill Calc.'!$D$18="Yes 10%",'AES Indiana Bill Calc.'!$D$20="Yes 2021"),'AES Indiana Bill Calc.'!$D$22)</f>
        <v>0</v>
      </c>
      <c r="E1132" s="103" t="b">
        <f>IF(AND('AES Indiana Bill Calc.'!$D$17="HL3",'AES Indiana Bill Calc.'!$D$18="Yes 10%",'AES Indiana Bill Calc.'!$D$20="Yes 2021"),'AES Indiana Bill Calc.'!$D$21)</f>
        <v>0</v>
      </c>
      <c r="F1132" s="36" t="s">
        <v>251</v>
      </c>
      <c r="G1132" s="92" t="e">
        <f>SUM(J1132:M1132,R1132:AA1132)</f>
        <v>#N/A</v>
      </c>
      <c r="H1132" s="19" t="e">
        <f>IF(ISBLANK(B1132),0,+#REF!/B1132)</f>
        <v>#REF!</v>
      </c>
      <c r="J1132" s="51">
        <f>IF(ISBLANK(B1132),0,+J$1071)</f>
        <v>500</v>
      </c>
      <c r="K1132" s="17">
        <f>ROUND($B1132*K$1071,2)</f>
        <v>-0.04</v>
      </c>
      <c r="L1132" s="17">
        <f>IF(ISBLANK($C1132),0,IF($C1132&lt;$C$1072,ROUND($C$1072*$L$1071,2),IF($C1132&gt;L$1072,ROUND(L$1072*L$1071,2),ROUND($C1132*L$1071,2))))</f>
        <v>48180</v>
      </c>
      <c r="M1132" s="17">
        <f>IF($C1132&gt;L$1072,ROUND(($C1132-L$1072)*M$1071,2),0)</f>
        <v>0</v>
      </c>
      <c r="N1132" s="17">
        <f>K1132</f>
        <v>-0.04</v>
      </c>
      <c r="O1132" s="17"/>
      <c r="P1132" s="17"/>
      <c r="Q1132" s="17">
        <f>SUM(L1132:M1132)</f>
        <v>48180</v>
      </c>
      <c r="R1132" s="16" t="e">
        <f>ROUND(SUM(K1132:M1132)*(R1131-1),2)</f>
        <v>#N/A</v>
      </c>
      <c r="S1132" s="17">
        <f>ROUND($B1132*S$1071*S1131,2)</f>
        <v>0</v>
      </c>
      <c r="T1132" s="17">
        <f>ROUND($B1132*T$1071,2)</f>
        <v>0</v>
      </c>
      <c r="U1132" s="17">
        <f>ROUND($B1132*U$1071,2)</f>
        <v>0</v>
      </c>
      <c r="V1132" s="8">
        <f>ROUND($B1132*V$1066,2)</f>
        <v>0</v>
      </c>
      <c r="W1132" s="17">
        <f>ROUND($B1132*W$1071,2)</f>
        <v>0</v>
      </c>
      <c r="X1132" s="17">
        <f>ROUND($B1132*X$1071,2)</f>
        <v>-0.01</v>
      </c>
      <c r="Y1132" s="17">
        <f>ROUND($B1132*Y$1071,2)</f>
        <v>0</v>
      </c>
      <c r="Z1132" s="17">
        <f>ROUND($B1132*Z$1071,2)</f>
        <v>0</v>
      </c>
      <c r="AA1132" s="17">
        <f>ROUND($B1132*AA$1071,2)</f>
        <v>0</v>
      </c>
      <c r="AB1132" s="19">
        <f>SUM(U$1071:AA$1071)+(-V$1071+V1116)</f>
        <v>1.1855000000000001E-2</v>
      </c>
      <c r="AC1132" s="67" t="str">
        <f>+F1132</f>
        <v>HL31</v>
      </c>
    </row>
    <row r="1133" spans="1:29" x14ac:dyDescent="0.2">
      <c r="A1133" s="9"/>
      <c r="B1133" s="103">
        <v>-1</v>
      </c>
      <c r="D1133" s="8"/>
      <c r="E1133" s="9"/>
      <c r="F1133" s="36"/>
      <c r="G1133" s="12"/>
      <c r="H1133" s="12"/>
      <c r="J1133" s="12"/>
      <c r="K1133" s="12"/>
      <c r="L1133" s="12"/>
      <c r="M1133" s="12"/>
      <c r="N1133" s="12"/>
      <c r="O1133" s="12"/>
      <c r="P1133" s="12"/>
      <c r="Q1133" s="12"/>
      <c r="R1133" s="38" t="e">
        <f>VLOOKUP((D1134),'Pwr Factor'!$A$1:$B$52,2)</f>
        <v>#N/A</v>
      </c>
      <c r="S1133" s="50">
        <v>0</v>
      </c>
      <c r="T1133" s="12"/>
      <c r="U1133" s="12"/>
      <c r="V1133" s="12"/>
      <c r="W1133" s="12"/>
      <c r="X1133" s="12"/>
      <c r="Y1133" s="12"/>
      <c r="Z1133" s="12"/>
      <c r="AA1133" s="12"/>
    </row>
    <row r="1134" spans="1:29" x14ac:dyDescent="0.2">
      <c r="A1134" s="1" t="s">
        <v>147</v>
      </c>
      <c r="B1134" s="103">
        <f>IF(AND('AES Indiana Bill Calc.'!$D$17="HL3",'AES Indiana Bill Calc.'!$D$18="No",'AES Indiana Bill Calc.'!$D$20="Yes 2021"),'AES Indiana Bill Calc.'!$D$19,-1)</f>
        <v>-1</v>
      </c>
      <c r="C1134" s="103">
        <f>MAX(E1134,$C$837)</f>
        <v>2000</v>
      </c>
      <c r="D1134" s="103" t="b">
        <f>IF(AND('AES Indiana Bill Calc.'!$D$17="HL3",'AES Indiana Bill Calc.'!$D$18="No",'AES Indiana Bill Calc.'!$D$20="Yes 2021"),'AES Indiana Bill Calc.'!$D$22)</f>
        <v>0</v>
      </c>
      <c r="E1134" s="103" t="b">
        <f>IF(AND('AES Indiana Bill Calc.'!$D$17="HL3",'AES Indiana Bill Calc.'!$D$18="No",'AES Indiana Bill Calc.'!$D$20="Yes 2021"),'AES Indiana Bill Calc.'!$D$21)</f>
        <v>0</v>
      </c>
      <c r="F1134" s="36" t="s">
        <v>251</v>
      </c>
      <c r="G1134" s="92" t="e">
        <f>SUM(J1134:M1134,R1134:AA1134)</f>
        <v>#N/A</v>
      </c>
      <c r="H1134" s="19" t="e">
        <f>IF(ISBLANK(B1134),0,+#REF!/B1134)</f>
        <v>#REF!</v>
      </c>
      <c r="J1134" s="51">
        <f>IF(ISBLANK(B1134),0,+J$1071)</f>
        <v>500</v>
      </c>
      <c r="K1134" s="17">
        <f>ROUND($B1134*K$1071,2)</f>
        <v>-0.04</v>
      </c>
      <c r="L1134" s="17">
        <f>IF(ISBLANK($C1134),0,IF($C1134&lt;$C$1072,ROUND($C$1072*$L$1071,2),IF($C1134&gt;L$1072,ROUND(L$1072*L$1071,2),ROUND($C1134*L$1071,2))))</f>
        <v>48180</v>
      </c>
      <c r="M1134" s="17">
        <f>IF($C1134&gt;L$1072,ROUND(($C1134-L$1072)*M$1071,2),0)</f>
        <v>0</v>
      </c>
      <c r="N1134" s="17">
        <f>K1134</f>
        <v>-0.04</v>
      </c>
      <c r="O1134" s="17"/>
      <c r="P1134" s="17"/>
      <c r="Q1134" s="17">
        <f>SUM(L1134:M1134)</f>
        <v>48180</v>
      </c>
      <c r="R1134" s="16" t="e">
        <f>ROUND(SUM(K1134:M1134)*(R1133-1),2)</f>
        <v>#N/A</v>
      </c>
      <c r="S1134" s="17">
        <f>ROUND($B1134*S$1071*S1133,2)</f>
        <v>0</v>
      </c>
      <c r="T1134" s="17">
        <f>ROUND($B1134*T$1071,2)</f>
        <v>0</v>
      </c>
      <c r="U1134" s="17">
        <f>ROUND($B1134*U$1071,2)</f>
        <v>0</v>
      </c>
      <c r="V1134" s="8">
        <f>ROUND($B1134*V$1066,2)</f>
        <v>0</v>
      </c>
      <c r="W1134" s="17">
        <f>ROUND($B1134*W$1071,2)</f>
        <v>0</v>
      </c>
      <c r="X1134" s="17">
        <f>ROUND($B1134*X$1071,2)</f>
        <v>-0.01</v>
      </c>
      <c r="Y1134" s="17">
        <f>ROUND($B1134*Y$1071,2)</f>
        <v>0</v>
      </c>
      <c r="Z1134" s="17">
        <f>ROUND($B1134*Z$1071,2)</f>
        <v>0</v>
      </c>
      <c r="AA1134" s="17">
        <f>ROUND($B1134*AA$1071,2)</f>
        <v>0</v>
      </c>
      <c r="AB1134" s="19">
        <f>SUM(U$1071:AA$1071)+(-V$1071+V1118)</f>
        <v>1.1855000000000001E-2</v>
      </c>
      <c r="AC1134" s="67" t="str">
        <f>+F1134</f>
        <v>HL31</v>
      </c>
    </row>
    <row r="1135" spans="1:29" x14ac:dyDescent="0.2">
      <c r="A1135" s="48"/>
      <c r="B1135" s="103">
        <v>-1</v>
      </c>
      <c r="D1135" s="8"/>
      <c r="E1135" s="9"/>
      <c r="F1135" s="36"/>
      <c r="G1135" s="12"/>
      <c r="H1135" s="12"/>
      <c r="J1135" s="12"/>
      <c r="K1135" s="12"/>
      <c r="L1135" s="12"/>
      <c r="M1135" s="12"/>
      <c r="N1135" s="12"/>
      <c r="O1135" s="12"/>
      <c r="P1135" s="12"/>
      <c r="Q1135" s="12"/>
      <c r="R1135" s="38" t="e">
        <f>VLOOKUP((D1136),'Pwr Factor'!$A$1:$B$52,2)</f>
        <v>#N/A</v>
      </c>
      <c r="S1135" s="50">
        <v>1</v>
      </c>
      <c r="T1135" s="12"/>
      <c r="U1135" s="12"/>
      <c r="V1135" s="12"/>
      <c r="W1135" s="12"/>
      <c r="X1135" s="12"/>
      <c r="Y1135" s="12"/>
      <c r="Z1135" s="12"/>
      <c r="AA1135" s="12"/>
    </row>
    <row r="1136" spans="1:29" x14ac:dyDescent="0.2">
      <c r="A1136" s="1" t="s">
        <v>148</v>
      </c>
      <c r="B1136" s="103">
        <f>IF(AND('AES Indiana Bill Calc.'!$D$17="HL3",'AES Indiana Bill Calc.'!$D$18="Yes 100%",'AES Indiana Bill Calc.'!$D$20="Yes 2022"),'AES Indiana Bill Calc.'!$D$19,-1)</f>
        <v>-1</v>
      </c>
      <c r="C1136" s="103">
        <f>MAX(E1136,$C$837)</f>
        <v>2000</v>
      </c>
      <c r="D1136" s="103" t="b">
        <f>IF(AND('AES Indiana Bill Calc.'!$D$17="HL3",'AES Indiana Bill Calc.'!$D$18="Yes 100%",'AES Indiana Bill Calc.'!$D$20="Yes 2022"),'AES Indiana Bill Calc.'!$D$22)</f>
        <v>0</v>
      </c>
      <c r="E1136" s="103" t="b">
        <f>IF(AND('AES Indiana Bill Calc.'!$D$17="HL3",'AES Indiana Bill Calc.'!$D$18="Yes 100%",'AES Indiana Bill Calc.'!$D$20="Yes 2022"),'AES Indiana Bill Calc.'!$D$21)</f>
        <v>0</v>
      </c>
      <c r="F1136" s="36" t="s">
        <v>251</v>
      </c>
      <c r="G1136" s="92" t="e">
        <f>SUM(J1136:M1136,R1136:AA1136)</f>
        <v>#N/A</v>
      </c>
      <c r="H1136" s="19" t="e">
        <f>IF(ISBLANK(B1136),0,+#REF!/B1136)</f>
        <v>#REF!</v>
      </c>
      <c r="J1136" s="51">
        <f>IF(ISBLANK(B1136),0,+J$1071)</f>
        <v>500</v>
      </c>
      <c r="K1136" s="17">
        <f>ROUND($B1136*K$1071,2)</f>
        <v>-0.04</v>
      </c>
      <c r="L1136" s="17">
        <f>IF(ISBLANK($C1136),0,IF($C1136&lt;$C$1072,ROUND($C$1072*$L$1071,2),IF($C1136&gt;L$1072,ROUND(L$1072*L$1071,2),ROUND($C1136*L$1071,2))))</f>
        <v>48180</v>
      </c>
      <c r="M1136" s="17">
        <f>IF($C1136&gt;L$1072,ROUND(($C1136-L$1072)*M$1071,2),0)</f>
        <v>0</v>
      </c>
      <c r="N1136" s="17">
        <f>K1136</f>
        <v>-0.04</v>
      </c>
      <c r="O1136" s="17"/>
      <c r="P1136" s="17"/>
      <c r="Q1136" s="17">
        <f>SUM(L1136:M1136)</f>
        <v>48180</v>
      </c>
      <c r="R1136" s="16" t="e">
        <f>ROUND(SUM(K1136:M1136)*(R1135-1),2)</f>
        <v>#N/A</v>
      </c>
      <c r="S1136" s="17">
        <f>ROUND($B1136*S$1071*S1135,2)</f>
        <v>0</v>
      </c>
      <c r="T1136" s="17">
        <f>ROUND($B1136*T$1071,2)</f>
        <v>0</v>
      </c>
      <c r="U1136" s="17">
        <f>ROUND($B1136*U$1071,2)</f>
        <v>0</v>
      </c>
      <c r="V1136" s="8">
        <f>ROUND($B1136*V$1067,2)</f>
        <v>0</v>
      </c>
      <c r="W1136" s="17">
        <f>ROUND($B1136*W$1071,2)</f>
        <v>0</v>
      </c>
      <c r="X1136" s="17">
        <f>ROUND($B1136*X$1071,2)</f>
        <v>-0.01</v>
      </c>
      <c r="Y1136" s="17">
        <f>ROUND($B1136*Y$1071,2)</f>
        <v>0</v>
      </c>
      <c r="Z1136" s="17">
        <f>ROUND($B1136*Z$1071,2)</f>
        <v>0</v>
      </c>
      <c r="AA1136" s="17">
        <f>ROUND($B1136*AA$1071,2)</f>
        <v>0</v>
      </c>
      <c r="AB1136" s="19">
        <f>SUM(U$1071:AA$1071)+(-V$1071+V1120)</f>
        <v>1.1855000000000001E-2</v>
      </c>
      <c r="AC1136" s="67" t="str">
        <f>+F1136</f>
        <v>HL31</v>
      </c>
    </row>
    <row r="1137" spans="1:29" x14ac:dyDescent="0.2">
      <c r="A1137" s="48"/>
      <c r="B1137" s="103">
        <v>-1</v>
      </c>
      <c r="D1137" s="8"/>
      <c r="E1137" s="9"/>
      <c r="F1137" s="36"/>
      <c r="G1137" s="12"/>
      <c r="H1137" s="12"/>
      <c r="J1137" s="12"/>
      <c r="K1137" s="12"/>
      <c r="L1137" s="12"/>
      <c r="M1137" s="12"/>
      <c r="N1137" s="12"/>
      <c r="O1137" s="12"/>
      <c r="P1137" s="12"/>
      <c r="Q1137" s="12"/>
      <c r="R1137" s="38" t="e">
        <f>VLOOKUP((D1138),'Pwr Factor'!$A$1:$B$52,2)</f>
        <v>#N/A</v>
      </c>
      <c r="S1137" s="50">
        <v>0.5</v>
      </c>
      <c r="T1137" s="12"/>
      <c r="U1137" s="12"/>
      <c r="V1137" s="12"/>
      <c r="W1137" s="12"/>
      <c r="X1137" s="12"/>
      <c r="Y1137" s="12"/>
      <c r="Z1137" s="12"/>
      <c r="AA1137" s="12"/>
    </row>
    <row r="1138" spans="1:29" x14ac:dyDescent="0.2">
      <c r="A1138" s="1" t="s">
        <v>149</v>
      </c>
      <c r="B1138" s="103">
        <f>IF(AND('AES Indiana Bill Calc.'!$D$17="HL3",'AES Indiana Bill Calc.'!$D$18="Yes 50%",'AES Indiana Bill Calc.'!$D$20="Yes 2022"),'AES Indiana Bill Calc.'!$D$19,-1)</f>
        <v>-1</v>
      </c>
      <c r="C1138" s="103">
        <f>MAX(E1138,$C$837)</f>
        <v>2000</v>
      </c>
      <c r="D1138" s="103" t="b">
        <f>IF(AND('AES Indiana Bill Calc.'!$D$17="HL3",'AES Indiana Bill Calc.'!$D$18="Yes 50%",'AES Indiana Bill Calc.'!$D$20="Yes 2022"),'AES Indiana Bill Calc.'!$D$22)</f>
        <v>0</v>
      </c>
      <c r="E1138" s="103" t="b">
        <f>IF(AND('AES Indiana Bill Calc.'!$D$17="HL3",'AES Indiana Bill Calc.'!$D$18="Yes 50%",'AES Indiana Bill Calc.'!$D$20="Yes 2022"),'AES Indiana Bill Calc.'!$D$21)</f>
        <v>0</v>
      </c>
      <c r="F1138" s="36" t="s">
        <v>251</v>
      </c>
      <c r="G1138" s="92" t="e">
        <f>SUM(J1138:M1138,R1138:AA1138)</f>
        <v>#N/A</v>
      </c>
      <c r="H1138" s="19" t="e">
        <f>IF(ISBLANK(B1138),0,+#REF!/B1138)</f>
        <v>#REF!</v>
      </c>
      <c r="J1138" s="51">
        <f>IF(ISBLANK(B1138),0,+J$1071)</f>
        <v>500</v>
      </c>
      <c r="K1138" s="17">
        <f>ROUND($B1138*K$1071,2)</f>
        <v>-0.04</v>
      </c>
      <c r="L1138" s="17">
        <f>IF(ISBLANK($C1138),0,IF($C1138&lt;$C$1072,ROUND($C$1072*$L$1071,2),IF($C1138&gt;L$1072,ROUND(L$1072*L$1071,2),ROUND($C1138*L$1071,2))))</f>
        <v>48180</v>
      </c>
      <c r="M1138" s="17">
        <f>IF($C1138&gt;L$1072,ROUND(($C1138-L$1072)*M$1071,2),0)</f>
        <v>0</v>
      </c>
      <c r="N1138" s="17">
        <f>K1138</f>
        <v>-0.04</v>
      </c>
      <c r="O1138" s="17"/>
      <c r="P1138" s="17"/>
      <c r="Q1138" s="17">
        <f>SUM(L1138:M1138)</f>
        <v>48180</v>
      </c>
      <c r="R1138" s="16" t="e">
        <f>ROUND(SUM(K1138:M1138)*(R1137-1),2)</f>
        <v>#N/A</v>
      </c>
      <c r="S1138" s="17">
        <f>ROUND($B1138*S$1071*S1137,2)</f>
        <v>0</v>
      </c>
      <c r="T1138" s="17">
        <f>ROUND($B1138*T$1071,2)</f>
        <v>0</v>
      </c>
      <c r="U1138" s="17">
        <f>ROUND($B1138*U$1071,2)</f>
        <v>0</v>
      </c>
      <c r="V1138" s="8">
        <f>ROUND($B1138*V$1067,2)</f>
        <v>0</v>
      </c>
      <c r="W1138" s="17">
        <f>ROUND($B1138*W$1071,2)</f>
        <v>0</v>
      </c>
      <c r="X1138" s="17">
        <f>ROUND($B1138*X$1071,2)</f>
        <v>-0.01</v>
      </c>
      <c r="Y1138" s="17">
        <f>ROUND($B1138*Y$1071,2)</f>
        <v>0</v>
      </c>
      <c r="Z1138" s="17">
        <f>ROUND($B1138*Z$1071,2)</f>
        <v>0</v>
      </c>
      <c r="AA1138" s="17">
        <f>ROUND($B1138*AA$1071,2)</f>
        <v>0</v>
      </c>
      <c r="AB1138" s="19">
        <f>SUM(U$1071:AA$1071)+(-V$1071+V1122)</f>
        <v>1.1855000000000001E-2</v>
      </c>
      <c r="AC1138" s="67" t="str">
        <f>+F1138</f>
        <v>HL31</v>
      </c>
    </row>
    <row r="1139" spans="1:29" x14ac:dyDescent="0.2">
      <c r="A1139" s="9"/>
      <c r="B1139" s="103">
        <v>-1</v>
      </c>
      <c r="D1139" s="8"/>
      <c r="E1139" s="9"/>
      <c r="F1139" s="36"/>
      <c r="G1139" s="12"/>
      <c r="H1139" s="12"/>
      <c r="J1139" s="12"/>
      <c r="K1139" s="12"/>
      <c r="L1139" s="12"/>
      <c r="M1139" s="12"/>
      <c r="N1139" s="12"/>
      <c r="O1139" s="12"/>
      <c r="P1139" s="12"/>
      <c r="Q1139" s="12"/>
      <c r="R1139" s="38" t="e">
        <f>VLOOKUP((D1140),'Pwr Factor'!$A$1:$B$52,2)</f>
        <v>#N/A</v>
      </c>
      <c r="S1139" s="50">
        <v>0.25</v>
      </c>
      <c r="T1139" s="12"/>
      <c r="U1139" s="12"/>
      <c r="V1139" s="12"/>
      <c r="W1139" s="12"/>
      <c r="X1139" s="12"/>
      <c r="Y1139" s="12"/>
      <c r="Z1139" s="12"/>
      <c r="AA1139" s="12"/>
    </row>
    <row r="1140" spans="1:29" x14ac:dyDescent="0.2">
      <c r="A1140" s="1" t="s">
        <v>150</v>
      </c>
      <c r="B1140" s="103">
        <f>IF(AND('AES Indiana Bill Calc.'!$D$17="HL3",'AES Indiana Bill Calc.'!$D$18="Yes 25%",'AES Indiana Bill Calc.'!$D$20="Yes 2022"),'AES Indiana Bill Calc.'!$D$19,-1)</f>
        <v>-1</v>
      </c>
      <c r="C1140" s="103">
        <f>MAX(E1140,$C$837)</f>
        <v>2000</v>
      </c>
      <c r="D1140" s="103" t="b">
        <f>IF(AND('AES Indiana Bill Calc.'!$D$17="HL3",'AES Indiana Bill Calc.'!$D$18="Yes 25%",'AES Indiana Bill Calc.'!$D$20="Yes 2022"),'AES Indiana Bill Calc.'!$D$22)</f>
        <v>0</v>
      </c>
      <c r="E1140" s="103" t="b">
        <f>IF(AND('AES Indiana Bill Calc.'!$D$17="HL3",'AES Indiana Bill Calc.'!$D$18="Yes 25%",'AES Indiana Bill Calc.'!$D$20="Yes 2022"),'AES Indiana Bill Calc.'!$D$21)</f>
        <v>0</v>
      </c>
      <c r="F1140" s="36" t="s">
        <v>251</v>
      </c>
      <c r="G1140" s="92" t="e">
        <f>SUM(J1140:M1140,R1140:AA1140)</f>
        <v>#N/A</v>
      </c>
      <c r="H1140" s="19" t="e">
        <f>IF(ISBLANK(B1140),0,+#REF!/B1140)</f>
        <v>#REF!</v>
      </c>
      <c r="J1140" s="51">
        <f>IF(ISBLANK(B1140),0,+J$1071)</f>
        <v>500</v>
      </c>
      <c r="K1140" s="17">
        <f>ROUND($B1140*K$1071,2)</f>
        <v>-0.04</v>
      </c>
      <c r="L1140" s="17">
        <f>IF(ISBLANK($C1140),0,IF($C1140&lt;$C$1072,ROUND($C$1072*$L$1071,2),IF($C1140&gt;L$1072,ROUND(L$1072*L$1071,2),ROUND($C1140*L$1071,2))))</f>
        <v>48180</v>
      </c>
      <c r="M1140" s="17">
        <f>IF($C1140&gt;L$1072,ROUND(($C1140-L$1072)*M$1071,2),0)</f>
        <v>0</v>
      </c>
      <c r="N1140" s="17">
        <f>K1140</f>
        <v>-0.04</v>
      </c>
      <c r="O1140" s="17"/>
      <c r="P1140" s="17"/>
      <c r="Q1140" s="17">
        <f>SUM(L1140:M1140)</f>
        <v>48180</v>
      </c>
      <c r="R1140" s="16" t="e">
        <f>ROUND(SUM(K1140:M1140)*(R1139-1),2)</f>
        <v>#N/A</v>
      </c>
      <c r="S1140" s="17">
        <f>ROUND($B1140*S$1071*S1139,2)</f>
        <v>0</v>
      </c>
      <c r="T1140" s="17">
        <f>ROUND($B1140*T$1071,2)</f>
        <v>0</v>
      </c>
      <c r="U1140" s="17">
        <f>ROUND($B1140*U$1071,2)</f>
        <v>0</v>
      </c>
      <c r="V1140" s="8">
        <f>ROUND($B1140*V$1067,2)</f>
        <v>0</v>
      </c>
      <c r="W1140" s="17">
        <f>ROUND($B1140*W$1071,2)</f>
        <v>0</v>
      </c>
      <c r="X1140" s="17">
        <f>ROUND($B1140*X$1071,2)</f>
        <v>-0.01</v>
      </c>
      <c r="Y1140" s="17">
        <f>ROUND($B1140*Y$1071,2)</f>
        <v>0</v>
      </c>
      <c r="Z1140" s="17">
        <f>ROUND($B1140*Z$1071,2)</f>
        <v>0</v>
      </c>
      <c r="AA1140" s="17">
        <f>ROUND($B1140*AA$1071,2)</f>
        <v>0</v>
      </c>
      <c r="AB1140" s="19">
        <f>SUM(U$1071:AA$1071)+(-V$1071+V1124)</f>
        <v>1.1855000000000001E-2</v>
      </c>
      <c r="AC1140" s="67" t="str">
        <f>+F1140</f>
        <v>HL31</v>
      </c>
    </row>
    <row r="1141" spans="1:29" x14ac:dyDescent="0.2">
      <c r="A1141" s="9"/>
      <c r="B1141" s="103">
        <v>-1</v>
      </c>
      <c r="D1141" s="8"/>
      <c r="E1141" s="9"/>
      <c r="F1141" s="36"/>
      <c r="G1141" s="12"/>
      <c r="H1141" s="12"/>
      <c r="J1141" s="12"/>
      <c r="K1141" s="12"/>
      <c r="L1141" s="12"/>
      <c r="M1141" s="12"/>
      <c r="N1141" s="12"/>
      <c r="O1141" s="12"/>
      <c r="P1141" s="12"/>
      <c r="Q1141" s="12"/>
      <c r="R1141" s="38" t="e">
        <f>VLOOKUP((D1142),'Pwr Factor'!$A$1:$B$52,2)</f>
        <v>#N/A</v>
      </c>
      <c r="S1141" s="50">
        <v>0.1</v>
      </c>
      <c r="T1141" s="12"/>
      <c r="U1141" s="12"/>
      <c r="V1141" s="12"/>
      <c r="W1141" s="12"/>
      <c r="X1141" s="12"/>
      <c r="Y1141" s="12"/>
      <c r="Z1141" s="12"/>
      <c r="AA1141" s="12"/>
    </row>
    <row r="1142" spans="1:29" x14ac:dyDescent="0.2">
      <c r="A1142" s="1" t="s">
        <v>164</v>
      </c>
      <c r="B1142" s="103">
        <f>IF(AND('AES Indiana Bill Calc.'!$D$17="HL3",'AES Indiana Bill Calc.'!$D$18="Yes 10%",'AES Indiana Bill Calc.'!$D$20="Yes 2022"),'AES Indiana Bill Calc.'!$D$19,-1)</f>
        <v>-1</v>
      </c>
      <c r="C1142" s="103">
        <f>MAX(E1142,$C$837)</f>
        <v>2000</v>
      </c>
      <c r="D1142" s="103" t="b">
        <f>IF(AND('AES Indiana Bill Calc.'!$D$17="HL3",'AES Indiana Bill Calc.'!$D$18="Yes 10%",'AES Indiana Bill Calc.'!$D$20="Yes 2022"),'AES Indiana Bill Calc.'!$D$22)</f>
        <v>0</v>
      </c>
      <c r="E1142" s="103" t="b">
        <f>IF(AND('AES Indiana Bill Calc.'!$D$17="HL3",'AES Indiana Bill Calc.'!$D$18="Yes 10%",'AES Indiana Bill Calc.'!$D$20="Yes 2022"),'AES Indiana Bill Calc.'!$D$21)</f>
        <v>0</v>
      </c>
      <c r="F1142" s="36" t="s">
        <v>251</v>
      </c>
      <c r="G1142" s="92" t="e">
        <f>SUM(J1142:M1142,R1142:AA1142)</f>
        <v>#N/A</v>
      </c>
      <c r="H1142" s="19" t="e">
        <f>IF(ISBLANK(B1142),0,+#REF!/B1142)</f>
        <v>#REF!</v>
      </c>
      <c r="J1142" s="51">
        <f>IF(ISBLANK(B1142),0,+J$1071)</f>
        <v>500</v>
      </c>
      <c r="K1142" s="17">
        <f>ROUND($B1142*K$1071,2)</f>
        <v>-0.04</v>
      </c>
      <c r="L1142" s="17">
        <f>IF(ISBLANK($C1142),0,IF($C1142&lt;$C$1072,ROUND($C$1072*$L$1071,2),IF($C1142&gt;L$1072,ROUND(L$1072*L$1071,2),ROUND($C1142*L$1071,2))))</f>
        <v>48180</v>
      </c>
      <c r="M1142" s="17">
        <f>IF($C1142&gt;L$1072,ROUND(($C1142-L$1072)*M$1071,2),0)</f>
        <v>0</v>
      </c>
      <c r="N1142" s="17">
        <f>K1142</f>
        <v>-0.04</v>
      </c>
      <c r="O1142" s="17"/>
      <c r="P1142" s="17"/>
      <c r="Q1142" s="17">
        <f>SUM(L1142:M1142)</f>
        <v>48180</v>
      </c>
      <c r="R1142" s="16" t="e">
        <f>ROUND(SUM(K1142:M1142)*(R1141-1),2)</f>
        <v>#N/A</v>
      </c>
      <c r="S1142" s="17">
        <f>ROUND($B1142*S$1071*S1141,2)</f>
        <v>0</v>
      </c>
      <c r="T1142" s="17">
        <f>ROUND($B1142*T$1071,2)</f>
        <v>0</v>
      </c>
      <c r="U1142" s="17">
        <f>ROUND($B1142*U$1071,2)</f>
        <v>0</v>
      </c>
      <c r="V1142" s="8">
        <f>ROUND($B1142*V$1067,2)</f>
        <v>0</v>
      </c>
      <c r="W1142" s="17">
        <f>ROUND($B1142*W$1071,2)</f>
        <v>0</v>
      </c>
      <c r="X1142" s="17">
        <f>ROUND($B1142*X$1071,2)</f>
        <v>-0.01</v>
      </c>
      <c r="Y1142" s="17">
        <f>ROUND($B1142*Y$1071,2)</f>
        <v>0</v>
      </c>
      <c r="Z1142" s="17">
        <f>ROUND($B1142*Z$1071,2)</f>
        <v>0</v>
      </c>
      <c r="AA1142" s="17">
        <f>ROUND($B1142*AA$1071,2)</f>
        <v>0</v>
      </c>
      <c r="AB1142" s="19">
        <f>SUM(U$1071:AA$1071)+(-V$1071+V1126)</f>
        <v>1.1855000000000001E-2</v>
      </c>
      <c r="AC1142" s="67" t="str">
        <f>+F1142</f>
        <v>HL31</v>
      </c>
    </row>
    <row r="1143" spans="1:29" x14ac:dyDescent="0.2">
      <c r="A1143" s="9"/>
      <c r="B1143" s="103">
        <v>-1</v>
      </c>
      <c r="D1143" s="8"/>
      <c r="E1143" s="9"/>
      <c r="F1143" s="36"/>
      <c r="G1143" s="12"/>
      <c r="H1143" s="12"/>
      <c r="J1143" s="12"/>
      <c r="K1143" s="12"/>
      <c r="L1143" s="12"/>
      <c r="M1143" s="12"/>
      <c r="N1143" s="12"/>
      <c r="O1143" s="12"/>
      <c r="P1143" s="12"/>
      <c r="Q1143" s="12"/>
      <c r="R1143" s="38" t="e">
        <f>VLOOKUP((D1144),'Pwr Factor'!$A$1:$B$52,2)</f>
        <v>#N/A</v>
      </c>
      <c r="S1143" s="50">
        <v>0</v>
      </c>
      <c r="T1143" s="12"/>
      <c r="U1143" s="12"/>
      <c r="V1143" s="12"/>
      <c r="W1143" s="12"/>
      <c r="X1143" s="12"/>
      <c r="Y1143" s="12"/>
      <c r="Z1143" s="12"/>
      <c r="AA1143" s="12"/>
    </row>
    <row r="1144" spans="1:29" x14ac:dyDescent="0.2">
      <c r="A1144" s="1" t="s">
        <v>147</v>
      </c>
      <c r="B1144" s="103">
        <f>IF(AND('AES Indiana Bill Calc.'!$D$17="HL3",'AES Indiana Bill Calc.'!$D$18="No",'AES Indiana Bill Calc.'!$D$20="Yes 2022"),'AES Indiana Bill Calc.'!$D$19,-1)</f>
        <v>-1</v>
      </c>
      <c r="C1144" s="103">
        <f>MAX(E1144,$C$837)</f>
        <v>2000</v>
      </c>
      <c r="D1144" s="103" t="b">
        <f>IF(AND('AES Indiana Bill Calc.'!$D$17="HL3",'AES Indiana Bill Calc.'!$D$18="No",'AES Indiana Bill Calc.'!$D$20="Yes 2022"),'AES Indiana Bill Calc.'!$D$22)</f>
        <v>0</v>
      </c>
      <c r="E1144" s="103" t="b">
        <f>IF(AND('AES Indiana Bill Calc.'!$D$17="HL3",'AES Indiana Bill Calc.'!$D$18="No",'AES Indiana Bill Calc.'!$D$20="Yes 2022"),'AES Indiana Bill Calc.'!$D$21)</f>
        <v>0</v>
      </c>
      <c r="F1144" s="36" t="s">
        <v>251</v>
      </c>
      <c r="G1144" s="92" t="e">
        <f>SUM(J1144:M1144,R1144:AA1144)</f>
        <v>#N/A</v>
      </c>
      <c r="H1144" s="19" t="e">
        <f>IF(ISBLANK(B1144),0,+#REF!/B1144)</f>
        <v>#REF!</v>
      </c>
      <c r="J1144" s="51">
        <f>IF(ISBLANK(B1144),0,+J$1071)</f>
        <v>500</v>
      </c>
      <c r="K1144" s="17">
        <f>ROUND($B1144*K$1071,2)</f>
        <v>-0.04</v>
      </c>
      <c r="L1144" s="17">
        <f>IF(ISBLANK($C1144),0,IF($C1144&lt;$C$1072,ROUND($C$1072*$L$1071,2),IF($C1144&gt;L$1072,ROUND(L$1072*L$1071,2),ROUND($C1144*L$1071,2))))</f>
        <v>48180</v>
      </c>
      <c r="M1144" s="17">
        <f>IF($C1144&gt;L$1072,ROUND(($C1144-L$1072)*M$1071,2),0)</f>
        <v>0</v>
      </c>
      <c r="N1144" s="17">
        <f>K1144</f>
        <v>-0.04</v>
      </c>
      <c r="O1144" s="17"/>
      <c r="P1144" s="17"/>
      <c r="Q1144" s="17">
        <f>SUM(L1144:M1144)</f>
        <v>48180</v>
      </c>
      <c r="R1144" s="16" t="e">
        <f>ROUND(SUM(K1144:M1144)*(R1143-1),2)</f>
        <v>#N/A</v>
      </c>
      <c r="S1144" s="17">
        <f>ROUND($B1144*S$1071*S1143,2)</f>
        <v>0</v>
      </c>
      <c r="T1144" s="17">
        <f>ROUND($B1144*T$1071,2)</f>
        <v>0</v>
      </c>
      <c r="U1144" s="17">
        <f>ROUND($B1144*U$1071,2)</f>
        <v>0</v>
      </c>
      <c r="V1144" s="8">
        <f>ROUND($B1144*V$1067,2)</f>
        <v>0</v>
      </c>
      <c r="W1144" s="17">
        <f>ROUND($B1144*W$1071,2)</f>
        <v>0</v>
      </c>
      <c r="X1144" s="17">
        <f>ROUND($B1144*X$1071,2)</f>
        <v>-0.01</v>
      </c>
      <c r="Y1144" s="17">
        <f>ROUND($B1144*Y$1071,2)</f>
        <v>0</v>
      </c>
      <c r="Z1144" s="17">
        <f>ROUND($B1144*Z$1071,2)</f>
        <v>0</v>
      </c>
      <c r="AA1144" s="17">
        <f>ROUND($B1144*AA$1071,2)</f>
        <v>0</v>
      </c>
      <c r="AB1144" s="19">
        <f>SUM(U$1071:AA$1071)+(-V$1071+V1128)</f>
        <v>1.1855000000000001E-2</v>
      </c>
      <c r="AC1144" s="67" t="str">
        <f>+F1144</f>
        <v>HL31</v>
      </c>
    </row>
    <row r="1145" spans="1:29" x14ac:dyDescent="0.2">
      <c r="A1145" s="48"/>
      <c r="B1145" s="103">
        <v>-1</v>
      </c>
      <c r="D1145" s="8"/>
      <c r="E1145" s="9"/>
      <c r="F1145" s="36"/>
      <c r="G1145" s="12"/>
      <c r="H1145" s="12"/>
      <c r="J1145" s="12"/>
      <c r="K1145" s="12"/>
      <c r="L1145" s="12"/>
      <c r="M1145" s="12"/>
      <c r="N1145" s="12"/>
      <c r="O1145" s="12"/>
      <c r="P1145" s="12"/>
      <c r="Q1145" s="12"/>
      <c r="R1145" s="38" t="e">
        <f>VLOOKUP((D1146),'Pwr Factor'!$A$1:$B$52,2)</f>
        <v>#N/A</v>
      </c>
      <c r="S1145" s="50">
        <v>1</v>
      </c>
      <c r="T1145" s="12"/>
      <c r="U1145" s="12"/>
      <c r="V1145" s="12"/>
      <c r="W1145" s="12"/>
      <c r="X1145" s="12"/>
      <c r="Y1145" s="12"/>
      <c r="Z1145" s="12"/>
      <c r="AA1145" s="12"/>
    </row>
    <row r="1146" spans="1:29" x14ac:dyDescent="0.2">
      <c r="A1146" s="1" t="s">
        <v>148</v>
      </c>
      <c r="B1146" s="103">
        <f>IF(AND('AES Indiana Bill Calc.'!$D$17="HL3",'AES Indiana Bill Calc.'!$D$18="Yes 100%",'AES Indiana Bill Calc.'!$D$20="Yes 2022"),'AES Indiana Bill Calc.'!$D$19,-1)</f>
        <v>-1</v>
      </c>
      <c r="C1146" s="103">
        <f>MAX(E1146,$C$837)</f>
        <v>2000</v>
      </c>
      <c r="D1146" s="103" t="b">
        <f>IF(AND('AES Indiana Bill Calc.'!$D$17="HL3",'AES Indiana Bill Calc.'!$D$18="Yes 100%",'AES Indiana Bill Calc.'!$D$20="Yes 2022"),'AES Indiana Bill Calc.'!$D$22)</f>
        <v>0</v>
      </c>
      <c r="E1146" s="103" t="b">
        <f>IF(AND('AES Indiana Bill Calc.'!$D$17="HL3",'AES Indiana Bill Calc.'!$D$18="Yes 100%",'AES Indiana Bill Calc.'!$D$20="Yes 2022"),'AES Indiana Bill Calc.'!$D$21)</f>
        <v>0</v>
      </c>
      <c r="F1146" s="36" t="s">
        <v>252</v>
      </c>
      <c r="G1146" s="92" t="e">
        <f>SUM(J1146:M1146,R1146:AA1146)</f>
        <v>#N/A</v>
      </c>
      <c r="H1146" s="19" t="e">
        <f>IF(ISBLANK(B1146),0,+#REF!/B1146)</f>
        <v>#REF!</v>
      </c>
      <c r="J1146" s="51">
        <f>IF(ISBLANK(B1146),0,+J$1071)</f>
        <v>500</v>
      </c>
      <c r="K1146" s="17">
        <f>ROUND($B1146*K$1071,2)</f>
        <v>-0.04</v>
      </c>
      <c r="L1146" s="17">
        <f>IF(ISBLANK($C1146),0,IF($C1146&lt;$C$1072,ROUND($C$1072*$L$1071,2),IF($C1146&gt;L$1072,ROUND(L$1072*L$1071,2),ROUND($C1146*L$1071,2))))</f>
        <v>48180</v>
      </c>
      <c r="M1146" s="17">
        <f>IF($C1146&gt;L$1072,ROUND(($C1146-L$1072)*M$1071,2),0)</f>
        <v>0</v>
      </c>
      <c r="N1146" s="17">
        <f>K1146</f>
        <v>-0.04</v>
      </c>
      <c r="O1146" s="17"/>
      <c r="P1146" s="17"/>
      <c r="Q1146" s="17">
        <f>SUM(L1146:M1146)</f>
        <v>48180</v>
      </c>
      <c r="R1146" s="16" t="e">
        <f>ROUND(SUM(K1146:M1146)*(R1145-1),2)</f>
        <v>#N/A</v>
      </c>
      <c r="S1146" s="17">
        <f>ROUND($B1146*S$1071*S1145,2)</f>
        <v>0</v>
      </c>
      <c r="T1146" s="17">
        <f>ROUND($B1146*T$1071,2)</f>
        <v>0</v>
      </c>
      <c r="U1146" s="17">
        <f>ROUND($B1146*U$1071,2)</f>
        <v>0</v>
      </c>
      <c r="V1146" s="8">
        <f>ROUND($B1146*V$1067,2)</f>
        <v>0</v>
      </c>
      <c r="W1146" s="17">
        <f>ROUND($B1146*W$1071,2)</f>
        <v>0</v>
      </c>
      <c r="X1146" s="17">
        <f>ROUND($B1146*X$1071,2)</f>
        <v>-0.01</v>
      </c>
      <c r="Y1146" s="17">
        <f>ROUND($B1146*Y$1071,2)</f>
        <v>0</v>
      </c>
      <c r="Z1146" s="17">
        <f>ROUND($B1146*Z$1071,2)</f>
        <v>0</v>
      </c>
      <c r="AA1146" s="17">
        <f>ROUND($B1146*AA$1071,2)</f>
        <v>0</v>
      </c>
      <c r="AB1146" s="19">
        <f>SUM(U$1071:AA$1071)+(-V$1071+V1130)</f>
        <v>1.1855000000000001E-2</v>
      </c>
      <c r="AC1146" s="67" t="str">
        <f>+F1146</f>
        <v>HL32</v>
      </c>
    </row>
    <row r="1147" spans="1:29" x14ac:dyDescent="0.2">
      <c r="A1147" s="48"/>
      <c r="B1147" s="103">
        <v>-1</v>
      </c>
      <c r="D1147" s="8"/>
      <c r="E1147" s="9"/>
      <c r="F1147" s="36"/>
      <c r="G1147" s="12"/>
      <c r="H1147" s="12"/>
      <c r="J1147" s="12"/>
      <c r="K1147" s="12"/>
      <c r="L1147" s="12"/>
      <c r="M1147" s="12"/>
      <c r="N1147" s="12"/>
      <c r="O1147" s="12"/>
      <c r="P1147" s="12"/>
      <c r="Q1147" s="12"/>
      <c r="R1147" s="38" t="e">
        <f>VLOOKUP((D1148),'Pwr Factor'!$A$1:$B$52,2)</f>
        <v>#N/A</v>
      </c>
      <c r="S1147" s="50">
        <v>0.5</v>
      </c>
      <c r="T1147" s="12"/>
      <c r="U1147" s="12"/>
      <c r="V1147" s="12"/>
      <c r="W1147" s="12"/>
      <c r="X1147" s="12"/>
      <c r="Y1147" s="12"/>
      <c r="Z1147" s="12"/>
      <c r="AA1147" s="12"/>
    </row>
    <row r="1148" spans="1:29" x14ac:dyDescent="0.2">
      <c r="A1148" s="1" t="s">
        <v>149</v>
      </c>
      <c r="B1148" s="103">
        <f>IF(AND('AES Indiana Bill Calc.'!$D$17="HL3",'AES Indiana Bill Calc.'!$D$18="Yes 50%",'AES Indiana Bill Calc.'!$D$20="Yes 2022"),'AES Indiana Bill Calc.'!$D$19,-1)</f>
        <v>-1</v>
      </c>
      <c r="C1148" s="103">
        <f>MAX(E1148,$C$837)</f>
        <v>2000</v>
      </c>
      <c r="D1148" s="103" t="b">
        <f>IF(AND('AES Indiana Bill Calc.'!$D$17="HL3",'AES Indiana Bill Calc.'!$D$18="Yes 50%",'AES Indiana Bill Calc.'!$D$20="Yes 2022"),'AES Indiana Bill Calc.'!$D$22)</f>
        <v>0</v>
      </c>
      <c r="E1148" s="103" t="b">
        <f>IF(AND('AES Indiana Bill Calc.'!$D$17="HL3",'AES Indiana Bill Calc.'!$D$18="Yes 50%",'AES Indiana Bill Calc.'!$D$20="Yes 2022"),'AES Indiana Bill Calc.'!$D$21)</f>
        <v>0</v>
      </c>
      <c r="F1148" s="36" t="s">
        <v>252</v>
      </c>
      <c r="G1148" s="92" t="e">
        <f>SUM(J1148:M1148,R1148:AA1148)</f>
        <v>#N/A</v>
      </c>
      <c r="H1148" s="19" t="e">
        <f>IF(ISBLANK(B1148),0,+#REF!/B1148)</f>
        <v>#REF!</v>
      </c>
      <c r="J1148" s="51">
        <f>IF(ISBLANK(B1148),0,+J$1071)</f>
        <v>500</v>
      </c>
      <c r="K1148" s="17">
        <f>ROUND($B1148*K$1071,2)</f>
        <v>-0.04</v>
      </c>
      <c r="L1148" s="17">
        <f>IF(ISBLANK($C1148),0,IF($C1148&lt;$C$1072,ROUND($C$1072*$L$1071,2),IF($C1148&gt;L$1072,ROUND(L$1072*L$1071,2),ROUND($C1148*L$1071,2))))</f>
        <v>48180</v>
      </c>
      <c r="M1148" s="17">
        <f>IF($C1148&gt;L$1072,ROUND(($C1148-L$1072)*M$1071,2),0)</f>
        <v>0</v>
      </c>
      <c r="N1148" s="17">
        <f>K1148</f>
        <v>-0.04</v>
      </c>
      <c r="O1148" s="17"/>
      <c r="P1148" s="17"/>
      <c r="Q1148" s="17">
        <f>SUM(L1148:M1148)</f>
        <v>48180</v>
      </c>
      <c r="R1148" s="16" t="e">
        <f>ROUND(SUM(K1148:M1148)*(R1147-1),2)</f>
        <v>#N/A</v>
      </c>
      <c r="S1148" s="17">
        <f>ROUND($B1148*S$1071*S1147,2)</f>
        <v>0</v>
      </c>
      <c r="T1148" s="17">
        <f>ROUND($B1148*T$1071,2)</f>
        <v>0</v>
      </c>
      <c r="U1148" s="17">
        <f>ROUND($B1148*U$1071,2)</f>
        <v>0</v>
      </c>
      <c r="V1148" s="8">
        <f>ROUND($B1148*V$1067,2)</f>
        <v>0</v>
      </c>
      <c r="W1148" s="17">
        <f>ROUND($B1148*W$1071,2)</f>
        <v>0</v>
      </c>
      <c r="X1148" s="17">
        <f>ROUND($B1148*X$1071,2)</f>
        <v>-0.01</v>
      </c>
      <c r="Y1148" s="17">
        <f>ROUND($B1148*Y$1071,2)</f>
        <v>0</v>
      </c>
      <c r="Z1148" s="17">
        <f>ROUND($B1148*Z$1071,2)</f>
        <v>0</v>
      </c>
      <c r="AA1148" s="17">
        <f>ROUND($B1148*AA$1071,2)</f>
        <v>0</v>
      </c>
      <c r="AB1148" s="19">
        <f>SUM(U$1071:AA$1071)+(-V$1071+V1132)</f>
        <v>1.1855000000000001E-2</v>
      </c>
      <c r="AC1148" s="67" t="str">
        <f>+F1148</f>
        <v>HL32</v>
      </c>
    </row>
    <row r="1149" spans="1:29" x14ac:dyDescent="0.2">
      <c r="A1149" s="9"/>
      <c r="B1149" s="103">
        <v>-1</v>
      </c>
      <c r="D1149" s="8"/>
      <c r="E1149" s="9"/>
      <c r="F1149" s="36"/>
      <c r="G1149" s="12"/>
      <c r="H1149" s="12"/>
      <c r="J1149" s="12"/>
      <c r="K1149" s="12"/>
      <c r="L1149" s="12"/>
      <c r="M1149" s="12"/>
      <c r="N1149" s="12"/>
      <c r="O1149" s="12"/>
      <c r="P1149" s="12"/>
      <c r="Q1149" s="12"/>
      <c r="R1149" s="38" t="e">
        <f>VLOOKUP((D1150),'Pwr Factor'!$A$1:$B$52,2)</f>
        <v>#N/A</v>
      </c>
      <c r="S1149" s="50">
        <v>0.25</v>
      </c>
      <c r="T1149" s="12"/>
      <c r="U1149" s="12"/>
      <c r="V1149" s="12"/>
      <c r="W1149" s="12"/>
      <c r="X1149" s="12"/>
      <c r="Y1149" s="12"/>
      <c r="Z1149" s="12"/>
      <c r="AA1149" s="12"/>
    </row>
    <row r="1150" spans="1:29" x14ac:dyDescent="0.2">
      <c r="A1150" s="1" t="s">
        <v>150</v>
      </c>
      <c r="B1150" s="103">
        <f>IF(AND('AES Indiana Bill Calc.'!$D$17="HL3",'AES Indiana Bill Calc.'!$D$18="Yes 25%",'AES Indiana Bill Calc.'!$D$20="Yes 2022"),'AES Indiana Bill Calc.'!$D$19,-1)</f>
        <v>-1</v>
      </c>
      <c r="C1150" s="103">
        <f>MAX(E1150,$C$837)</f>
        <v>2000</v>
      </c>
      <c r="D1150" s="103" t="b">
        <f>IF(AND('AES Indiana Bill Calc.'!$D$17="HL3",'AES Indiana Bill Calc.'!$D$18="Yes 25%",'AES Indiana Bill Calc.'!$D$20="Yes 2022"),'AES Indiana Bill Calc.'!$D$22)</f>
        <v>0</v>
      </c>
      <c r="E1150" s="103" t="b">
        <f>IF(AND('AES Indiana Bill Calc.'!$D$17="HL3",'AES Indiana Bill Calc.'!$D$18="Yes 25%",'AES Indiana Bill Calc.'!$D$20="Yes 2022"),'AES Indiana Bill Calc.'!$D$21)</f>
        <v>0</v>
      </c>
      <c r="F1150" s="36" t="s">
        <v>252</v>
      </c>
      <c r="G1150" s="92" t="e">
        <f>SUM(J1150:M1150,R1150:AA1150)</f>
        <v>#N/A</v>
      </c>
      <c r="H1150" s="19" t="e">
        <f>IF(ISBLANK(B1150),0,+#REF!/B1150)</f>
        <v>#REF!</v>
      </c>
      <c r="J1150" s="51">
        <f>IF(ISBLANK(B1150),0,+J$1071)</f>
        <v>500</v>
      </c>
      <c r="K1150" s="17">
        <f>ROUND($B1150*K$1071,2)</f>
        <v>-0.04</v>
      </c>
      <c r="L1150" s="17">
        <f>IF(ISBLANK($C1150),0,IF($C1150&lt;$C$1072,ROUND($C$1072*$L$1071,2),IF($C1150&gt;L$1072,ROUND(L$1072*L$1071,2),ROUND($C1150*L$1071,2))))</f>
        <v>48180</v>
      </c>
      <c r="M1150" s="17">
        <f>IF($C1150&gt;L$1072,ROUND(($C1150-L$1072)*M$1071,2),0)</f>
        <v>0</v>
      </c>
      <c r="N1150" s="17">
        <f>K1150</f>
        <v>-0.04</v>
      </c>
      <c r="O1150" s="17"/>
      <c r="P1150" s="17"/>
      <c r="Q1150" s="17">
        <f>SUM(L1150:M1150)</f>
        <v>48180</v>
      </c>
      <c r="R1150" s="16" t="e">
        <f>ROUND(SUM(K1150:M1150)*(R1149-1),2)</f>
        <v>#N/A</v>
      </c>
      <c r="S1150" s="17">
        <f>ROUND($B1150*S$1071*S1149,2)</f>
        <v>0</v>
      </c>
      <c r="T1150" s="17">
        <f>ROUND($B1150*T$1071,2)</f>
        <v>0</v>
      </c>
      <c r="U1150" s="17">
        <f>ROUND($B1150*U$1071,2)</f>
        <v>0</v>
      </c>
      <c r="V1150" s="8">
        <f>ROUND($B1150*V$1067,2)</f>
        <v>0</v>
      </c>
      <c r="W1150" s="17">
        <f>ROUND($B1150*W$1071,2)</f>
        <v>0</v>
      </c>
      <c r="X1150" s="17">
        <f>ROUND($B1150*X$1071,2)</f>
        <v>-0.01</v>
      </c>
      <c r="Y1150" s="17">
        <f>ROUND($B1150*Y$1071,2)</f>
        <v>0</v>
      </c>
      <c r="Z1150" s="17">
        <f>ROUND($B1150*Z$1071,2)</f>
        <v>0</v>
      </c>
      <c r="AA1150" s="17">
        <f>ROUND($B1150*AA$1071,2)</f>
        <v>0</v>
      </c>
      <c r="AB1150" s="19">
        <f>SUM(U$1071:AA$1071)+(-V$1071+V1134)</f>
        <v>1.1855000000000001E-2</v>
      </c>
      <c r="AC1150" s="67" t="str">
        <f>+F1150</f>
        <v>HL32</v>
      </c>
    </row>
    <row r="1151" spans="1:29" x14ac:dyDescent="0.2">
      <c r="A1151" s="9"/>
      <c r="B1151" s="103">
        <v>-1</v>
      </c>
      <c r="D1151" s="8"/>
      <c r="E1151" s="9"/>
      <c r="F1151" s="36"/>
      <c r="G1151" s="12"/>
      <c r="H1151" s="12"/>
      <c r="J1151" s="12"/>
      <c r="K1151" s="12"/>
      <c r="L1151" s="12"/>
      <c r="M1151" s="12"/>
      <c r="N1151" s="12"/>
      <c r="O1151" s="12"/>
      <c r="P1151" s="12"/>
      <c r="Q1151" s="12"/>
      <c r="R1151" s="38" t="e">
        <f>VLOOKUP((D1152),'Pwr Factor'!$A$1:$B$52,2)</f>
        <v>#N/A</v>
      </c>
      <c r="S1151" s="50">
        <v>0.1</v>
      </c>
      <c r="T1151" s="12"/>
      <c r="U1151" s="12"/>
      <c r="V1151" s="12"/>
      <c r="W1151" s="12"/>
      <c r="X1151" s="12"/>
      <c r="Y1151" s="12"/>
      <c r="Z1151" s="12"/>
      <c r="AA1151" s="12"/>
    </row>
    <row r="1152" spans="1:29" x14ac:dyDescent="0.2">
      <c r="A1152" s="1" t="s">
        <v>164</v>
      </c>
      <c r="B1152" s="103">
        <f>IF(AND('AES Indiana Bill Calc.'!$D$17="HL3",'AES Indiana Bill Calc.'!$D$18="Yes 10%",'AES Indiana Bill Calc.'!$D$20="Yes 2022"),'AES Indiana Bill Calc.'!$D$19,-1)</f>
        <v>-1</v>
      </c>
      <c r="C1152" s="103">
        <f>MAX(E1152,$C$837)</f>
        <v>2000</v>
      </c>
      <c r="D1152" s="103" t="b">
        <f>IF(AND('AES Indiana Bill Calc.'!$D$17="HL3",'AES Indiana Bill Calc.'!$D$18="Yes 10%",'AES Indiana Bill Calc.'!$D$20="Yes 2022"),'AES Indiana Bill Calc.'!$D$22)</f>
        <v>0</v>
      </c>
      <c r="E1152" s="103" t="b">
        <f>IF(AND('AES Indiana Bill Calc.'!$D$17="HL3",'AES Indiana Bill Calc.'!$D$18="Yes 10%",'AES Indiana Bill Calc.'!$D$20="Yes 2022"),'AES Indiana Bill Calc.'!$D$21)</f>
        <v>0</v>
      </c>
      <c r="F1152" s="36" t="s">
        <v>252</v>
      </c>
      <c r="G1152" s="92" t="e">
        <f>SUM(J1152:M1152,R1152:AA1152)</f>
        <v>#N/A</v>
      </c>
      <c r="H1152" s="19" t="e">
        <f>IF(ISBLANK(B1152),0,+#REF!/B1152)</f>
        <v>#REF!</v>
      </c>
      <c r="J1152" s="51">
        <f>IF(ISBLANK(B1152),0,+J$1071)</f>
        <v>500</v>
      </c>
      <c r="K1152" s="17">
        <f>ROUND($B1152*K$1071,2)</f>
        <v>-0.04</v>
      </c>
      <c r="L1152" s="17">
        <f>IF(ISBLANK($C1152),0,IF($C1152&lt;$C$1072,ROUND($C$1072*$L$1071,2),IF($C1152&gt;L$1072,ROUND(L$1072*L$1071,2),ROUND($C1152*L$1071,2))))</f>
        <v>48180</v>
      </c>
      <c r="M1152" s="17">
        <f>IF($C1152&gt;L$1072,ROUND(($C1152-L$1072)*M$1071,2),0)</f>
        <v>0</v>
      </c>
      <c r="N1152" s="17">
        <f>K1152</f>
        <v>-0.04</v>
      </c>
      <c r="O1152" s="17"/>
      <c r="P1152" s="17"/>
      <c r="Q1152" s="17">
        <f>SUM(L1152:M1152)</f>
        <v>48180</v>
      </c>
      <c r="R1152" s="16" t="e">
        <f>ROUND(SUM(K1152:M1152)*(R1151-1),2)</f>
        <v>#N/A</v>
      </c>
      <c r="S1152" s="17">
        <f>ROUND($B1152*S$1071*S1151,2)</f>
        <v>0</v>
      </c>
      <c r="T1152" s="17">
        <f>ROUND($B1152*T$1071,2)</f>
        <v>0</v>
      </c>
      <c r="U1152" s="17">
        <f>ROUND($B1152*U$1071,2)</f>
        <v>0</v>
      </c>
      <c r="V1152" s="8">
        <f>ROUND($B1152*V$1067,2)</f>
        <v>0</v>
      </c>
      <c r="W1152" s="17">
        <f>ROUND($B1152*W$1071,2)</f>
        <v>0</v>
      </c>
      <c r="X1152" s="17">
        <f>ROUND($B1152*X$1071,2)</f>
        <v>-0.01</v>
      </c>
      <c r="Y1152" s="17">
        <f>ROUND($B1152*Y$1071,2)</f>
        <v>0</v>
      </c>
      <c r="Z1152" s="17">
        <f>ROUND($B1152*Z$1071,2)</f>
        <v>0</v>
      </c>
      <c r="AA1152" s="17">
        <f>ROUND($B1152*AA$1071,2)</f>
        <v>0</v>
      </c>
      <c r="AB1152" s="19">
        <f>SUM(U$1071:AA$1071)+(-V$1071+V1136)</f>
        <v>1.1855000000000001E-2</v>
      </c>
      <c r="AC1152" s="67" t="str">
        <f>+F1152</f>
        <v>HL32</v>
      </c>
    </row>
    <row r="1153" spans="1:29" x14ac:dyDescent="0.2">
      <c r="A1153" s="9"/>
      <c r="B1153" s="103">
        <v>-1</v>
      </c>
      <c r="D1153" s="8"/>
      <c r="E1153" s="9"/>
      <c r="F1153" s="36"/>
      <c r="G1153" s="12"/>
      <c r="H1153" s="12"/>
      <c r="J1153" s="12"/>
      <c r="K1153" s="12"/>
      <c r="L1153" s="12"/>
      <c r="M1153" s="12"/>
      <c r="N1153" s="12"/>
      <c r="O1153" s="12"/>
      <c r="P1153" s="12"/>
      <c r="Q1153" s="12"/>
      <c r="R1153" s="38" t="e">
        <f>VLOOKUP((D1154),'Pwr Factor'!$A$1:$B$52,2)</f>
        <v>#N/A</v>
      </c>
      <c r="S1153" s="50">
        <v>0</v>
      </c>
      <c r="T1153" s="12"/>
      <c r="U1153" s="12"/>
      <c r="V1153" s="12"/>
      <c r="W1153" s="12"/>
      <c r="X1153" s="12"/>
      <c r="Y1153" s="12"/>
      <c r="Z1153" s="12"/>
      <c r="AA1153" s="12"/>
    </row>
    <row r="1154" spans="1:29" x14ac:dyDescent="0.2">
      <c r="A1154" s="1" t="s">
        <v>147</v>
      </c>
      <c r="B1154" s="103">
        <f>IF(AND('AES Indiana Bill Calc.'!$D$17="HL3",'AES Indiana Bill Calc.'!$D$18="No",'AES Indiana Bill Calc.'!$D$20="Yes 2022"),'AES Indiana Bill Calc.'!$D$19,-1)</f>
        <v>-1</v>
      </c>
      <c r="C1154" s="103">
        <f>MAX(E1154,$C$837)</f>
        <v>2000</v>
      </c>
      <c r="D1154" s="103" t="b">
        <f>IF(AND('AES Indiana Bill Calc.'!$D$17="HL3",'AES Indiana Bill Calc.'!$D$18="No",'AES Indiana Bill Calc.'!$D$20="Yes 2022"),'AES Indiana Bill Calc.'!$D$22)</f>
        <v>0</v>
      </c>
      <c r="E1154" s="103" t="b">
        <f>IF(AND('AES Indiana Bill Calc.'!$D$17="HL3",'AES Indiana Bill Calc.'!$D$18="No",'AES Indiana Bill Calc.'!$D$20="Yes 2022"),'AES Indiana Bill Calc.'!$D$21)</f>
        <v>0</v>
      </c>
      <c r="F1154" s="36" t="s">
        <v>252</v>
      </c>
      <c r="G1154" s="92" t="e">
        <f>SUM(J1154:M1154,R1154:AA1154)</f>
        <v>#N/A</v>
      </c>
      <c r="H1154" s="19" t="e">
        <f>IF(ISBLANK(B1154),0,+#REF!/B1154)</f>
        <v>#REF!</v>
      </c>
      <c r="J1154" s="51">
        <f>IF(ISBLANK(B1154),0,+J$1071)</f>
        <v>500</v>
      </c>
      <c r="K1154" s="17">
        <f>ROUND($B1154*K$1071,2)</f>
        <v>-0.04</v>
      </c>
      <c r="L1154" s="17">
        <f>IF(ISBLANK($C1154),0,IF($C1154&lt;$C$1072,ROUND($C$1072*$L$1071,2),IF($C1154&gt;L$1072,ROUND(L$1072*L$1071,2),ROUND($C1154*L$1071,2))))</f>
        <v>48180</v>
      </c>
      <c r="M1154" s="17">
        <f>IF($C1154&gt;L$1072,ROUND(($C1154-L$1072)*M$1071,2),0)</f>
        <v>0</v>
      </c>
      <c r="N1154" s="17">
        <f>K1154</f>
        <v>-0.04</v>
      </c>
      <c r="O1154" s="17"/>
      <c r="P1154" s="17"/>
      <c r="Q1154" s="17">
        <f>SUM(L1154:M1154)</f>
        <v>48180</v>
      </c>
      <c r="R1154" s="16" t="e">
        <f>ROUND(SUM(K1154:M1154)*(R1153-1),2)</f>
        <v>#N/A</v>
      </c>
      <c r="S1154" s="17">
        <f>ROUND($B1154*S$1071*S1153,2)</f>
        <v>0</v>
      </c>
      <c r="T1154" s="17">
        <f>ROUND($B1154*T$1071,2)</f>
        <v>0</v>
      </c>
      <c r="U1154" s="17">
        <f>ROUND($B1154*U$1071,2)</f>
        <v>0</v>
      </c>
      <c r="V1154" s="8">
        <f>ROUND($B1154*V$1067,2)</f>
        <v>0</v>
      </c>
      <c r="W1154" s="17">
        <f>ROUND($B1154*W$1071,2)</f>
        <v>0</v>
      </c>
      <c r="X1154" s="17">
        <f>ROUND($B1154*X$1071,2)</f>
        <v>-0.01</v>
      </c>
      <c r="Y1154" s="17">
        <f>ROUND($B1154*Y$1071,2)</f>
        <v>0</v>
      </c>
      <c r="Z1154" s="17">
        <f>ROUND($B1154*Z$1071,2)</f>
        <v>0</v>
      </c>
      <c r="AA1154" s="17">
        <f>ROUND($B1154*AA$1071,2)</f>
        <v>0</v>
      </c>
      <c r="AB1154" s="19">
        <f>SUM(U$1071:AA$1071)+(-V$1071+V1138)</f>
        <v>1.1855000000000001E-2</v>
      </c>
      <c r="AC1154" s="67" t="str">
        <f>+F1154</f>
        <v>HL32</v>
      </c>
    </row>
    <row r="1155" spans="1:29" x14ac:dyDescent="0.2">
      <c r="A1155" s="48"/>
      <c r="B1155" s="103">
        <v>-1</v>
      </c>
      <c r="D1155" s="8"/>
      <c r="E1155" s="9"/>
      <c r="F1155" s="36"/>
      <c r="G1155" s="12"/>
      <c r="H1155" s="12"/>
      <c r="J1155" s="12"/>
      <c r="K1155" s="12"/>
      <c r="L1155" s="12"/>
      <c r="M1155" s="12"/>
      <c r="N1155" s="12"/>
      <c r="O1155" s="12"/>
      <c r="P1155" s="12"/>
      <c r="Q1155" s="12"/>
      <c r="R1155" s="38" t="e">
        <f>VLOOKUP((D1156),'Pwr Factor'!$A$1:$B$52,2)</f>
        <v>#N/A</v>
      </c>
      <c r="S1155" s="50">
        <v>1</v>
      </c>
      <c r="T1155" s="12"/>
      <c r="U1155" s="12"/>
      <c r="V1155" s="12"/>
      <c r="W1155" s="12"/>
      <c r="X1155" s="12"/>
      <c r="Y1155" s="12"/>
      <c r="Z1155" s="12"/>
      <c r="AA1155" s="12"/>
    </row>
    <row r="1156" spans="1:29" x14ac:dyDescent="0.2">
      <c r="A1156" s="1" t="s">
        <v>148</v>
      </c>
      <c r="B1156" s="103">
        <f>IF(AND('AES Indiana Bill Calc.'!$D$17="HL3",'AES Indiana Bill Calc.'!$D$18="Yes 100%",'AES Indiana Bill Calc.'!$D$20="Yes 2023"),'AES Indiana Bill Calc.'!$D$19,-1)</f>
        <v>-1</v>
      </c>
      <c r="C1156" s="103">
        <f>MAX(E1156,$C$837)</f>
        <v>2000</v>
      </c>
      <c r="D1156" s="103" t="b">
        <f>IF(AND('AES Indiana Bill Calc.'!$D$17="HL3",'AES Indiana Bill Calc.'!$D$18="Yes 100%",'AES Indiana Bill Calc.'!$D$20="Yes 2023"),'AES Indiana Bill Calc.'!$D$22)</f>
        <v>0</v>
      </c>
      <c r="E1156" s="103" t="b">
        <f>IF(AND('AES Indiana Bill Calc.'!$D$17="HL3",'AES Indiana Bill Calc.'!$D$18="Yes 100%",'AES Indiana Bill Calc.'!$D$20="Yes 2023"),'AES Indiana Bill Calc.'!$D$21)</f>
        <v>0</v>
      </c>
      <c r="F1156" s="36" t="s">
        <v>253</v>
      </c>
      <c r="G1156" s="92" t="e">
        <f>SUM(J1156:M1156,R1156:AA1156)</f>
        <v>#N/A</v>
      </c>
      <c r="H1156" s="19" t="e">
        <f>IF(ISBLANK(B1156),0,+#REF!/B1156)</f>
        <v>#REF!</v>
      </c>
      <c r="J1156" s="51">
        <f>IF(ISBLANK(B1156),0,+J$1071)</f>
        <v>500</v>
      </c>
      <c r="K1156" s="17">
        <f>ROUND($B1156*K$1071,2)</f>
        <v>-0.04</v>
      </c>
      <c r="L1156" s="17">
        <f>IF(ISBLANK($C1156),0,IF($C1156&lt;$C$1072,ROUND($C$1072*$L$1071,2),IF($C1156&gt;L$1072,ROUND(L$1072*L$1071,2),ROUND($C1156*L$1071,2))))</f>
        <v>48180</v>
      </c>
      <c r="M1156" s="17">
        <f>IF($C1156&gt;L$1072,ROUND(($C1156-L$1072)*M$1071,2),0)</f>
        <v>0</v>
      </c>
      <c r="N1156" s="17">
        <f>K1156</f>
        <v>-0.04</v>
      </c>
      <c r="O1156" s="17"/>
      <c r="P1156" s="17"/>
      <c r="Q1156" s="17">
        <f>SUM(L1156:M1156)</f>
        <v>48180</v>
      </c>
      <c r="R1156" s="16" t="e">
        <f>ROUND(SUM(K1156:M1156)*(R1155-1),2)</f>
        <v>#N/A</v>
      </c>
      <c r="S1156" s="17">
        <f>ROUND($B1156*S$1071*S1155,2)</f>
        <v>0</v>
      </c>
      <c r="T1156" s="17">
        <f>ROUND($B1156*T$1071,2)</f>
        <v>0</v>
      </c>
      <c r="U1156" s="17">
        <f>ROUND($B1156*U$1071,2)</f>
        <v>0</v>
      </c>
      <c r="V1156" s="8">
        <f>ROUND($B1156*V$1068,2)</f>
        <v>0</v>
      </c>
      <c r="W1156" s="17">
        <f>ROUND($B1156*W$1071,2)</f>
        <v>0</v>
      </c>
      <c r="X1156" s="17">
        <f>ROUND($B1156*X$1071,2)</f>
        <v>-0.01</v>
      </c>
      <c r="Y1156" s="17">
        <f>ROUND($B1156*Y$1071,2)</f>
        <v>0</v>
      </c>
      <c r="Z1156" s="17">
        <f>ROUND($B1156*Z$1071,2)</f>
        <v>0</v>
      </c>
      <c r="AA1156" s="17">
        <f>ROUND($B1156*AA$1071,2)</f>
        <v>0</v>
      </c>
      <c r="AB1156" s="19">
        <f>SUM(U$1071:AA$1071)+(-V$1071+V1140)</f>
        <v>1.1855000000000001E-2</v>
      </c>
      <c r="AC1156" s="67" t="str">
        <f>+F1156</f>
        <v>HL33</v>
      </c>
    </row>
    <row r="1157" spans="1:29" x14ac:dyDescent="0.2">
      <c r="A1157" s="48"/>
      <c r="B1157" s="103">
        <v>-1</v>
      </c>
      <c r="D1157" s="8"/>
      <c r="E1157" s="9"/>
      <c r="F1157" s="36"/>
      <c r="G1157" s="12"/>
      <c r="H1157" s="12"/>
      <c r="J1157" s="12"/>
      <c r="K1157" s="12"/>
      <c r="L1157" s="12"/>
      <c r="M1157" s="12"/>
      <c r="N1157" s="12"/>
      <c r="O1157" s="12"/>
      <c r="P1157" s="12"/>
      <c r="Q1157" s="12"/>
      <c r="R1157" s="38" t="e">
        <f>VLOOKUP((D1158),'Pwr Factor'!$A$1:$B$52,2)</f>
        <v>#N/A</v>
      </c>
      <c r="S1157" s="50">
        <v>0.5</v>
      </c>
      <c r="T1157" s="12"/>
      <c r="U1157" s="12"/>
      <c r="V1157" s="12"/>
      <c r="W1157" s="12"/>
      <c r="X1157" s="12"/>
      <c r="Y1157" s="12"/>
      <c r="Z1157" s="12"/>
      <c r="AA1157" s="12"/>
    </row>
    <row r="1158" spans="1:29" x14ac:dyDescent="0.2">
      <c r="A1158" s="1" t="s">
        <v>149</v>
      </c>
      <c r="B1158" s="103">
        <f>IF(AND('AES Indiana Bill Calc.'!$D$17="HL3",'AES Indiana Bill Calc.'!$D$18="Yes 50%",'AES Indiana Bill Calc.'!$D$20="Yes 2023"),'AES Indiana Bill Calc.'!$D$19,-1)</f>
        <v>-1</v>
      </c>
      <c r="C1158" s="103">
        <f>MAX(E1158,$C$837)</f>
        <v>2000</v>
      </c>
      <c r="D1158" s="103" t="b">
        <f>IF(AND('AES Indiana Bill Calc.'!$D$17="HL3",'AES Indiana Bill Calc.'!$D$18="Yes 50%",'AES Indiana Bill Calc.'!$D$20="Yes 2023"),'AES Indiana Bill Calc.'!$D$22)</f>
        <v>0</v>
      </c>
      <c r="E1158" s="103" t="b">
        <f>IF(AND('AES Indiana Bill Calc.'!$D$17="HL3",'AES Indiana Bill Calc.'!$D$18="Yes 50%",'AES Indiana Bill Calc.'!$D$20="Yes 2023"),'AES Indiana Bill Calc.'!$D$21)</f>
        <v>0</v>
      </c>
      <c r="F1158" s="36" t="s">
        <v>253</v>
      </c>
      <c r="G1158" s="92" t="e">
        <f>SUM(J1158:M1158,R1158:AA1158)</f>
        <v>#N/A</v>
      </c>
      <c r="H1158" s="19" t="e">
        <f>IF(ISBLANK(B1158),0,+#REF!/B1158)</f>
        <v>#REF!</v>
      </c>
      <c r="J1158" s="51">
        <f>IF(ISBLANK(B1158),0,+J$1071)</f>
        <v>500</v>
      </c>
      <c r="K1158" s="17">
        <f>ROUND($B1158*K$1071,2)</f>
        <v>-0.04</v>
      </c>
      <c r="L1158" s="17">
        <f>IF(ISBLANK($C1158),0,IF($C1158&lt;$C$1072,ROUND($C$1072*$L$1071,2),IF($C1158&gt;L$1072,ROUND(L$1072*L$1071,2),ROUND($C1158*L$1071,2))))</f>
        <v>48180</v>
      </c>
      <c r="M1158" s="17">
        <f>IF($C1158&gt;L$1072,ROUND(($C1158-L$1072)*M$1071,2),0)</f>
        <v>0</v>
      </c>
      <c r="N1158" s="17">
        <f>K1158</f>
        <v>-0.04</v>
      </c>
      <c r="O1158" s="17"/>
      <c r="P1158" s="17"/>
      <c r="Q1158" s="17">
        <f>SUM(L1158:M1158)</f>
        <v>48180</v>
      </c>
      <c r="R1158" s="16" t="e">
        <f>ROUND(SUM(K1158:M1158)*(R1157-1),2)</f>
        <v>#N/A</v>
      </c>
      <c r="S1158" s="17">
        <f>ROUND($B1158*S$1071*S1157,2)</f>
        <v>0</v>
      </c>
      <c r="T1158" s="17">
        <f>ROUND($B1158*T$1071,2)</f>
        <v>0</v>
      </c>
      <c r="U1158" s="17">
        <f>ROUND($B1158*U$1071,2)</f>
        <v>0</v>
      </c>
      <c r="V1158" s="8">
        <f>ROUND($B1158*V$1068,2)</f>
        <v>0</v>
      </c>
      <c r="W1158" s="17">
        <f>ROUND($B1158*W$1071,2)</f>
        <v>0</v>
      </c>
      <c r="X1158" s="17">
        <f>ROUND($B1158*X$1071,2)</f>
        <v>-0.01</v>
      </c>
      <c r="Y1158" s="17">
        <f>ROUND($B1158*Y$1071,2)</f>
        <v>0</v>
      </c>
      <c r="Z1158" s="17">
        <f>ROUND($B1158*Z$1071,2)</f>
        <v>0</v>
      </c>
      <c r="AA1158" s="17">
        <f>ROUND($B1158*AA$1071,2)</f>
        <v>0</v>
      </c>
      <c r="AB1158" s="19">
        <f>SUM(U$1071:AA$1071)+(-V$1071+V1142)</f>
        <v>1.1855000000000001E-2</v>
      </c>
      <c r="AC1158" s="67" t="str">
        <f>+F1158</f>
        <v>HL33</v>
      </c>
    </row>
    <row r="1159" spans="1:29" x14ac:dyDescent="0.2">
      <c r="A1159" s="9"/>
      <c r="B1159" s="103">
        <v>-1</v>
      </c>
      <c r="D1159" s="8"/>
      <c r="E1159" s="9"/>
      <c r="F1159" s="36"/>
      <c r="G1159" s="12"/>
      <c r="H1159" s="12"/>
      <c r="J1159" s="12"/>
      <c r="K1159" s="12"/>
      <c r="L1159" s="12"/>
      <c r="M1159" s="12"/>
      <c r="N1159" s="12"/>
      <c r="O1159" s="12"/>
      <c r="P1159" s="12"/>
      <c r="Q1159" s="12"/>
      <c r="R1159" s="38" t="e">
        <f>VLOOKUP((D1160),'Pwr Factor'!$A$1:$B$52,2)</f>
        <v>#N/A</v>
      </c>
      <c r="S1159" s="50">
        <v>0.25</v>
      </c>
      <c r="T1159" s="12"/>
      <c r="U1159" s="12"/>
      <c r="V1159" s="12"/>
      <c r="W1159" s="12"/>
      <c r="X1159" s="12"/>
      <c r="Y1159" s="12"/>
      <c r="Z1159" s="12"/>
      <c r="AA1159" s="12"/>
    </row>
    <row r="1160" spans="1:29" x14ac:dyDescent="0.2">
      <c r="A1160" s="1" t="s">
        <v>150</v>
      </c>
      <c r="B1160" s="103">
        <f>IF(AND('AES Indiana Bill Calc.'!$D$17="HL3",'AES Indiana Bill Calc.'!$D$18="Yes 25%",'AES Indiana Bill Calc.'!$D$20="Yes 2023"),'AES Indiana Bill Calc.'!$D$19,-1)</f>
        <v>-1</v>
      </c>
      <c r="C1160" s="103">
        <f>MAX(E1160,$C$837)</f>
        <v>2000</v>
      </c>
      <c r="D1160" s="103" t="b">
        <f>IF(AND('AES Indiana Bill Calc.'!$D$17="HL3",'AES Indiana Bill Calc.'!$D$18="Yes 25%",'AES Indiana Bill Calc.'!$D$20="Yes 2023"),'AES Indiana Bill Calc.'!$D$22)</f>
        <v>0</v>
      </c>
      <c r="E1160" s="103" t="b">
        <f>IF(AND('AES Indiana Bill Calc.'!$D$17="HL3",'AES Indiana Bill Calc.'!$D$18="Yes 25%",'AES Indiana Bill Calc.'!$D$20="Yes 2023"),'AES Indiana Bill Calc.'!$D$21)</f>
        <v>0</v>
      </c>
      <c r="F1160" s="36" t="s">
        <v>253</v>
      </c>
      <c r="G1160" s="92" t="e">
        <f>SUM(J1160:M1160,R1160:AA1160)</f>
        <v>#N/A</v>
      </c>
      <c r="H1160" s="19" t="e">
        <f>IF(ISBLANK(B1160),0,+#REF!/B1160)</f>
        <v>#REF!</v>
      </c>
      <c r="J1160" s="51">
        <f>IF(ISBLANK(B1160),0,+J$1071)</f>
        <v>500</v>
      </c>
      <c r="K1160" s="17">
        <f>ROUND($B1160*K$1071,2)</f>
        <v>-0.04</v>
      </c>
      <c r="L1160" s="17">
        <f>IF(ISBLANK($C1160),0,IF($C1160&lt;$C$1072,ROUND($C$1072*$L$1071,2),IF($C1160&gt;L$1072,ROUND(L$1072*L$1071,2),ROUND($C1160*L$1071,2))))</f>
        <v>48180</v>
      </c>
      <c r="M1160" s="17">
        <f>IF($C1160&gt;L$1072,ROUND(($C1160-L$1072)*M$1071,2),0)</f>
        <v>0</v>
      </c>
      <c r="N1160" s="17">
        <f>K1160</f>
        <v>-0.04</v>
      </c>
      <c r="O1160" s="17"/>
      <c r="P1160" s="17"/>
      <c r="Q1160" s="17">
        <f>SUM(L1160:M1160)</f>
        <v>48180</v>
      </c>
      <c r="R1160" s="16" t="e">
        <f>ROUND(SUM(K1160:M1160)*(R1159-1),2)</f>
        <v>#N/A</v>
      </c>
      <c r="S1160" s="17">
        <f>ROUND($B1160*S$1071*S1159,2)</f>
        <v>0</v>
      </c>
      <c r="T1160" s="17">
        <f>ROUND($B1160*T$1071,2)</f>
        <v>0</v>
      </c>
      <c r="U1160" s="17">
        <f>ROUND($B1160*U$1071,2)</f>
        <v>0</v>
      </c>
      <c r="V1160" s="8">
        <f>ROUND($B1160*V$1068,2)</f>
        <v>0</v>
      </c>
      <c r="W1160" s="17">
        <f>ROUND($B1160*W$1071,2)</f>
        <v>0</v>
      </c>
      <c r="X1160" s="17">
        <f>ROUND($B1160*X$1071,2)</f>
        <v>-0.01</v>
      </c>
      <c r="Y1160" s="17">
        <f>ROUND($B1160*Y$1071,2)</f>
        <v>0</v>
      </c>
      <c r="Z1160" s="17">
        <f>ROUND($B1160*Z$1071,2)</f>
        <v>0</v>
      </c>
      <c r="AA1160" s="17">
        <f>ROUND($B1160*AA$1071,2)</f>
        <v>0</v>
      </c>
      <c r="AB1160" s="19">
        <f>SUM(U$1071:AA$1071)+(-V$1071+V1144)</f>
        <v>1.1855000000000001E-2</v>
      </c>
      <c r="AC1160" s="67" t="str">
        <f>+F1160</f>
        <v>HL33</v>
      </c>
    </row>
    <row r="1161" spans="1:29" x14ac:dyDescent="0.2">
      <c r="A1161" s="9"/>
      <c r="B1161" s="103">
        <v>-1</v>
      </c>
      <c r="D1161" s="8"/>
      <c r="E1161" s="9"/>
      <c r="F1161" s="36"/>
      <c r="G1161" s="12"/>
      <c r="H1161" s="12"/>
      <c r="J1161" s="12"/>
      <c r="K1161" s="12"/>
      <c r="L1161" s="12"/>
      <c r="M1161" s="12"/>
      <c r="N1161" s="12"/>
      <c r="O1161" s="12"/>
      <c r="P1161" s="12"/>
      <c r="Q1161" s="12"/>
      <c r="R1161" s="38" t="e">
        <f>VLOOKUP((D1162),'Pwr Factor'!$A$1:$B$52,2)</f>
        <v>#N/A</v>
      </c>
      <c r="S1161" s="50">
        <v>0.1</v>
      </c>
      <c r="T1161" s="12"/>
      <c r="U1161" s="12"/>
      <c r="V1161" s="12"/>
      <c r="W1161" s="12"/>
      <c r="X1161" s="12"/>
      <c r="Y1161" s="12"/>
      <c r="Z1161" s="12"/>
      <c r="AA1161" s="12"/>
    </row>
    <row r="1162" spans="1:29" x14ac:dyDescent="0.2">
      <c r="A1162" s="1" t="s">
        <v>164</v>
      </c>
      <c r="B1162" s="103">
        <f>IF(AND('AES Indiana Bill Calc.'!$D$17="HL3",'AES Indiana Bill Calc.'!$D$18="Yes 10%",'AES Indiana Bill Calc.'!$D$20="Yes 2023"),'AES Indiana Bill Calc.'!$D$19,-1)</f>
        <v>-1</v>
      </c>
      <c r="C1162" s="103">
        <f>MAX(E1162,$C$837)</f>
        <v>2000</v>
      </c>
      <c r="D1162" s="103" t="b">
        <f>IF(AND('AES Indiana Bill Calc.'!$D$17="HL3",'AES Indiana Bill Calc.'!$D$18="Yes 10%",'AES Indiana Bill Calc.'!$D$20="Yes 2023"),'AES Indiana Bill Calc.'!$D$22)</f>
        <v>0</v>
      </c>
      <c r="E1162" s="103" t="b">
        <f>IF(AND('AES Indiana Bill Calc.'!$D$17="HL3",'AES Indiana Bill Calc.'!$D$18="Yes 10%",'AES Indiana Bill Calc.'!$D$20="Yes 2023"),'AES Indiana Bill Calc.'!$D$21)</f>
        <v>0</v>
      </c>
      <c r="F1162" s="36" t="s">
        <v>253</v>
      </c>
      <c r="G1162" s="92" t="e">
        <f>SUM(J1162:M1162,R1162:AA1162)</f>
        <v>#N/A</v>
      </c>
      <c r="H1162" s="19" t="e">
        <f>IF(ISBLANK(B1162),0,+#REF!/B1162)</f>
        <v>#REF!</v>
      </c>
      <c r="J1162" s="51">
        <f>IF(ISBLANK(B1162),0,+J$1071)</f>
        <v>500</v>
      </c>
      <c r="K1162" s="17">
        <f>ROUND($B1162*K$1071,2)</f>
        <v>-0.04</v>
      </c>
      <c r="L1162" s="17">
        <f>IF(ISBLANK($C1162),0,IF($C1162&lt;$C$1072,ROUND($C$1072*$L$1071,2),IF($C1162&gt;L$1072,ROUND(L$1072*L$1071,2),ROUND($C1162*L$1071,2))))</f>
        <v>48180</v>
      </c>
      <c r="M1162" s="17">
        <f>IF($C1162&gt;L$1072,ROUND(($C1162-L$1072)*M$1071,2),0)</f>
        <v>0</v>
      </c>
      <c r="N1162" s="17">
        <f>K1162</f>
        <v>-0.04</v>
      </c>
      <c r="O1162" s="17"/>
      <c r="P1162" s="17"/>
      <c r="Q1162" s="17">
        <f>SUM(L1162:M1162)</f>
        <v>48180</v>
      </c>
      <c r="R1162" s="16" t="e">
        <f>ROUND(SUM(K1162:M1162)*(R1161-1),2)</f>
        <v>#N/A</v>
      </c>
      <c r="S1162" s="17">
        <f>ROUND($B1162*S$1071*S1161,2)</f>
        <v>0</v>
      </c>
      <c r="T1162" s="17">
        <f>ROUND($B1162*T$1071,2)</f>
        <v>0</v>
      </c>
      <c r="U1162" s="17">
        <f>ROUND($B1162*U$1071,2)</f>
        <v>0</v>
      </c>
      <c r="V1162" s="8">
        <f>ROUND($B1162*V$1068,2)</f>
        <v>0</v>
      </c>
      <c r="W1162" s="17">
        <f>ROUND($B1162*W$1071,2)</f>
        <v>0</v>
      </c>
      <c r="X1162" s="17">
        <f>ROUND($B1162*X$1071,2)</f>
        <v>-0.01</v>
      </c>
      <c r="Y1162" s="17">
        <f>ROUND($B1162*Y$1071,2)</f>
        <v>0</v>
      </c>
      <c r="Z1162" s="17">
        <f>ROUND($B1162*Z$1071,2)</f>
        <v>0</v>
      </c>
      <c r="AA1162" s="17">
        <f>ROUND($B1162*AA$1071,2)</f>
        <v>0</v>
      </c>
      <c r="AB1162" s="19">
        <f>SUM(U$1071:AA$1071)+(-V$1071+V1146)</f>
        <v>1.1855000000000001E-2</v>
      </c>
      <c r="AC1162" s="67" t="str">
        <f>+F1162</f>
        <v>HL33</v>
      </c>
    </row>
    <row r="1163" spans="1:29" x14ac:dyDescent="0.2">
      <c r="A1163" s="9"/>
      <c r="B1163" s="103">
        <v>-1</v>
      </c>
      <c r="D1163" s="8"/>
      <c r="E1163" s="9"/>
      <c r="F1163" s="36"/>
      <c r="G1163" s="12"/>
      <c r="H1163" s="12"/>
      <c r="J1163" s="12"/>
      <c r="K1163" s="12"/>
      <c r="L1163" s="12"/>
      <c r="M1163" s="12"/>
      <c r="N1163" s="12"/>
      <c r="O1163" s="12"/>
      <c r="P1163" s="12"/>
      <c r="Q1163" s="12"/>
      <c r="R1163" s="38" t="e">
        <f>VLOOKUP((D1164),'Pwr Factor'!$A$1:$B$52,2)</f>
        <v>#N/A</v>
      </c>
      <c r="S1163" s="50">
        <v>0</v>
      </c>
      <c r="T1163" s="12"/>
      <c r="U1163" s="12"/>
      <c r="V1163" s="12"/>
      <c r="W1163" s="12"/>
      <c r="X1163" s="12"/>
      <c r="Y1163" s="12"/>
      <c r="Z1163" s="12"/>
      <c r="AA1163" s="12"/>
    </row>
    <row r="1164" spans="1:29" x14ac:dyDescent="0.2">
      <c r="A1164" s="1" t="s">
        <v>147</v>
      </c>
      <c r="B1164" s="103">
        <f>IF(AND('AES Indiana Bill Calc.'!$D$17="HL3",'AES Indiana Bill Calc.'!$D$18="No",'AES Indiana Bill Calc.'!$D$20="Yes 2023"),'AES Indiana Bill Calc.'!$D$19,-1)</f>
        <v>-1</v>
      </c>
      <c r="C1164" s="103">
        <f>MAX(E1164,$C$837)</f>
        <v>2000</v>
      </c>
      <c r="D1164" s="103" t="b">
        <f>IF(AND('AES Indiana Bill Calc.'!$D$17="HL3",'AES Indiana Bill Calc.'!$D$18="No",'AES Indiana Bill Calc.'!$D$20="Yes 2023"),'AES Indiana Bill Calc.'!$D$22)</f>
        <v>0</v>
      </c>
      <c r="E1164" s="103" t="b">
        <f>IF(AND('AES Indiana Bill Calc.'!$D$17="HL3",'AES Indiana Bill Calc.'!$D$18="No",'AES Indiana Bill Calc.'!$D$20="Yes 2023"),'AES Indiana Bill Calc.'!$D$21)</f>
        <v>0</v>
      </c>
      <c r="F1164" s="36" t="s">
        <v>253</v>
      </c>
      <c r="G1164" s="92" t="e">
        <f>SUM(J1164:M1164,R1164:AA1164)</f>
        <v>#N/A</v>
      </c>
      <c r="H1164" s="19" t="e">
        <f>IF(ISBLANK(B1164),0,+#REF!/B1164)</f>
        <v>#REF!</v>
      </c>
      <c r="J1164" s="51">
        <f>IF(ISBLANK(B1164),0,+J$1071)</f>
        <v>500</v>
      </c>
      <c r="K1164" s="17">
        <f>ROUND($B1164*K$1071,2)</f>
        <v>-0.04</v>
      </c>
      <c r="L1164" s="17">
        <f>IF(ISBLANK($C1164),0,IF($C1164&lt;$C$1072,ROUND($C$1072*$L$1071,2),IF($C1164&gt;L$1072,ROUND(L$1072*L$1071,2),ROUND($C1164*L$1071,2))))</f>
        <v>48180</v>
      </c>
      <c r="M1164" s="17">
        <f>IF($C1164&gt;L$1072,ROUND(($C1164-L$1072)*M$1071,2),0)</f>
        <v>0</v>
      </c>
      <c r="N1164" s="17">
        <f>K1164</f>
        <v>-0.04</v>
      </c>
      <c r="O1164" s="17"/>
      <c r="P1164" s="17"/>
      <c r="Q1164" s="17">
        <f>SUM(L1164:M1164)</f>
        <v>48180</v>
      </c>
      <c r="R1164" s="16" t="e">
        <f>ROUND(SUM(K1164:M1164)*(R1163-1),2)</f>
        <v>#N/A</v>
      </c>
      <c r="S1164" s="17">
        <f>ROUND($B1164*S$1071*S1163,2)</f>
        <v>0</v>
      </c>
      <c r="T1164" s="17">
        <f>ROUND($B1164*T$1071,2)</f>
        <v>0</v>
      </c>
      <c r="U1164" s="17">
        <f>ROUND($B1164*U$1071,2)</f>
        <v>0</v>
      </c>
      <c r="V1164" s="8">
        <f>ROUND($B1164*V$1068,2)</f>
        <v>0</v>
      </c>
      <c r="W1164" s="17">
        <f>ROUND($B1164*W$1071,2)</f>
        <v>0</v>
      </c>
      <c r="X1164" s="17">
        <f>ROUND($B1164*X$1071,2)</f>
        <v>-0.01</v>
      </c>
      <c r="Y1164" s="17">
        <f>ROUND($B1164*Y$1071,2)</f>
        <v>0</v>
      </c>
      <c r="Z1164" s="17">
        <f>ROUND($B1164*Z$1071,2)</f>
        <v>0</v>
      </c>
      <c r="AA1164" s="17">
        <f>ROUND($B1164*AA$1071,2)</f>
        <v>0</v>
      </c>
      <c r="AB1164" s="19">
        <f>SUM(U$1071:AA$1071)+(-V$1071+V1148)</f>
        <v>1.1855000000000001E-2</v>
      </c>
      <c r="AC1164" s="67" t="str">
        <f>+F1164</f>
        <v>HL33</v>
      </c>
    </row>
    <row r="1165" spans="1:29" x14ac:dyDescent="0.2">
      <c r="A1165" s="48"/>
      <c r="B1165" s="103">
        <v>-1</v>
      </c>
      <c r="D1165" s="8"/>
      <c r="E1165" s="9"/>
      <c r="F1165" s="36"/>
      <c r="G1165" s="12"/>
      <c r="H1165" s="12"/>
      <c r="J1165" s="12"/>
      <c r="K1165" s="12"/>
      <c r="L1165" s="12"/>
      <c r="M1165" s="12"/>
      <c r="N1165" s="12"/>
      <c r="O1165" s="12"/>
      <c r="P1165" s="12"/>
      <c r="Q1165" s="12"/>
      <c r="R1165" s="38" t="e">
        <f>VLOOKUP((D1166),'Pwr Factor'!$A$1:$B$52,2)</f>
        <v>#N/A</v>
      </c>
      <c r="S1165" s="50">
        <v>1</v>
      </c>
      <c r="T1165" s="12"/>
      <c r="U1165" s="12"/>
      <c r="V1165" s="12"/>
      <c r="W1165" s="12"/>
      <c r="X1165" s="12"/>
      <c r="Y1165" s="12"/>
      <c r="Z1165" s="12"/>
      <c r="AA1165" s="12"/>
    </row>
    <row r="1166" spans="1:29" x14ac:dyDescent="0.2">
      <c r="A1166" s="1" t="s">
        <v>148</v>
      </c>
      <c r="B1166" s="103">
        <f>IF(AND('AES Indiana Bill Calc.'!$D$17="HL3",'AES Indiana Bill Calc.'!$D$18="Yes 100%",'AES Indiana Bill Calc.'!$D$20="Yes 2024"),'AES Indiana Bill Calc.'!$D$19,-1)</f>
        <v>-1</v>
      </c>
      <c r="C1166" s="103">
        <f>MAX(E1166,$C$837)</f>
        <v>2000</v>
      </c>
      <c r="D1166" s="103" t="b">
        <f>IF(AND('AES Indiana Bill Calc.'!$D$17="HL3",'AES Indiana Bill Calc.'!$D$18="Yes 100%",'AES Indiana Bill Calc.'!$D$20="Yes 2024"),'AES Indiana Bill Calc.'!$D$22)</f>
        <v>0</v>
      </c>
      <c r="E1166" s="103" t="b">
        <f>IF(AND('AES Indiana Bill Calc.'!$D$17="HL3",'AES Indiana Bill Calc.'!$D$18="Yes 100%",'AES Indiana Bill Calc.'!$D$20="Yes 2024"),'AES Indiana Bill Calc.'!$D$21)</f>
        <v>0</v>
      </c>
      <c r="F1166" s="36" t="s">
        <v>295</v>
      </c>
      <c r="G1166" s="92" t="e">
        <f>SUM(J1166:M1166,R1166:AA1166)</f>
        <v>#N/A</v>
      </c>
      <c r="H1166" s="19" t="e">
        <f>IF(ISBLANK(B1166),0,+#REF!/B1166)</f>
        <v>#REF!</v>
      </c>
      <c r="J1166" s="51">
        <f>IF(ISBLANK(B1166),0,+J$1071)</f>
        <v>500</v>
      </c>
      <c r="K1166" s="17">
        <f>ROUND($B1166*K$1071,2)</f>
        <v>-0.04</v>
      </c>
      <c r="L1166" s="17">
        <f>IF(ISBLANK($C1166),0,IF($C1166&lt;$C$1072,ROUND($C$1072*$L$1071,2),IF($C1166&gt;L$1072,ROUND(L$1072*L$1071,2),ROUND($C1166*L$1071,2))))</f>
        <v>48180</v>
      </c>
      <c r="M1166" s="17">
        <f>IF($C1166&gt;L$1072,ROUND(($C1166-L$1072)*M$1071,2),0)</f>
        <v>0</v>
      </c>
      <c r="N1166" s="17">
        <f>K1166</f>
        <v>-0.04</v>
      </c>
      <c r="O1166" s="17"/>
      <c r="P1166" s="17"/>
      <c r="Q1166" s="17">
        <f>SUM(L1166:M1166)</f>
        <v>48180</v>
      </c>
      <c r="R1166" s="16" t="e">
        <f>ROUND(SUM(K1166:M1166)*(R1165-1),2)</f>
        <v>#N/A</v>
      </c>
      <c r="S1166" s="17">
        <f>ROUND($B1166*S$1071*S1165,2)</f>
        <v>0</v>
      </c>
      <c r="T1166" s="17">
        <f>ROUND($B1166*T$1071,2)</f>
        <v>0</v>
      </c>
      <c r="U1166" s="17">
        <f>ROUND($B1166*U$1071,2)</f>
        <v>0</v>
      </c>
      <c r="V1166" s="8">
        <f>ROUND($B1166*V$1069,2)</f>
        <v>-0.01</v>
      </c>
      <c r="W1166" s="17">
        <f>ROUND($B1166*W$1071,2)</f>
        <v>0</v>
      </c>
      <c r="X1166" s="17">
        <f>ROUND($B1166*X$1071,2)</f>
        <v>-0.01</v>
      </c>
      <c r="Y1166" s="17">
        <f>ROUND($B1166*Y$1071,2)</f>
        <v>0</v>
      </c>
      <c r="Z1166" s="17">
        <f>ROUND($B1166*Z$1071,2)</f>
        <v>0</v>
      </c>
      <c r="AA1166" s="17">
        <f>ROUND($B1166*AA$1071,2)</f>
        <v>0</v>
      </c>
      <c r="AB1166" s="19">
        <f>SUM(U$1071:AA$1071)+(-V$1071+V1150)</f>
        <v>1.1855000000000001E-2</v>
      </c>
      <c r="AC1166" s="67" t="str">
        <f>+F1166</f>
        <v>HL34</v>
      </c>
    </row>
    <row r="1167" spans="1:29" x14ac:dyDescent="0.2">
      <c r="A1167" s="48"/>
      <c r="B1167" s="103">
        <v>-1</v>
      </c>
      <c r="D1167" s="8"/>
      <c r="E1167" s="9"/>
      <c r="F1167" s="36"/>
      <c r="G1167" s="12"/>
      <c r="H1167" s="12"/>
      <c r="J1167" s="12"/>
      <c r="K1167" s="12"/>
      <c r="L1167" s="12"/>
      <c r="M1167" s="12"/>
      <c r="N1167" s="12"/>
      <c r="O1167" s="12"/>
      <c r="P1167" s="12"/>
      <c r="Q1167" s="12"/>
      <c r="R1167" s="38" t="e">
        <f>VLOOKUP((D1168),'Pwr Factor'!$A$1:$B$52,2)</f>
        <v>#N/A</v>
      </c>
      <c r="S1167" s="50">
        <v>0.5</v>
      </c>
      <c r="T1167" s="12"/>
      <c r="U1167" s="12"/>
      <c r="V1167" s="12"/>
      <c r="W1167" s="12"/>
      <c r="X1167" s="12"/>
      <c r="Y1167" s="12"/>
      <c r="Z1167" s="12"/>
      <c r="AA1167" s="12"/>
    </row>
    <row r="1168" spans="1:29" x14ac:dyDescent="0.2">
      <c r="A1168" s="1" t="s">
        <v>149</v>
      </c>
      <c r="B1168" s="103">
        <f>IF(AND('AES Indiana Bill Calc.'!$D$17="HL3",'AES Indiana Bill Calc.'!$D$18="Yes 50%",'AES Indiana Bill Calc.'!$D$20="Yes 2024"),'AES Indiana Bill Calc.'!$D$19,-1)</f>
        <v>-1</v>
      </c>
      <c r="C1168" s="103">
        <f>MAX(E1168,$C$837)</f>
        <v>2000</v>
      </c>
      <c r="D1168" s="103" t="b">
        <f>IF(AND('AES Indiana Bill Calc.'!$D$17="HL3",'AES Indiana Bill Calc.'!$D$18="Yes 50%",'AES Indiana Bill Calc.'!$D$20="Yes 2024"),'AES Indiana Bill Calc.'!$D$22)</f>
        <v>0</v>
      </c>
      <c r="E1168" s="103" t="b">
        <f>IF(AND('AES Indiana Bill Calc.'!$D$17="HL3",'AES Indiana Bill Calc.'!$D$18="Yes 50%",'AES Indiana Bill Calc.'!$D$20="Yes 2024"),'AES Indiana Bill Calc.'!$D$21)</f>
        <v>0</v>
      </c>
      <c r="F1168" s="36" t="s">
        <v>295</v>
      </c>
      <c r="G1168" s="92" t="e">
        <f>SUM(J1168:M1168,R1168:AA1168)</f>
        <v>#N/A</v>
      </c>
      <c r="H1168" s="19" t="e">
        <f>IF(ISBLANK(B1168),0,+#REF!/B1168)</f>
        <v>#REF!</v>
      </c>
      <c r="J1168" s="51">
        <f>IF(ISBLANK(B1168),0,+J$1071)</f>
        <v>500</v>
      </c>
      <c r="K1168" s="17">
        <f>ROUND($B1168*K$1071,2)</f>
        <v>-0.04</v>
      </c>
      <c r="L1168" s="17">
        <f>IF(ISBLANK($C1168),0,IF($C1168&lt;$C$1072,ROUND($C$1072*$L$1071,2),IF($C1168&gt;L$1072,ROUND(L$1072*L$1071,2),ROUND($C1168*L$1071,2))))</f>
        <v>48180</v>
      </c>
      <c r="M1168" s="17">
        <f>IF($C1168&gt;L$1072,ROUND(($C1168-L$1072)*M$1071,2),0)</f>
        <v>0</v>
      </c>
      <c r="N1168" s="17">
        <f>K1168</f>
        <v>-0.04</v>
      </c>
      <c r="O1168" s="17"/>
      <c r="P1168" s="17"/>
      <c r="Q1168" s="17">
        <f>SUM(L1168:M1168)</f>
        <v>48180</v>
      </c>
      <c r="R1168" s="16" t="e">
        <f>ROUND(SUM(K1168:M1168)*(R1167-1),2)</f>
        <v>#N/A</v>
      </c>
      <c r="S1168" s="17">
        <f>ROUND($B1168*S$1071*S1167,2)</f>
        <v>0</v>
      </c>
      <c r="T1168" s="17">
        <f>ROUND($B1168*T$1071,2)</f>
        <v>0</v>
      </c>
      <c r="U1168" s="17">
        <f>ROUND($B1168*U$1071,2)</f>
        <v>0</v>
      </c>
      <c r="V1168" s="8">
        <f>ROUND($B1168*V$1069,2)</f>
        <v>-0.01</v>
      </c>
      <c r="W1168" s="17">
        <f>ROUND($B1168*W$1071,2)</f>
        <v>0</v>
      </c>
      <c r="X1168" s="17">
        <f>ROUND($B1168*X$1071,2)</f>
        <v>-0.01</v>
      </c>
      <c r="Y1168" s="17">
        <f>ROUND($B1168*Y$1071,2)</f>
        <v>0</v>
      </c>
      <c r="Z1168" s="17">
        <f>ROUND($B1168*Z$1071,2)</f>
        <v>0</v>
      </c>
      <c r="AA1168" s="17">
        <f>ROUND($B1168*AA$1071,2)</f>
        <v>0</v>
      </c>
      <c r="AB1168" s="19">
        <f>SUM(U$1071:AA$1071)+(-V$1071+V1152)</f>
        <v>1.1855000000000001E-2</v>
      </c>
      <c r="AC1168" s="67" t="str">
        <f>+F1168</f>
        <v>HL34</v>
      </c>
    </row>
    <row r="1169" spans="1:29" x14ac:dyDescent="0.2">
      <c r="A1169" s="9"/>
      <c r="B1169" s="103">
        <v>-1</v>
      </c>
      <c r="D1169" s="8"/>
      <c r="E1169" s="9"/>
      <c r="F1169" s="36"/>
      <c r="G1169" s="12"/>
      <c r="H1169" s="12"/>
      <c r="J1169" s="12"/>
      <c r="K1169" s="12"/>
      <c r="L1169" s="12"/>
      <c r="M1169" s="12"/>
      <c r="N1169" s="12"/>
      <c r="O1169" s="12"/>
      <c r="P1169" s="12"/>
      <c r="Q1169" s="12"/>
      <c r="R1169" s="38" t="e">
        <f>VLOOKUP((D1170),'Pwr Factor'!$A$1:$B$52,2)</f>
        <v>#N/A</v>
      </c>
      <c r="S1169" s="50">
        <v>0.25</v>
      </c>
      <c r="T1169" s="12"/>
      <c r="U1169" s="12"/>
      <c r="V1169" s="12"/>
      <c r="W1169" s="12"/>
      <c r="X1169" s="12"/>
      <c r="Y1169" s="12"/>
      <c r="Z1169" s="12"/>
      <c r="AA1169" s="12"/>
    </row>
    <row r="1170" spans="1:29" x14ac:dyDescent="0.2">
      <c r="A1170" s="1" t="s">
        <v>150</v>
      </c>
      <c r="B1170" s="103">
        <f>IF(AND('AES Indiana Bill Calc.'!$D$17="HL3",'AES Indiana Bill Calc.'!$D$18="Yes 25%",'AES Indiana Bill Calc.'!$D$20="Yes 2024"),'AES Indiana Bill Calc.'!$D$19,-1)</f>
        <v>-1</v>
      </c>
      <c r="C1170" s="103">
        <f>MAX(E1170,$C$837)</f>
        <v>2000</v>
      </c>
      <c r="D1170" s="103" t="b">
        <f>IF(AND('AES Indiana Bill Calc.'!$D$17="HL3",'AES Indiana Bill Calc.'!$D$18="Yes 25%",'AES Indiana Bill Calc.'!$D$20="Yes 2024"),'AES Indiana Bill Calc.'!$D$22)</f>
        <v>0</v>
      </c>
      <c r="E1170" s="103" t="b">
        <f>IF(AND('AES Indiana Bill Calc.'!$D$17="HL3",'AES Indiana Bill Calc.'!$D$18="Yes 25%",'AES Indiana Bill Calc.'!$D$20="Yes 2024"),'AES Indiana Bill Calc.'!$D$21)</f>
        <v>0</v>
      </c>
      <c r="F1170" s="36" t="s">
        <v>295</v>
      </c>
      <c r="G1170" s="92" t="e">
        <f>SUM(J1170:M1170,R1170:AA1170)</f>
        <v>#N/A</v>
      </c>
      <c r="H1170" s="19" t="e">
        <f>IF(ISBLANK(B1170),0,+#REF!/B1170)</f>
        <v>#REF!</v>
      </c>
      <c r="J1170" s="51">
        <f>IF(ISBLANK(B1170),0,+J$1071)</f>
        <v>500</v>
      </c>
      <c r="K1170" s="17">
        <f>ROUND($B1170*K$1071,2)</f>
        <v>-0.04</v>
      </c>
      <c r="L1170" s="17">
        <f>IF(ISBLANK($C1170),0,IF($C1170&lt;$C$1072,ROUND($C$1072*$L$1071,2),IF($C1170&gt;L$1072,ROUND(L$1072*L$1071,2),ROUND($C1170*L$1071,2))))</f>
        <v>48180</v>
      </c>
      <c r="M1170" s="17">
        <f>IF($C1170&gt;L$1072,ROUND(($C1170-L$1072)*M$1071,2),0)</f>
        <v>0</v>
      </c>
      <c r="N1170" s="17">
        <f>K1170</f>
        <v>-0.04</v>
      </c>
      <c r="O1170" s="17"/>
      <c r="P1170" s="17"/>
      <c r="Q1170" s="17">
        <f>SUM(L1170:M1170)</f>
        <v>48180</v>
      </c>
      <c r="R1170" s="16" t="e">
        <f>ROUND(SUM(K1170:M1170)*(R1169-1),2)</f>
        <v>#N/A</v>
      </c>
      <c r="S1170" s="17">
        <f>ROUND($B1170*S$1071*S1169,2)</f>
        <v>0</v>
      </c>
      <c r="T1170" s="17">
        <f>ROUND($B1170*T$1071,2)</f>
        <v>0</v>
      </c>
      <c r="U1170" s="17">
        <f>ROUND($B1170*U$1071,2)</f>
        <v>0</v>
      </c>
      <c r="V1170" s="8">
        <f>ROUND($B1170*V$1069,2)</f>
        <v>-0.01</v>
      </c>
      <c r="W1170" s="17">
        <f>ROUND($B1170*W$1071,2)</f>
        <v>0</v>
      </c>
      <c r="X1170" s="17">
        <f>ROUND($B1170*X$1071,2)</f>
        <v>-0.01</v>
      </c>
      <c r="Y1170" s="17">
        <f>ROUND($B1170*Y$1071,2)</f>
        <v>0</v>
      </c>
      <c r="Z1170" s="17">
        <f>ROUND($B1170*Z$1071,2)</f>
        <v>0</v>
      </c>
      <c r="AA1170" s="17">
        <f>ROUND($B1170*AA$1071,2)</f>
        <v>0</v>
      </c>
      <c r="AB1170" s="19">
        <f>SUM(U$1071:AA$1071)+(-V$1071+V1154)</f>
        <v>1.1855000000000001E-2</v>
      </c>
      <c r="AC1170" s="67" t="str">
        <f>+F1170</f>
        <v>HL34</v>
      </c>
    </row>
    <row r="1171" spans="1:29" x14ac:dyDescent="0.2">
      <c r="A1171" s="9"/>
      <c r="B1171" s="103">
        <v>-1</v>
      </c>
      <c r="D1171" s="8"/>
      <c r="E1171" s="9"/>
      <c r="F1171" s="36"/>
      <c r="G1171" s="12"/>
      <c r="H1171" s="12"/>
      <c r="J1171" s="12"/>
      <c r="K1171" s="12"/>
      <c r="L1171" s="12"/>
      <c r="M1171" s="12"/>
      <c r="N1171" s="12"/>
      <c r="O1171" s="12"/>
      <c r="P1171" s="12"/>
      <c r="Q1171" s="12"/>
      <c r="R1171" s="38" t="e">
        <f>VLOOKUP((D1172),'Pwr Factor'!$A$1:$B$52,2)</f>
        <v>#N/A</v>
      </c>
      <c r="S1171" s="50">
        <v>0.1</v>
      </c>
      <c r="T1171" s="12"/>
      <c r="U1171" s="12"/>
      <c r="V1171" s="12"/>
      <c r="W1171" s="12"/>
      <c r="X1171" s="12"/>
      <c r="Y1171" s="12"/>
      <c r="Z1171" s="12"/>
      <c r="AA1171" s="12"/>
    </row>
    <row r="1172" spans="1:29" x14ac:dyDescent="0.2">
      <c r="A1172" s="1" t="s">
        <v>164</v>
      </c>
      <c r="B1172" s="103">
        <f>IF(AND('AES Indiana Bill Calc.'!$D$17="HL3",'AES Indiana Bill Calc.'!$D$18="Yes 10%",'AES Indiana Bill Calc.'!$D$20="Yes 2024"),'AES Indiana Bill Calc.'!$D$19,-1)</f>
        <v>-1</v>
      </c>
      <c r="C1172" s="103">
        <f>MAX(E1172,$C$837)</f>
        <v>2000</v>
      </c>
      <c r="D1172" s="103" t="b">
        <f>IF(AND('AES Indiana Bill Calc.'!$D$17="HL3",'AES Indiana Bill Calc.'!$D$18="Yes 10%",'AES Indiana Bill Calc.'!$D$20="Yes 2024"),'AES Indiana Bill Calc.'!$D$22)</f>
        <v>0</v>
      </c>
      <c r="E1172" s="103" t="b">
        <f>IF(AND('AES Indiana Bill Calc.'!$D$17="HL3",'AES Indiana Bill Calc.'!$D$18="Yes 10%",'AES Indiana Bill Calc.'!$D$20="Yes 2024"),'AES Indiana Bill Calc.'!$D$21)</f>
        <v>0</v>
      </c>
      <c r="F1172" s="36" t="s">
        <v>295</v>
      </c>
      <c r="G1172" s="92" t="e">
        <f>SUM(J1172:M1172,R1172:AA1172)</f>
        <v>#N/A</v>
      </c>
      <c r="H1172" s="19" t="e">
        <f>IF(ISBLANK(B1172),0,+#REF!/B1172)</f>
        <v>#REF!</v>
      </c>
      <c r="J1172" s="51">
        <f>IF(ISBLANK(B1172),0,+J$1071)</f>
        <v>500</v>
      </c>
      <c r="K1172" s="17">
        <f>ROUND($B1172*K$1071,2)</f>
        <v>-0.04</v>
      </c>
      <c r="L1172" s="17">
        <f>IF(ISBLANK($C1172),0,IF($C1172&lt;$C$1072,ROUND($C$1072*$L$1071,2),IF($C1172&gt;L$1072,ROUND(L$1072*L$1071,2),ROUND($C1172*L$1071,2))))</f>
        <v>48180</v>
      </c>
      <c r="M1172" s="17">
        <f>IF($C1172&gt;L$1072,ROUND(($C1172-L$1072)*M$1071,2),0)</f>
        <v>0</v>
      </c>
      <c r="N1172" s="17">
        <f>K1172</f>
        <v>-0.04</v>
      </c>
      <c r="O1172" s="17"/>
      <c r="P1172" s="17"/>
      <c r="Q1172" s="17">
        <f>SUM(L1172:M1172)</f>
        <v>48180</v>
      </c>
      <c r="R1172" s="16" t="e">
        <f>ROUND(SUM(K1172:M1172)*(R1171-1),2)</f>
        <v>#N/A</v>
      </c>
      <c r="S1172" s="17">
        <f>ROUND($B1172*S$1071*S1171,2)</f>
        <v>0</v>
      </c>
      <c r="T1172" s="17">
        <f>ROUND($B1172*T$1071,2)</f>
        <v>0</v>
      </c>
      <c r="U1172" s="17">
        <f>ROUND($B1172*U$1071,2)</f>
        <v>0</v>
      </c>
      <c r="V1172" s="8">
        <f>ROUND($B1172*V$1069,2)</f>
        <v>-0.01</v>
      </c>
      <c r="W1172" s="17">
        <f>ROUND($B1172*W$1071,2)</f>
        <v>0</v>
      </c>
      <c r="X1172" s="17">
        <f>ROUND($B1172*X$1071,2)</f>
        <v>-0.01</v>
      </c>
      <c r="Y1172" s="17">
        <f>ROUND($B1172*Y$1071,2)</f>
        <v>0</v>
      </c>
      <c r="Z1172" s="17">
        <f>ROUND($B1172*Z$1071,2)</f>
        <v>0</v>
      </c>
      <c r="AA1172" s="17">
        <f>ROUND($B1172*AA$1071,2)</f>
        <v>0</v>
      </c>
      <c r="AB1172" s="19">
        <f>SUM(U$1071:AA$1071)+(-V$1071+V1156)</f>
        <v>1.1855000000000001E-2</v>
      </c>
      <c r="AC1172" s="67" t="str">
        <f>+F1172</f>
        <v>HL34</v>
      </c>
    </row>
    <row r="1173" spans="1:29" x14ac:dyDescent="0.2">
      <c r="A1173" s="9"/>
      <c r="B1173" s="103">
        <v>-1</v>
      </c>
      <c r="D1173" s="8"/>
      <c r="E1173" s="9"/>
      <c r="F1173" s="36"/>
      <c r="G1173" s="12"/>
      <c r="H1173" s="12"/>
      <c r="J1173" s="12"/>
      <c r="K1173" s="12"/>
      <c r="L1173" s="12"/>
      <c r="M1173" s="12"/>
      <c r="N1173" s="12"/>
      <c r="O1173" s="12"/>
      <c r="P1173" s="12"/>
      <c r="Q1173" s="12"/>
      <c r="R1173" s="38" t="e">
        <f>VLOOKUP((D1174),'Pwr Factor'!$A$1:$B$52,2)</f>
        <v>#N/A</v>
      </c>
      <c r="S1173" s="50">
        <v>0</v>
      </c>
      <c r="T1173" s="12"/>
      <c r="U1173" s="12"/>
      <c r="V1173" s="12"/>
      <c r="W1173" s="12"/>
      <c r="X1173" s="12"/>
      <c r="Y1173" s="12"/>
      <c r="Z1173" s="12"/>
      <c r="AA1173" s="12"/>
    </row>
    <row r="1174" spans="1:29" x14ac:dyDescent="0.2">
      <c r="A1174" s="1" t="s">
        <v>147</v>
      </c>
      <c r="B1174" s="103">
        <f>IF(AND('AES Indiana Bill Calc.'!$D$17="HL3",'AES Indiana Bill Calc.'!$D$18="No",'AES Indiana Bill Calc.'!$D$20="Yes 2024"),'AES Indiana Bill Calc.'!$D$19,-1)</f>
        <v>-1</v>
      </c>
      <c r="C1174" s="103">
        <f>MAX(E1174,$C$837)</f>
        <v>2000</v>
      </c>
      <c r="D1174" s="103" t="b">
        <f>IF(AND('AES Indiana Bill Calc.'!$D$17="HL3",'AES Indiana Bill Calc.'!$D$18="No",'AES Indiana Bill Calc.'!$D$20="Yes 2024"),'AES Indiana Bill Calc.'!$D$22)</f>
        <v>0</v>
      </c>
      <c r="E1174" s="103" t="b">
        <f>IF(AND('AES Indiana Bill Calc.'!$D$17="HL3",'AES Indiana Bill Calc.'!$D$18="No",'AES Indiana Bill Calc.'!$D$20="Yes 2024"),'AES Indiana Bill Calc.'!$D$21)</f>
        <v>0</v>
      </c>
      <c r="F1174" s="36" t="s">
        <v>295</v>
      </c>
      <c r="G1174" s="92" t="e">
        <f>SUM(J1174:M1174,R1174:AA1174)</f>
        <v>#N/A</v>
      </c>
      <c r="H1174" s="19" t="e">
        <f>IF(ISBLANK(B1174),0,+#REF!/B1174)</f>
        <v>#REF!</v>
      </c>
      <c r="J1174" s="51">
        <f>IF(ISBLANK(B1174),0,+J$1071)</f>
        <v>500</v>
      </c>
      <c r="K1174" s="17">
        <f>ROUND($B1174*K$1071,2)</f>
        <v>-0.04</v>
      </c>
      <c r="L1174" s="17">
        <f>IF(ISBLANK($C1174),0,IF($C1174&lt;$C$1072,ROUND($C$1072*$L$1071,2),IF($C1174&gt;L$1072,ROUND(L$1072*L$1071,2),ROUND($C1174*L$1071,2))))</f>
        <v>48180</v>
      </c>
      <c r="M1174" s="17">
        <f>IF($C1174&gt;L$1072,ROUND(($C1174-L$1072)*M$1071,2),0)</f>
        <v>0</v>
      </c>
      <c r="N1174" s="17">
        <f>K1174</f>
        <v>-0.04</v>
      </c>
      <c r="O1174" s="17"/>
      <c r="P1174" s="17"/>
      <c r="Q1174" s="17">
        <f>SUM(L1174:M1174)</f>
        <v>48180</v>
      </c>
      <c r="R1174" s="16" t="e">
        <f>ROUND(SUM(K1174:M1174)*(R1173-1),2)</f>
        <v>#N/A</v>
      </c>
      <c r="S1174" s="17">
        <f>ROUND($B1174*S$1071*S1173,2)</f>
        <v>0</v>
      </c>
      <c r="T1174" s="17">
        <f>ROUND($B1174*T$1071,2)</f>
        <v>0</v>
      </c>
      <c r="U1174" s="17">
        <f>ROUND($B1174*U$1071,2)</f>
        <v>0</v>
      </c>
      <c r="V1174" s="8">
        <f>ROUND($B1174*V$1069,2)</f>
        <v>-0.01</v>
      </c>
      <c r="W1174" s="17">
        <f>ROUND($B1174*W$1071,2)</f>
        <v>0</v>
      </c>
      <c r="X1174" s="17">
        <f>ROUND($B1174*X$1071,2)</f>
        <v>-0.01</v>
      </c>
      <c r="Y1174" s="17">
        <f>ROUND($B1174*Y$1071,2)</f>
        <v>0</v>
      </c>
      <c r="Z1174" s="17">
        <f>ROUND($B1174*Z$1071,2)</f>
        <v>0</v>
      </c>
      <c r="AA1174" s="17">
        <f>ROUND($B1174*AA$1071,2)</f>
        <v>0</v>
      </c>
      <c r="AB1174" s="19">
        <f>SUM(U$1071:AA$1071)+(-V$1071+V1158)</f>
        <v>1.1855000000000001E-2</v>
      </c>
      <c r="AC1174" s="67" t="str">
        <f>+F1174</f>
        <v>HL34</v>
      </c>
    </row>
    <row r="1175" spans="1:29" x14ac:dyDescent="0.2">
      <c r="A1175" s="48"/>
      <c r="B1175" s="103">
        <v>-1</v>
      </c>
      <c r="D1175" s="8"/>
      <c r="E1175" s="9"/>
      <c r="F1175" s="36"/>
      <c r="G1175" s="12"/>
      <c r="H1175" s="12"/>
      <c r="J1175" s="12"/>
      <c r="K1175" s="12"/>
      <c r="L1175" s="12"/>
      <c r="M1175" s="12"/>
      <c r="N1175" s="12"/>
      <c r="O1175" s="12"/>
      <c r="P1175" s="12"/>
      <c r="Q1175" s="12"/>
      <c r="R1175" s="38" t="e">
        <f>VLOOKUP((D1176),'Pwr Factor'!$A$1:$B$52,2)</f>
        <v>#N/A</v>
      </c>
      <c r="S1175" s="50">
        <v>1</v>
      </c>
      <c r="T1175" s="12"/>
      <c r="U1175" s="12"/>
      <c r="V1175" s="12"/>
      <c r="W1175" s="12"/>
      <c r="X1175" s="12"/>
      <c r="Y1175" s="12"/>
      <c r="Z1175" s="12"/>
      <c r="AA1175" s="12"/>
    </row>
    <row r="1176" spans="1:29" x14ac:dyDescent="0.2">
      <c r="A1176" s="1" t="s">
        <v>148</v>
      </c>
      <c r="B1176" s="103">
        <f>IF(AND('AES Indiana Bill Calc.'!$D$17="HL3",'AES Indiana Bill Calc.'!$D$18="Yes 100%",'AES Indiana Bill Calc.'!$D$20="Yes 2025"),'AES Indiana Bill Calc.'!$D$19,-1)</f>
        <v>-1</v>
      </c>
      <c r="C1176" s="103">
        <f>MAX(E1176,$C$837)</f>
        <v>2000</v>
      </c>
      <c r="D1176" s="103" t="b">
        <f>IF(AND('AES Indiana Bill Calc.'!$D$17="HL3",'AES Indiana Bill Calc.'!$D$18="Yes 100%",'AES Indiana Bill Calc.'!$D$20="Yes 2025"),'AES Indiana Bill Calc.'!$D$22)</f>
        <v>0</v>
      </c>
      <c r="E1176" s="103" t="b">
        <f>IF(AND('AES Indiana Bill Calc.'!$D$17="HL3",'AES Indiana Bill Calc.'!$D$18="Yes 100%",'AES Indiana Bill Calc.'!$D$20="Yes 2025"),'AES Indiana Bill Calc.'!$D$21)</f>
        <v>0</v>
      </c>
      <c r="F1176" s="36" t="s">
        <v>334</v>
      </c>
      <c r="G1176" s="92" t="e">
        <f>SUM(J1176:M1176,R1176:AA1176)</f>
        <v>#N/A</v>
      </c>
      <c r="H1176" s="19" t="e">
        <f>IF(ISBLANK(B1176),0,+#REF!/B1176)</f>
        <v>#REF!</v>
      </c>
      <c r="J1176" s="51">
        <f>IF(ISBLANK(B1176),0,+J$1071)</f>
        <v>500</v>
      </c>
      <c r="K1176" s="17">
        <f>ROUND($B1176*K$1071,2)</f>
        <v>-0.04</v>
      </c>
      <c r="L1176" s="17">
        <f>IF(ISBLANK($C1176),0,IF($C1176&lt;$C$1072,ROUND($C$1072*$L$1071,2),IF($C1176&gt;L$1072,ROUND(L$1072*L$1071,2),ROUND($C1176*L$1071,2))))</f>
        <v>48180</v>
      </c>
      <c r="M1176" s="17">
        <f>IF($C1176&gt;L$1072,ROUND(($C1176-L$1072)*M$1071,2),0)</f>
        <v>0</v>
      </c>
      <c r="N1176" s="17">
        <f>K1176</f>
        <v>-0.04</v>
      </c>
      <c r="O1176" s="17"/>
      <c r="P1176" s="17"/>
      <c r="Q1176" s="17">
        <f>SUM(L1176:M1176)</f>
        <v>48180</v>
      </c>
      <c r="R1176" s="16" t="e">
        <f>ROUND(SUM(K1176:M1176)*(R1175-1),2)</f>
        <v>#N/A</v>
      </c>
      <c r="S1176" s="17">
        <f>ROUND($B1176*S$1071*S1175,2)</f>
        <v>0</v>
      </c>
      <c r="T1176" s="17">
        <f>ROUND($B1176*T$1071,2)</f>
        <v>0</v>
      </c>
      <c r="U1176" s="17">
        <f>ROUND($B1176*U$1071,2)</f>
        <v>0</v>
      </c>
      <c r="V1176" s="8">
        <f>ROUND($B1176*V$1070,2)</f>
        <v>-0.01</v>
      </c>
      <c r="W1176" s="17">
        <f>ROUND($B1176*W$1071,2)</f>
        <v>0</v>
      </c>
      <c r="X1176" s="17">
        <f>ROUND($B1176*X$1071,2)</f>
        <v>-0.01</v>
      </c>
      <c r="Y1176" s="17">
        <f>ROUND($B1176*Y$1071,2)</f>
        <v>0</v>
      </c>
      <c r="Z1176" s="17">
        <f>ROUND($B1176*Z$1071,2)</f>
        <v>0</v>
      </c>
      <c r="AA1176" s="17">
        <f>ROUND($B1176*AA$1071,2)</f>
        <v>0</v>
      </c>
      <c r="AB1176" s="19">
        <f>SUM(U$1071:AA$1071)+(-V$1071+V1160)</f>
        <v>1.1855000000000001E-2</v>
      </c>
      <c r="AC1176" s="67" t="str">
        <f>+F1176</f>
        <v>HL35</v>
      </c>
    </row>
    <row r="1177" spans="1:29" x14ac:dyDescent="0.2">
      <c r="A1177" s="48"/>
      <c r="B1177" s="103">
        <v>-1</v>
      </c>
      <c r="D1177" s="8"/>
      <c r="E1177" s="9"/>
      <c r="F1177" s="36"/>
      <c r="G1177" s="12"/>
      <c r="H1177" s="12"/>
      <c r="J1177" s="12"/>
      <c r="K1177" s="12"/>
      <c r="L1177" s="12"/>
      <c r="M1177" s="12"/>
      <c r="N1177" s="12"/>
      <c r="O1177" s="12"/>
      <c r="P1177" s="12"/>
      <c r="Q1177" s="12"/>
      <c r="R1177" s="38" t="e">
        <f>VLOOKUP((D1178),'Pwr Factor'!$A$1:$B$52,2)</f>
        <v>#N/A</v>
      </c>
      <c r="S1177" s="50">
        <v>0.5</v>
      </c>
      <c r="T1177" s="12"/>
      <c r="U1177" s="12"/>
      <c r="V1177" s="12"/>
      <c r="W1177" s="12"/>
      <c r="X1177" s="12"/>
      <c r="Y1177" s="12"/>
      <c r="Z1177" s="12"/>
      <c r="AA1177" s="12"/>
    </row>
    <row r="1178" spans="1:29" x14ac:dyDescent="0.2">
      <c r="A1178" s="1" t="s">
        <v>149</v>
      </c>
      <c r="B1178" s="103">
        <f>IF(AND('AES Indiana Bill Calc.'!$D$17="HL3",'AES Indiana Bill Calc.'!$D$18="Yes 50%",'AES Indiana Bill Calc.'!$D$20="Yes 2025"),'AES Indiana Bill Calc.'!$D$19,-1)</f>
        <v>-1</v>
      </c>
      <c r="C1178" s="103">
        <f>MAX(E1178,$C$837)</f>
        <v>2000</v>
      </c>
      <c r="D1178" s="103" t="b">
        <f>IF(AND('AES Indiana Bill Calc.'!$D$17="HL3",'AES Indiana Bill Calc.'!$D$18="Yes 50%",'AES Indiana Bill Calc.'!$D$20="Yes 2025"),'AES Indiana Bill Calc.'!$D$22)</f>
        <v>0</v>
      </c>
      <c r="E1178" s="103" t="b">
        <f>IF(AND('AES Indiana Bill Calc.'!$D$17="HL3",'AES Indiana Bill Calc.'!$D$18="Yes 50%",'AES Indiana Bill Calc.'!$D$20="Yes 2025"),'AES Indiana Bill Calc.'!$D$21)</f>
        <v>0</v>
      </c>
      <c r="F1178" s="36" t="s">
        <v>334</v>
      </c>
      <c r="G1178" s="92" t="e">
        <f>SUM(J1178:M1178,R1178:AA1178)</f>
        <v>#N/A</v>
      </c>
      <c r="H1178" s="19" t="e">
        <f>IF(ISBLANK(B1178),0,+#REF!/B1178)</f>
        <v>#REF!</v>
      </c>
      <c r="J1178" s="51">
        <f>IF(ISBLANK(B1178),0,+J$1071)</f>
        <v>500</v>
      </c>
      <c r="K1178" s="17">
        <f>ROUND($B1178*K$1071,2)</f>
        <v>-0.04</v>
      </c>
      <c r="L1178" s="17">
        <f>IF(ISBLANK($C1178),0,IF($C1178&lt;$C$1072,ROUND($C$1072*$L$1071,2),IF($C1178&gt;L$1072,ROUND(L$1072*L$1071,2),ROUND($C1178*L$1071,2))))</f>
        <v>48180</v>
      </c>
      <c r="M1178" s="17">
        <f>IF($C1178&gt;L$1072,ROUND(($C1178-L$1072)*M$1071,2),0)</f>
        <v>0</v>
      </c>
      <c r="N1178" s="17">
        <f>K1178</f>
        <v>-0.04</v>
      </c>
      <c r="O1178" s="17"/>
      <c r="P1178" s="17"/>
      <c r="Q1178" s="17">
        <f>SUM(L1178:M1178)</f>
        <v>48180</v>
      </c>
      <c r="R1178" s="16" t="e">
        <f>ROUND(SUM(K1178:M1178)*(R1177-1),2)</f>
        <v>#N/A</v>
      </c>
      <c r="S1178" s="17">
        <f>ROUND($B1178*S$1071*S1177,2)</f>
        <v>0</v>
      </c>
      <c r="T1178" s="17">
        <f>ROUND($B1178*T$1071,2)</f>
        <v>0</v>
      </c>
      <c r="U1178" s="17">
        <f>ROUND($B1178*U$1071,2)</f>
        <v>0</v>
      </c>
      <c r="V1178" s="8">
        <f>ROUND($B1178*V$1070,2)</f>
        <v>-0.01</v>
      </c>
      <c r="W1178" s="17">
        <f>ROUND($B1178*W$1071,2)</f>
        <v>0</v>
      </c>
      <c r="X1178" s="17">
        <f>ROUND($B1178*X$1071,2)</f>
        <v>-0.01</v>
      </c>
      <c r="Y1178" s="17">
        <f>ROUND($B1178*Y$1071,2)</f>
        <v>0</v>
      </c>
      <c r="Z1178" s="17">
        <f>ROUND($B1178*Z$1071,2)</f>
        <v>0</v>
      </c>
      <c r="AA1178" s="17">
        <f>ROUND($B1178*AA$1071,2)</f>
        <v>0</v>
      </c>
      <c r="AB1178" s="19">
        <f>SUM(U$1071:AA$1071)+(-V$1071+V1162)</f>
        <v>1.1855000000000001E-2</v>
      </c>
      <c r="AC1178" s="67" t="str">
        <f>+F1178</f>
        <v>HL35</v>
      </c>
    </row>
    <row r="1179" spans="1:29" x14ac:dyDescent="0.2">
      <c r="A1179" s="9"/>
      <c r="B1179" s="103">
        <v>-1</v>
      </c>
      <c r="D1179" s="8"/>
      <c r="E1179" s="9"/>
      <c r="F1179" s="36"/>
      <c r="G1179" s="12"/>
      <c r="H1179" s="12"/>
      <c r="J1179" s="12"/>
      <c r="K1179" s="12"/>
      <c r="L1179" s="12"/>
      <c r="M1179" s="12"/>
      <c r="N1179" s="12"/>
      <c r="O1179" s="12"/>
      <c r="P1179" s="12"/>
      <c r="Q1179" s="12"/>
      <c r="R1179" s="38" t="e">
        <f>VLOOKUP((D1180),'Pwr Factor'!$A$1:$B$52,2)</f>
        <v>#N/A</v>
      </c>
      <c r="S1179" s="50">
        <v>0.25</v>
      </c>
      <c r="T1179" s="12"/>
      <c r="U1179" s="12"/>
      <c r="V1179" s="12"/>
      <c r="W1179" s="12"/>
      <c r="X1179" s="12"/>
      <c r="Y1179" s="12"/>
      <c r="Z1179" s="12"/>
      <c r="AA1179" s="12"/>
    </row>
    <row r="1180" spans="1:29" x14ac:dyDescent="0.2">
      <c r="A1180" s="1" t="s">
        <v>150</v>
      </c>
      <c r="B1180" s="103">
        <f>IF(AND('AES Indiana Bill Calc.'!$D$17="HL3",'AES Indiana Bill Calc.'!$D$18="Yes 25%",'AES Indiana Bill Calc.'!$D$20="Yes 2025"),'AES Indiana Bill Calc.'!$D$19,-1)</f>
        <v>-1</v>
      </c>
      <c r="C1180" s="103">
        <f>MAX(E1180,$C$837)</f>
        <v>2000</v>
      </c>
      <c r="D1180" s="103" t="b">
        <f>IF(AND('AES Indiana Bill Calc.'!$D$17="HL3",'AES Indiana Bill Calc.'!$D$18="Yes 25%",'AES Indiana Bill Calc.'!$D$20="Yes 2025"),'AES Indiana Bill Calc.'!$D$22)</f>
        <v>0</v>
      </c>
      <c r="E1180" s="103" t="b">
        <f>IF(AND('AES Indiana Bill Calc.'!$D$17="HL3",'AES Indiana Bill Calc.'!$D$18="Yes 25%",'AES Indiana Bill Calc.'!$D$20="Yes 2025"),'AES Indiana Bill Calc.'!$D$21)</f>
        <v>0</v>
      </c>
      <c r="F1180" s="36" t="s">
        <v>334</v>
      </c>
      <c r="G1180" s="92" t="e">
        <f>SUM(J1180:M1180,R1180:AA1180)</f>
        <v>#N/A</v>
      </c>
      <c r="H1180" s="19" t="e">
        <f>IF(ISBLANK(B1180),0,+#REF!/B1180)</f>
        <v>#REF!</v>
      </c>
      <c r="J1180" s="51">
        <f>IF(ISBLANK(B1180),0,+J$1071)</f>
        <v>500</v>
      </c>
      <c r="K1180" s="17">
        <f>ROUND($B1180*K$1071,2)</f>
        <v>-0.04</v>
      </c>
      <c r="L1180" s="17">
        <f>IF(ISBLANK($C1180),0,IF($C1180&lt;$C$1072,ROUND($C$1072*$L$1071,2),IF($C1180&gt;L$1072,ROUND(L$1072*L$1071,2),ROUND($C1180*L$1071,2))))</f>
        <v>48180</v>
      </c>
      <c r="M1180" s="17">
        <f>IF($C1180&gt;L$1072,ROUND(($C1180-L$1072)*M$1071,2),0)</f>
        <v>0</v>
      </c>
      <c r="N1180" s="17">
        <f>K1180</f>
        <v>-0.04</v>
      </c>
      <c r="O1180" s="17"/>
      <c r="P1180" s="17"/>
      <c r="Q1180" s="17">
        <f>SUM(L1180:M1180)</f>
        <v>48180</v>
      </c>
      <c r="R1180" s="16" t="e">
        <f>ROUND(SUM(K1180:M1180)*(R1179-1),2)</f>
        <v>#N/A</v>
      </c>
      <c r="S1180" s="17">
        <f>ROUND($B1180*S$1071*S1179,2)</f>
        <v>0</v>
      </c>
      <c r="T1180" s="17">
        <f>ROUND($B1180*T$1071,2)</f>
        <v>0</v>
      </c>
      <c r="U1180" s="17">
        <f>ROUND($B1180*U$1071,2)</f>
        <v>0</v>
      </c>
      <c r="V1180" s="8">
        <f>ROUND($B1180*V$1070,2)</f>
        <v>-0.01</v>
      </c>
      <c r="W1180" s="17">
        <f>ROUND($B1180*W$1071,2)</f>
        <v>0</v>
      </c>
      <c r="X1180" s="17">
        <f>ROUND($B1180*X$1071,2)</f>
        <v>-0.01</v>
      </c>
      <c r="Y1180" s="17">
        <f>ROUND($B1180*Y$1071,2)</f>
        <v>0</v>
      </c>
      <c r="Z1180" s="17">
        <f>ROUND($B1180*Z$1071,2)</f>
        <v>0</v>
      </c>
      <c r="AA1180" s="17">
        <f>ROUND($B1180*AA$1071,2)</f>
        <v>0</v>
      </c>
      <c r="AB1180" s="19">
        <f>SUM(U$1071:AA$1071)+(-V$1071+V1164)</f>
        <v>1.1855000000000001E-2</v>
      </c>
      <c r="AC1180" s="67" t="str">
        <f>+F1180</f>
        <v>HL35</v>
      </c>
    </row>
    <row r="1181" spans="1:29" x14ac:dyDescent="0.2">
      <c r="A1181" s="9"/>
      <c r="B1181" s="103">
        <v>-1</v>
      </c>
      <c r="D1181" s="8"/>
      <c r="E1181" s="9"/>
      <c r="F1181" s="36"/>
      <c r="G1181" s="12"/>
      <c r="H1181" s="12"/>
      <c r="J1181" s="12"/>
      <c r="K1181" s="12"/>
      <c r="L1181" s="12"/>
      <c r="M1181" s="12"/>
      <c r="N1181" s="12"/>
      <c r="O1181" s="12"/>
      <c r="P1181" s="12"/>
      <c r="Q1181" s="12"/>
      <c r="R1181" s="38" t="e">
        <f>VLOOKUP((D1182),'Pwr Factor'!$A$1:$B$52,2)</f>
        <v>#N/A</v>
      </c>
      <c r="S1181" s="50">
        <v>0.1</v>
      </c>
      <c r="T1181" s="12"/>
      <c r="U1181" s="12"/>
      <c r="V1181" s="12"/>
      <c r="W1181" s="12"/>
      <c r="X1181" s="12"/>
      <c r="Y1181" s="12"/>
      <c r="Z1181" s="12"/>
      <c r="AA1181" s="12"/>
    </row>
    <row r="1182" spans="1:29" x14ac:dyDescent="0.2">
      <c r="A1182" s="1" t="s">
        <v>164</v>
      </c>
      <c r="B1182" s="103">
        <f>IF(AND('AES Indiana Bill Calc.'!$D$17="HL3",'AES Indiana Bill Calc.'!$D$18="Yes 10%",'AES Indiana Bill Calc.'!$D$20="Yes 2025"),'AES Indiana Bill Calc.'!$D$19,-1)</f>
        <v>-1</v>
      </c>
      <c r="C1182" s="103">
        <f>MAX(E1182,$C$837)</f>
        <v>2000</v>
      </c>
      <c r="D1182" s="103" t="b">
        <f>IF(AND('AES Indiana Bill Calc.'!$D$17="HL3",'AES Indiana Bill Calc.'!$D$18="Yes 10%",'AES Indiana Bill Calc.'!$D$20="Yes 2025"),'AES Indiana Bill Calc.'!$D$22)</f>
        <v>0</v>
      </c>
      <c r="E1182" s="103" t="b">
        <f>IF(AND('AES Indiana Bill Calc.'!$D$17="HL3",'AES Indiana Bill Calc.'!$D$18="Yes 10%",'AES Indiana Bill Calc.'!$D$20="Yes 2025"),'AES Indiana Bill Calc.'!$D$21)</f>
        <v>0</v>
      </c>
      <c r="F1182" s="36" t="s">
        <v>334</v>
      </c>
      <c r="G1182" s="92" t="e">
        <f>SUM(J1182:M1182,R1182:AA1182)</f>
        <v>#N/A</v>
      </c>
      <c r="H1182" s="19" t="e">
        <f>IF(ISBLANK(B1182),0,+#REF!/B1182)</f>
        <v>#REF!</v>
      </c>
      <c r="J1182" s="51">
        <f>IF(ISBLANK(B1182),0,+J$1071)</f>
        <v>500</v>
      </c>
      <c r="K1182" s="17">
        <f>ROUND($B1182*K$1071,2)</f>
        <v>-0.04</v>
      </c>
      <c r="L1182" s="17">
        <f>IF(ISBLANK($C1182),0,IF($C1182&lt;$C$1072,ROUND($C$1072*$L$1071,2),IF($C1182&gt;L$1072,ROUND(L$1072*L$1071,2),ROUND($C1182*L$1071,2))))</f>
        <v>48180</v>
      </c>
      <c r="M1182" s="17">
        <f>IF($C1182&gt;L$1072,ROUND(($C1182-L$1072)*M$1071,2),0)</f>
        <v>0</v>
      </c>
      <c r="N1182" s="17">
        <f>K1182</f>
        <v>-0.04</v>
      </c>
      <c r="O1182" s="17"/>
      <c r="P1182" s="17"/>
      <c r="Q1182" s="17">
        <f>SUM(L1182:M1182)</f>
        <v>48180</v>
      </c>
      <c r="R1182" s="16" t="e">
        <f>ROUND(SUM(K1182:M1182)*(R1181-1),2)</f>
        <v>#N/A</v>
      </c>
      <c r="S1182" s="17">
        <f>ROUND($B1182*S$1071*S1181,2)</f>
        <v>0</v>
      </c>
      <c r="T1182" s="17">
        <f>ROUND($B1182*T$1071,2)</f>
        <v>0</v>
      </c>
      <c r="U1182" s="17">
        <f>ROUND($B1182*U$1071,2)</f>
        <v>0</v>
      </c>
      <c r="V1182" s="8">
        <f>ROUND($B1182*V$1070,2)</f>
        <v>-0.01</v>
      </c>
      <c r="W1182" s="17">
        <f>ROUND($B1182*W$1071,2)</f>
        <v>0</v>
      </c>
      <c r="X1182" s="17">
        <f>ROUND($B1182*X$1071,2)</f>
        <v>-0.01</v>
      </c>
      <c r="Y1182" s="17">
        <f>ROUND($B1182*Y$1071,2)</f>
        <v>0</v>
      </c>
      <c r="Z1182" s="17">
        <f>ROUND($B1182*Z$1071,2)</f>
        <v>0</v>
      </c>
      <c r="AA1182" s="17">
        <f>ROUND($B1182*AA$1071,2)</f>
        <v>0</v>
      </c>
      <c r="AB1182" s="19">
        <f>SUM(U$1071:AA$1071)+(-V$1071+V1166)</f>
        <v>1.8550000000000025E-3</v>
      </c>
      <c r="AC1182" s="67" t="str">
        <f>+F1182</f>
        <v>HL35</v>
      </c>
    </row>
    <row r="1183" spans="1:29" x14ac:dyDescent="0.2">
      <c r="A1183" s="9"/>
      <c r="B1183" s="103">
        <v>-1</v>
      </c>
      <c r="D1183" s="8"/>
      <c r="E1183" s="9"/>
      <c r="F1183" s="36"/>
      <c r="G1183" s="12"/>
      <c r="H1183" s="12"/>
      <c r="J1183" s="12"/>
      <c r="K1183" s="12"/>
      <c r="L1183" s="12"/>
      <c r="M1183" s="12"/>
      <c r="N1183" s="12"/>
      <c r="O1183" s="12"/>
      <c r="P1183" s="12"/>
      <c r="Q1183" s="12"/>
      <c r="R1183" s="38" t="e">
        <f>VLOOKUP((D1184),'Pwr Factor'!$A$1:$B$52,2)</f>
        <v>#N/A</v>
      </c>
      <c r="S1183" s="50">
        <v>0</v>
      </c>
      <c r="T1183" s="12"/>
      <c r="U1183" s="12"/>
      <c r="V1183" s="12"/>
      <c r="W1183" s="12"/>
      <c r="X1183" s="12"/>
      <c r="Y1183" s="12"/>
      <c r="Z1183" s="12"/>
      <c r="AA1183" s="12"/>
    </row>
    <row r="1184" spans="1:29" x14ac:dyDescent="0.2">
      <c r="A1184" s="1" t="s">
        <v>147</v>
      </c>
      <c r="B1184" s="103">
        <f>IF(AND('AES Indiana Bill Calc.'!$D$17="HL3",'AES Indiana Bill Calc.'!$D$18="No",'AES Indiana Bill Calc.'!$D$20="Yes 2025"),'AES Indiana Bill Calc.'!$D$19,-1)</f>
        <v>-1</v>
      </c>
      <c r="C1184" s="103">
        <f>MAX(E1184,$C$837)</f>
        <v>2000</v>
      </c>
      <c r="D1184" s="103" t="b">
        <f>IF(AND('AES Indiana Bill Calc.'!$D$17="HL3",'AES Indiana Bill Calc.'!$D$18="No",'AES Indiana Bill Calc.'!$D$20="Yes 2025"),'AES Indiana Bill Calc.'!$D$22)</f>
        <v>0</v>
      </c>
      <c r="E1184" s="103" t="b">
        <f>IF(AND('AES Indiana Bill Calc.'!$D$17="HL3",'AES Indiana Bill Calc.'!$D$18="No",'AES Indiana Bill Calc.'!$D$20="Yes 2025"),'AES Indiana Bill Calc.'!$D$21)</f>
        <v>0</v>
      </c>
      <c r="F1184" s="36" t="s">
        <v>334</v>
      </c>
      <c r="G1184" s="92" t="e">
        <f>SUM(J1184:M1184,R1184:AA1184)</f>
        <v>#N/A</v>
      </c>
      <c r="H1184" s="19" t="e">
        <f>IF(ISBLANK(B1184),0,+#REF!/B1184)</f>
        <v>#REF!</v>
      </c>
      <c r="J1184" s="51">
        <f>IF(ISBLANK(B1184),0,+J$1071)</f>
        <v>500</v>
      </c>
      <c r="K1184" s="17">
        <f>ROUND($B1184*K$1071,2)</f>
        <v>-0.04</v>
      </c>
      <c r="L1184" s="17">
        <f>IF(ISBLANK($C1184),0,IF($C1184&lt;$C$1072,ROUND($C$1072*$L$1071,2),IF($C1184&gt;L$1072,ROUND(L$1072*L$1071,2),ROUND($C1184*L$1071,2))))</f>
        <v>48180</v>
      </c>
      <c r="M1184" s="17">
        <f>IF($C1184&gt;L$1072,ROUND(($C1184-L$1072)*M$1071,2),0)</f>
        <v>0</v>
      </c>
      <c r="N1184" s="17">
        <f>K1184</f>
        <v>-0.04</v>
      </c>
      <c r="O1184" s="17"/>
      <c r="P1184" s="17"/>
      <c r="Q1184" s="17">
        <f>SUM(L1184:M1184)</f>
        <v>48180</v>
      </c>
      <c r="R1184" s="16" t="e">
        <f>ROUND(SUM(K1184:M1184)*(R1183-1),2)</f>
        <v>#N/A</v>
      </c>
      <c r="S1184" s="17">
        <f>ROUND($B1184*S$1071*S1183,2)</f>
        <v>0</v>
      </c>
      <c r="T1184" s="17">
        <f>ROUND($B1184*T$1071,2)</f>
        <v>0</v>
      </c>
      <c r="U1184" s="17">
        <f>ROUND($B1184*U$1071,2)</f>
        <v>0</v>
      </c>
      <c r="V1184" s="8">
        <f>ROUND($B1184*V$1070,2)</f>
        <v>-0.01</v>
      </c>
      <c r="W1184" s="17">
        <f>ROUND($B1184*W$1071,2)</f>
        <v>0</v>
      </c>
      <c r="X1184" s="17">
        <f>ROUND($B1184*X$1071,2)</f>
        <v>-0.01</v>
      </c>
      <c r="Y1184" s="17">
        <f>ROUND($B1184*Y$1071,2)</f>
        <v>0</v>
      </c>
      <c r="Z1184" s="17">
        <f>ROUND($B1184*Z$1071,2)</f>
        <v>0</v>
      </c>
      <c r="AA1184" s="17">
        <f>ROUND($B1184*AA$1071,2)</f>
        <v>0</v>
      </c>
      <c r="AB1184" s="19">
        <f>SUM(U$1071:AA$1071)+(-V$1071+V1168)</f>
        <v>1.8550000000000025E-3</v>
      </c>
      <c r="AC1184" s="67" t="str">
        <f>+F1184</f>
        <v>HL35</v>
      </c>
    </row>
    <row r="1185" spans="1:29" s="165" customFormat="1" x14ac:dyDescent="0.2">
      <c r="A1185" s="1"/>
      <c r="B1185" s="103">
        <v>-1</v>
      </c>
      <c r="C1185" s="103"/>
      <c r="D1185" s="103"/>
      <c r="E1185" s="103"/>
      <c r="F1185" s="171"/>
      <c r="G1185" s="92"/>
      <c r="H1185" s="168"/>
      <c r="J1185" s="51"/>
      <c r="K1185" s="17"/>
      <c r="L1185" s="17"/>
      <c r="M1185" s="17"/>
      <c r="N1185" s="17"/>
      <c r="O1185" s="17"/>
      <c r="P1185" s="17"/>
      <c r="Q1185" s="17"/>
      <c r="R1185" s="16"/>
      <c r="S1185" s="17"/>
      <c r="T1185" s="17"/>
      <c r="U1185" s="17"/>
      <c r="V1185" s="8"/>
      <c r="W1185" s="17"/>
      <c r="X1185" s="17"/>
      <c r="Y1185" s="17"/>
      <c r="Z1185" s="17"/>
      <c r="AA1185" s="17"/>
      <c r="AB1185" s="168"/>
      <c r="AC1185" s="67"/>
    </row>
    <row r="1186" spans="1:29" x14ac:dyDescent="0.2">
      <c r="B1186" s="103">
        <v>-1</v>
      </c>
      <c r="C1186" s="9"/>
      <c r="D1186" s="8"/>
      <c r="S1186" s="6"/>
      <c r="T1186" s="6"/>
      <c r="U1186" s="6"/>
      <c r="V1186" s="27" t="s">
        <v>254</v>
      </c>
      <c r="W1186" s="6"/>
      <c r="AB1186" s="19"/>
    </row>
    <row r="1187" spans="1:29" x14ac:dyDescent="0.2">
      <c r="B1187" s="103">
        <v>-1</v>
      </c>
      <c r="C1187" s="9"/>
      <c r="D1187" s="8"/>
      <c r="F1187" s="70"/>
      <c r="G1187" s="70"/>
      <c r="H1187" s="70"/>
      <c r="I1187" s="70"/>
      <c r="J1187" s="159">
        <v>508.21</v>
      </c>
      <c r="K1187" s="160">
        <v>6.021E-2</v>
      </c>
      <c r="L1187" s="159">
        <v>15.06</v>
      </c>
      <c r="M1187" s="159">
        <v>15.06</v>
      </c>
      <c r="N1187" s="72"/>
      <c r="O1187" s="72"/>
      <c r="P1187" s="72"/>
      <c r="Q1187" s="72"/>
      <c r="R1187" s="5"/>
      <c r="S1187" s="27">
        <f>S1071</f>
        <v>1.8E-3</v>
      </c>
      <c r="T1187" s="27">
        <f>T1071</f>
        <v>3.9020000000000001E-3</v>
      </c>
      <c r="U1187" s="19">
        <f>$S$32</f>
        <v>1.305E-3</v>
      </c>
      <c r="V1187" s="27">
        <f>$T$16</f>
        <v>1.18E-4</v>
      </c>
      <c r="W1187" s="27">
        <v>0</v>
      </c>
      <c r="X1187" s="27">
        <f>+X1071</f>
        <v>7.084E-3</v>
      </c>
      <c r="Y1187" s="27">
        <f>+Y1071</f>
        <v>-2.5599999999999999E-4</v>
      </c>
      <c r="Z1187" s="27">
        <f>+Z1071</f>
        <v>3.1589999999999999E-3</v>
      </c>
      <c r="AA1187" s="27">
        <f>+AA1071</f>
        <v>5.6300000000000002E-4</v>
      </c>
      <c r="AB1187" s="19">
        <f>SUM(V1187:Z1187)</f>
        <v>1.0104999999999999E-2</v>
      </c>
    </row>
    <row r="1188" spans="1:29" x14ac:dyDescent="0.2">
      <c r="A1188" s="1"/>
      <c r="B1188" s="103">
        <v>-1</v>
      </c>
      <c r="C1188" s="9"/>
      <c r="D1188" s="8"/>
      <c r="F1188" s="70"/>
      <c r="G1188" s="70"/>
      <c r="H1188" s="70"/>
      <c r="I1188" s="70"/>
      <c r="J1188" s="70"/>
      <c r="K1188" s="70"/>
      <c r="L1188" s="73">
        <v>4000</v>
      </c>
      <c r="M1188" s="70"/>
      <c r="N1188" s="70"/>
      <c r="O1188" s="70"/>
      <c r="P1188" s="70"/>
      <c r="Q1188" s="70"/>
    </row>
    <row r="1189" spans="1:29" x14ac:dyDescent="0.2">
      <c r="B1189" s="103">
        <v>-1</v>
      </c>
      <c r="C1189" s="9"/>
      <c r="D1189" s="8"/>
      <c r="F1189" s="12"/>
      <c r="J1189" s="12" t="s">
        <v>137</v>
      </c>
      <c r="K1189" s="12" t="s">
        <v>197</v>
      </c>
      <c r="L1189" s="258" t="s">
        <v>30</v>
      </c>
      <c r="M1189" s="258"/>
      <c r="N1189" s="12"/>
      <c r="O1189" s="12"/>
      <c r="P1189" s="12"/>
      <c r="Q1189" s="142" t="s">
        <v>173</v>
      </c>
      <c r="R1189" s="12" t="s">
        <v>196</v>
      </c>
      <c r="S1189" s="12">
        <v>21</v>
      </c>
      <c r="T1189" s="12">
        <v>6</v>
      </c>
      <c r="U1189" s="12">
        <v>3</v>
      </c>
      <c r="V1189" s="12">
        <v>22</v>
      </c>
      <c r="W1189" s="12">
        <v>13</v>
      </c>
      <c r="X1189" s="12">
        <v>20</v>
      </c>
      <c r="Y1189" s="12">
        <v>24</v>
      </c>
      <c r="Z1189" s="12">
        <v>25</v>
      </c>
      <c r="AA1189" s="12">
        <v>26</v>
      </c>
    </row>
    <row r="1190" spans="1:29" x14ac:dyDescent="0.2">
      <c r="A1190" s="13"/>
      <c r="B1190" s="103">
        <v>-1</v>
      </c>
      <c r="C1190" s="99" t="s">
        <v>209</v>
      </c>
      <c r="D1190" s="100" t="s">
        <v>210</v>
      </c>
      <c r="E1190" s="130" t="s">
        <v>199</v>
      </c>
      <c r="F1190" s="13" t="s">
        <v>141</v>
      </c>
      <c r="G1190" s="13" t="s">
        <v>142</v>
      </c>
      <c r="H1190" s="13" t="s">
        <v>143</v>
      </c>
      <c r="J1190" s="13" t="s">
        <v>144</v>
      </c>
      <c r="K1190" s="13" t="s">
        <v>144</v>
      </c>
      <c r="L1190" s="13" t="s">
        <v>232</v>
      </c>
      <c r="M1190" s="13" t="s">
        <v>233</v>
      </c>
      <c r="N1190" s="142" t="s">
        <v>138</v>
      </c>
      <c r="O1190" s="13"/>
      <c r="P1190" s="13"/>
      <c r="Q1190" s="13"/>
      <c r="R1190" s="13" t="s">
        <v>201</v>
      </c>
      <c r="S1190" s="13" t="s">
        <v>106</v>
      </c>
      <c r="T1190" s="13" t="s">
        <v>36</v>
      </c>
      <c r="U1190" s="138" t="s">
        <v>38</v>
      </c>
      <c r="V1190" s="13" t="s">
        <v>107</v>
      </c>
      <c r="W1190" s="13" t="s">
        <v>108</v>
      </c>
      <c r="X1190" s="13" t="s">
        <v>109</v>
      </c>
      <c r="Y1190" s="138" t="s">
        <v>44</v>
      </c>
      <c r="Z1190" s="138" t="s">
        <v>46</v>
      </c>
      <c r="AA1190" s="138" t="s">
        <v>48</v>
      </c>
      <c r="AB1190" s="66" t="s">
        <v>110</v>
      </c>
    </row>
    <row r="1191" spans="1:29" x14ac:dyDescent="0.2">
      <c r="B1191" s="103">
        <v>-1</v>
      </c>
      <c r="C1191" s="9"/>
      <c r="D1191" s="8"/>
      <c r="F1191" s="36"/>
      <c r="G1191" s="17"/>
      <c r="H1191" s="19"/>
      <c r="J1191" s="8"/>
      <c r="K1191" s="17"/>
      <c r="L1191" s="17"/>
      <c r="M1191" s="17"/>
      <c r="N1191" s="17"/>
      <c r="O1191" s="17"/>
      <c r="P1191" s="17"/>
      <c r="Q1191" s="17"/>
      <c r="R1191" s="38" t="e">
        <f>VLOOKUP((D1192),'Pwr Factor'!$A$1:$B$52,2)</f>
        <v>#N/A</v>
      </c>
      <c r="S1191" s="50">
        <v>1</v>
      </c>
      <c r="T1191" s="17"/>
      <c r="U1191" s="17"/>
      <c r="V1191" s="17"/>
      <c r="W1191" s="17"/>
      <c r="X1191" s="17"/>
      <c r="Y1191" s="17"/>
      <c r="Z1191" s="17"/>
      <c r="AA1191" s="17"/>
    </row>
    <row r="1192" spans="1:29" x14ac:dyDescent="0.2">
      <c r="A1192" s="1" t="s">
        <v>148</v>
      </c>
      <c r="B1192" s="103">
        <f>IF(AND('AES Indiana Bill Calc.'!$D$17="HL4",'AES Indiana Bill Calc.'!$D$18="Yes 100%",'AES Indiana Bill Calc.'!$D$20="No"),'AES Indiana Bill Calc.'!$D$19,-1)</f>
        <v>-1</v>
      </c>
      <c r="C1192" s="103">
        <f>MAX(E1192,$C$837)</f>
        <v>2000</v>
      </c>
      <c r="D1192" s="103" t="b">
        <f>IF(AND('AES Indiana Bill Calc.'!$D$17="HL4",'AES Indiana Bill Calc.'!$D$18="Yes 100%",'AES Indiana Bill Calc.'!$D$20="No"),'AES Indiana Bill Calc.'!$D$22)</f>
        <v>0</v>
      </c>
      <c r="E1192" s="103" t="b">
        <f>IF(AND('AES Indiana Bill Calc.'!$D$17="HL4",'AES Indiana Bill Calc.'!$D$18="Yes 100%",'AES Indiana Bill Calc.'!$D$20="No"),'AES Indiana Bill Calc.'!$D$21)</f>
        <v>0</v>
      </c>
      <c r="F1192" s="36" t="s">
        <v>71</v>
      </c>
      <c r="G1192" s="92" t="e">
        <f>SUM(J1192:M1192,R1192:AA1192)</f>
        <v>#N/A</v>
      </c>
      <c r="H1192" s="19" t="e">
        <f>IF(ISBLANK(B1192),0,+#REF!/B1192)</f>
        <v>#REF!</v>
      </c>
      <c r="J1192" s="51">
        <f>IF(ISBLANK(B1192),0,+J$1071)</f>
        <v>500</v>
      </c>
      <c r="K1192" s="17">
        <f>ROUND($B1192*K$1187,2)</f>
        <v>-0.06</v>
      </c>
      <c r="L1192" s="17">
        <f>IF(ISBLANK($C1192),0,IF($C1192&lt;$C$1072,ROUND($C$1072*$L$1187,2),IF($C1192&gt;L$1188,ROUND(L$1188*L$1187,2),ROUND($C1192*L$1187,2))))</f>
        <v>30120</v>
      </c>
      <c r="M1192" s="17">
        <f>IF($C1192&gt;L$957,ROUND(($C1192-L$957)*M$956,2),0)</f>
        <v>0</v>
      </c>
      <c r="N1192" s="17">
        <f>K1192</f>
        <v>-0.06</v>
      </c>
      <c r="O1192" s="17"/>
      <c r="P1192" s="17"/>
      <c r="Q1192" s="17">
        <f>SUM(L1192:M1192)</f>
        <v>30120</v>
      </c>
      <c r="R1192" s="16" t="e">
        <f>ROUND(SUM(K1192:M1192)*(R1191-1),2)</f>
        <v>#N/A</v>
      </c>
      <c r="S1192" s="17">
        <f>ROUND($B1192*S$1071*S1191,2)</f>
        <v>0</v>
      </c>
      <c r="T1192" s="17">
        <f>ROUND($B1192*T$1187,2)</f>
        <v>0</v>
      </c>
      <c r="U1192" s="17">
        <f>ROUND($B1192*U$1187,2)</f>
        <v>0</v>
      </c>
      <c r="V1192" s="17">
        <f>ROUND($B1192*V$1071,2)</f>
        <v>-0.01</v>
      </c>
      <c r="W1192" s="17">
        <f>ROUND($B1192*W$1187,2)</f>
        <v>0</v>
      </c>
      <c r="X1192" s="17">
        <f>ROUND($B1192*X$1187,2)</f>
        <v>-0.01</v>
      </c>
      <c r="Y1192" s="17">
        <f>ROUND($B1192*Y$1187,2)</f>
        <v>0</v>
      </c>
      <c r="Z1192" s="17">
        <f>ROUND($B1192*Z$1187,2)</f>
        <v>0</v>
      </c>
      <c r="AA1192" s="17">
        <f>ROUND($B1192*AA$1187,2)</f>
        <v>0</v>
      </c>
      <c r="AB1192" s="19">
        <f>SUM(V1124:AA1124)</f>
        <v>-0.01</v>
      </c>
      <c r="AC1192" s="67" t="str">
        <f>+F1192</f>
        <v>HL4</v>
      </c>
    </row>
    <row r="1193" spans="1:29" x14ac:dyDescent="0.2">
      <c r="A1193" s="48"/>
      <c r="B1193" s="103">
        <v>-1</v>
      </c>
      <c r="D1193" s="8"/>
      <c r="E1193" s="9"/>
      <c r="F1193" s="36"/>
      <c r="G1193" s="17"/>
      <c r="H1193" s="19"/>
      <c r="J1193" s="8"/>
      <c r="K1193" s="17"/>
      <c r="L1193" s="17"/>
      <c r="M1193" s="17"/>
      <c r="N1193" s="17"/>
      <c r="O1193" s="17"/>
      <c r="P1193" s="17"/>
      <c r="Q1193" s="17"/>
      <c r="R1193" s="38" t="e">
        <f>VLOOKUP((D1194),'Pwr Factor'!$A$1:$B$52,2)</f>
        <v>#N/A</v>
      </c>
      <c r="S1193" s="50">
        <v>0.5</v>
      </c>
      <c r="T1193" s="17"/>
      <c r="U1193" s="17"/>
      <c r="V1193" s="17"/>
      <c r="W1193" s="17"/>
      <c r="X1193" s="17"/>
      <c r="Y1193" s="17"/>
      <c r="Z1193" s="17"/>
      <c r="AA1193" s="17"/>
    </row>
    <row r="1194" spans="1:29" x14ac:dyDescent="0.2">
      <c r="A1194" s="1" t="s">
        <v>149</v>
      </c>
      <c r="B1194" s="103">
        <f>IF(AND('AES Indiana Bill Calc.'!$D$17="HL4",'AES Indiana Bill Calc.'!$D$18="Yes 50%",'AES Indiana Bill Calc.'!$D$20="No"),'AES Indiana Bill Calc.'!$D$19,-1)</f>
        <v>-1</v>
      </c>
      <c r="C1194" s="103">
        <f>MAX(E1194,$C$837)</f>
        <v>2000</v>
      </c>
      <c r="D1194" s="103" t="b">
        <f>IF(AND('AES Indiana Bill Calc.'!$D$17="HL4",'AES Indiana Bill Calc.'!$D$18="Yes 50%",'AES Indiana Bill Calc.'!$D$20="No"),'AES Indiana Bill Calc.'!$D$22)</f>
        <v>0</v>
      </c>
      <c r="E1194" s="103" t="b">
        <f>IF(AND('AES Indiana Bill Calc.'!$D$17="HL4",'AES Indiana Bill Calc.'!$D$18="Yes 50%",'AES Indiana Bill Calc.'!$D$20="No"),'AES Indiana Bill Calc.'!$D$21)</f>
        <v>0</v>
      </c>
      <c r="F1194" s="36" t="s">
        <v>71</v>
      </c>
      <c r="G1194" s="92" t="e">
        <f>SUM(J1194:M1194,R1194:AA1194)</f>
        <v>#N/A</v>
      </c>
      <c r="H1194" s="19" t="e">
        <f>IF(ISBLANK(B1194),0,+#REF!/B1194)</f>
        <v>#REF!</v>
      </c>
      <c r="J1194" s="51">
        <f>IF(ISBLANK(B1194),0,+J$1071)</f>
        <v>500</v>
      </c>
      <c r="K1194" s="17">
        <f>ROUND($B1194*K$1187,2)</f>
        <v>-0.06</v>
      </c>
      <c r="L1194" s="17">
        <f>IF(ISBLANK($C1194),0,IF($C1194&lt;$C$1072,ROUND($C$1072*$L$1187,2),IF($C1194&gt;L$1188,ROUND(L$1188*L$1187,2),ROUND($C1194*L$1187,2))))</f>
        <v>30120</v>
      </c>
      <c r="M1194" s="17">
        <f>IF($C1194&gt;L$957,ROUND(($C1194-L$957)*M$956,2),0)</f>
        <v>0</v>
      </c>
      <c r="N1194" s="17">
        <f>K1194</f>
        <v>-0.06</v>
      </c>
      <c r="O1194" s="17"/>
      <c r="P1194" s="17"/>
      <c r="Q1194" s="17">
        <f>SUM(L1194:M1194)</f>
        <v>30120</v>
      </c>
      <c r="R1194" s="16" t="e">
        <f>ROUND(SUM(K1194:M1194)*(R1193-1),2)</f>
        <v>#N/A</v>
      </c>
      <c r="S1194" s="17">
        <f>ROUND($B1194*S$1071*S1193,2)</f>
        <v>0</v>
      </c>
      <c r="T1194" s="17">
        <f>ROUND($B1194*T$1187,2)</f>
        <v>0</v>
      </c>
      <c r="U1194" s="17">
        <f>ROUND($B1194*U$1187,2)</f>
        <v>0</v>
      </c>
      <c r="V1194" s="17">
        <f>ROUND($B1194*V$1071,2)</f>
        <v>-0.01</v>
      </c>
      <c r="W1194" s="17">
        <f>ROUND($B1194*W$1187,2)</f>
        <v>0</v>
      </c>
      <c r="X1194" s="17">
        <f>ROUND($B1194*X$1187,2)</f>
        <v>-0.01</v>
      </c>
      <c r="Y1194" s="17">
        <f>ROUND($B1194*Y$1187,2)</f>
        <v>0</v>
      </c>
      <c r="Z1194" s="17">
        <f>ROUND($B1194*Z$1187,2)</f>
        <v>0</v>
      </c>
      <c r="AA1194" s="17">
        <f>ROUND($B1194*AA$1187,2)</f>
        <v>0</v>
      </c>
      <c r="AB1194" s="19">
        <f>SUM(V1126:AA1126)</f>
        <v>-0.01</v>
      </c>
      <c r="AC1194" s="67" t="str">
        <f>+F1194</f>
        <v>HL4</v>
      </c>
    </row>
    <row r="1195" spans="1:29" x14ac:dyDescent="0.2">
      <c r="A1195" s="9"/>
      <c r="B1195" s="103">
        <v>-1</v>
      </c>
      <c r="D1195" s="8"/>
      <c r="E1195" s="9"/>
      <c r="F1195" s="36"/>
      <c r="G1195" s="17"/>
      <c r="H1195" s="19"/>
      <c r="J1195" s="8"/>
      <c r="K1195" s="17"/>
      <c r="L1195" s="17"/>
      <c r="M1195" s="17"/>
      <c r="N1195" s="17"/>
      <c r="O1195" s="17"/>
      <c r="P1195" s="17"/>
      <c r="Q1195" s="17"/>
      <c r="R1195" s="38" t="e">
        <f>VLOOKUP((D1196),'Pwr Factor'!$A$1:$B$52,2)</f>
        <v>#N/A</v>
      </c>
      <c r="S1195" s="50">
        <v>0.25</v>
      </c>
      <c r="T1195" s="17"/>
      <c r="U1195" s="17"/>
      <c r="V1195" s="17"/>
      <c r="W1195" s="17"/>
      <c r="X1195" s="17"/>
      <c r="Y1195" s="17"/>
      <c r="Z1195" s="17"/>
      <c r="AA1195" s="17"/>
    </row>
    <row r="1196" spans="1:29" x14ac:dyDescent="0.2">
      <c r="A1196" s="1" t="s">
        <v>150</v>
      </c>
      <c r="B1196" s="103">
        <f>IF(AND('AES Indiana Bill Calc.'!$D$17="HL4",'AES Indiana Bill Calc.'!$D$18="Yes 25%",'AES Indiana Bill Calc.'!$D$20="No"),'AES Indiana Bill Calc.'!$D$19,-1)</f>
        <v>-1</v>
      </c>
      <c r="C1196" s="103">
        <f>MAX(E1196,$C$837)</f>
        <v>2000</v>
      </c>
      <c r="D1196" s="103" t="b">
        <f>IF(AND('AES Indiana Bill Calc.'!$D$17="HL4",'AES Indiana Bill Calc.'!$D$18="Yes 25%",'AES Indiana Bill Calc.'!$D$20="No"),'AES Indiana Bill Calc.'!$D$22)</f>
        <v>0</v>
      </c>
      <c r="E1196" s="103" t="b">
        <f>IF(AND('AES Indiana Bill Calc.'!$D$17="HL4",'AES Indiana Bill Calc.'!$D$18="Yes 25%",'AES Indiana Bill Calc.'!$D$20="No"),'AES Indiana Bill Calc.'!$D$21)</f>
        <v>0</v>
      </c>
      <c r="F1196" s="36" t="s">
        <v>71</v>
      </c>
      <c r="G1196" s="92" t="e">
        <f>SUM(J1196:M1196,R1196:AA1196)</f>
        <v>#N/A</v>
      </c>
      <c r="H1196" s="19" t="e">
        <f>IF(ISBLANK(B1196),0,+#REF!/B1196)</f>
        <v>#REF!</v>
      </c>
      <c r="J1196" s="51">
        <f>IF(ISBLANK(B1196),0,+J$1071)</f>
        <v>500</v>
      </c>
      <c r="K1196" s="17">
        <f>ROUND($B1196*K$1187,2)</f>
        <v>-0.06</v>
      </c>
      <c r="L1196" s="17">
        <f>IF(ISBLANK($C1196),0,IF($C1196&lt;$C$1072,ROUND($C$1072*$L$1187,2),IF($C1196&gt;L$1188,ROUND(L$1188*L$1187,2),ROUND($C1196*L$1187,2))))</f>
        <v>30120</v>
      </c>
      <c r="M1196" s="17">
        <f>IF($C1196&gt;L$957,ROUND(($C1196-L$957)*M$956,2),0)</f>
        <v>0</v>
      </c>
      <c r="N1196" s="17">
        <f>K1196</f>
        <v>-0.06</v>
      </c>
      <c r="O1196" s="17"/>
      <c r="P1196" s="17"/>
      <c r="Q1196" s="17">
        <f>SUM(L1196:M1196)</f>
        <v>30120</v>
      </c>
      <c r="R1196" s="16" t="e">
        <f>ROUND(SUM(K1196:M1196)*(R1195-1),2)</f>
        <v>#N/A</v>
      </c>
      <c r="S1196" s="17">
        <f>ROUND($B1196*S$1071*S1195,2)</f>
        <v>0</v>
      </c>
      <c r="T1196" s="17">
        <f>ROUND($B1196*T$1187,2)</f>
        <v>0</v>
      </c>
      <c r="U1196" s="17">
        <f>ROUND($B1196*U$1187,2)</f>
        <v>0</v>
      </c>
      <c r="V1196" s="17">
        <f>ROUND($B1196*V$1071,2)</f>
        <v>-0.01</v>
      </c>
      <c r="W1196" s="17">
        <f>ROUND($B1196*W$1187,2)</f>
        <v>0</v>
      </c>
      <c r="X1196" s="17">
        <f>ROUND($B1196*X$1187,2)</f>
        <v>-0.01</v>
      </c>
      <c r="Y1196" s="17">
        <f>ROUND($B1196*Y$1187,2)</f>
        <v>0</v>
      </c>
      <c r="Z1196" s="17">
        <f>ROUND($B1196*Z$1187,2)</f>
        <v>0</v>
      </c>
      <c r="AA1196" s="17">
        <f>ROUND($B1196*AA$1187,2)</f>
        <v>0</v>
      </c>
      <c r="AB1196" s="19">
        <f>SUM(V1128:AA1128)</f>
        <v>-0.01</v>
      </c>
      <c r="AC1196" s="67" t="str">
        <f>+F1196</f>
        <v>HL4</v>
      </c>
    </row>
    <row r="1197" spans="1:29" x14ac:dyDescent="0.2">
      <c r="A1197" s="9"/>
      <c r="B1197" s="103">
        <v>-1</v>
      </c>
      <c r="D1197" s="8"/>
      <c r="E1197" s="9"/>
      <c r="F1197" s="36"/>
      <c r="G1197" s="17"/>
      <c r="H1197" s="19"/>
      <c r="J1197" s="8"/>
      <c r="K1197" s="17"/>
      <c r="L1197" s="17"/>
      <c r="M1197" s="17"/>
      <c r="N1197" s="17"/>
      <c r="O1197" s="17"/>
      <c r="P1197" s="17"/>
      <c r="Q1197" s="17"/>
      <c r="R1197" s="38" t="e">
        <f>VLOOKUP((D1198),'Pwr Factor'!$A$1:$B$52,2)</f>
        <v>#N/A</v>
      </c>
      <c r="S1197" s="50">
        <v>0.1</v>
      </c>
      <c r="T1197" s="17"/>
      <c r="U1197" s="17"/>
      <c r="V1197" s="17"/>
      <c r="W1197" s="17"/>
      <c r="X1197" s="17"/>
      <c r="Y1197" s="17"/>
      <c r="Z1197" s="17"/>
      <c r="AA1197" s="17"/>
    </row>
    <row r="1198" spans="1:29" x14ac:dyDescent="0.2">
      <c r="A1198" s="1" t="s">
        <v>164</v>
      </c>
      <c r="B1198" s="103">
        <f>IF(AND('AES Indiana Bill Calc.'!$D$17="HL4",'AES Indiana Bill Calc.'!$D$18="Yes 10%",'AES Indiana Bill Calc.'!$D$20="No"),'AES Indiana Bill Calc.'!$D$19,-1)</f>
        <v>-1</v>
      </c>
      <c r="C1198" s="103">
        <f>MAX(E1198,$C$837)</f>
        <v>2000</v>
      </c>
      <c r="D1198" s="103" t="b">
        <f>IF(AND('AES Indiana Bill Calc.'!$D$17="HL4",'AES Indiana Bill Calc.'!$D$18="Yes 10%",'AES Indiana Bill Calc.'!$D$20="No"),'AES Indiana Bill Calc.'!$D$22)</f>
        <v>0</v>
      </c>
      <c r="E1198" s="103" t="b">
        <f>IF(AND('AES Indiana Bill Calc.'!$D$17="HL4",'AES Indiana Bill Calc.'!$D$18="Yes 10%",'AES Indiana Bill Calc.'!$D$20="No"),'AES Indiana Bill Calc.'!$D$21)</f>
        <v>0</v>
      </c>
      <c r="F1198" s="36" t="s">
        <v>71</v>
      </c>
      <c r="G1198" s="92" t="e">
        <f>SUM(J1198:M1198,R1198:AA1198)</f>
        <v>#N/A</v>
      </c>
      <c r="H1198" s="19" t="e">
        <f>IF(ISBLANK(B1198),0,+#REF!/B1198)</f>
        <v>#REF!</v>
      </c>
      <c r="J1198" s="51">
        <f>IF(ISBLANK(B1198),0,+J$1071)</f>
        <v>500</v>
      </c>
      <c r="K1198" s="17">
        <f>ROUND($B1198*K$1187,2)</f>
        <v>-0.06</v>
      </c>
      <c r="L1198" s="17">
        <f>IF(ISBLANK($C1198),0,IF($C1198&lt;$C$1072,ROUND($C$1072*$L$1187,2),IF($C1198&gt;L$1188,ROUND(L$1188*L$1187,2),ROUND($C1198*L$1187,2))))</f>
        <v>30120</v>
      </c>
      <c r="M1198" s="17">
        <f>IF($C1198&gt;L$957,ROUND(($C1198-L$957)*M$956,2),0)</f>
        <v>0</v>
      </c>
      <c r="N1198" s="17">
        <f>K1198</f>
        <v>-0.06</v>
      </c>
      <c r="O1198" s="17"/>
      <c r="P1198" s="17"/>
      <c r="Q1198" s="17">
        <f>SUM(L1198:M1198)</f>
        <v>30120</v>
      </c>
      <c r="R1198" s="16" t="e">
        <f>ROUND(SUM(K1198:M1198)*(R1197-1),2)</f>
        <v>#N/A</v>
      </c>
      <c r="S1198" s="17">
        <f>ROUND($B1198*S$1071*S1197,2)</f>
        <v>0</v>
      </c>
      <c r="T1198" s="17">
        <f>ROUND($B1198*T$1187,2)</f>
        <v>0</v>
      </c>
      <c r="U1198" s="17">
        <f>ROUND($B1198*U$1187,2)</f>
        <v>0</v>
      </c>
      <c r="V1198" s="17">
        <f>ROUND($B1198*V$1071,2)</f>
        <v>-0.01</v>
      </c>
      <c r="W1198" s="17">
        <f>ROUND($B1198*W$1187,2)</f>
        <v>0</v>
      </c>
      <c r="X1198" s="17">
        <f>ROUND($B1198*X$1187,2)</f>
        <v>-0.01</v>
      </c>
      <c r="Y1198" s="17">
        <f>ROUND($B1198*Y$1187,2)</f>
        <v>0</v>
      </c>
      <c r="Z1198" s="17">
        <f>ROUND($B1198*Z$1187,2)</f>
        <v>0</v>
      </c>
      <c r="AA1198" s="17">
        <f>ROUND($B1198*AA$1187,2)</f>
        <v>0</v>
      </c>
      <c r="AB1198" s="19">
        <f>SUM(V1130:AA1130)</f>
        <v>-0.01</v>
      </c>
      <c r="AC1198" s="67" t="str">
        <f>+F1198</f>
        <v>HL4</v>
      </c>
    </row>
    <row r="1199" spans="1:29" x14ac:dyDescent="0.2">
      <c r="A1199" s="9"/>
      <c r="B1199" s="103">
        <v>-1</v>
      </c>
      <c r="D1199" s="8"/>
      <c r="E1199" s="9"/>
      <c r="F1199" s="36"/>
      <c r="G1199" s="17"/>
      <c r="H1199" s="19"/>
      <c r="J1199" s="8"/>
      <c r="K1199" s="17"/>
      <c r="L1199" s="17"/>
      <c r="M1199" s="17"/>
      <c r="N1199" s="17"/>
      <c r="O1199" s="17"/>
      <c r="P1199" s="17"/>
      <c r="Q1199" s="17"/>
      <c r="R1199" s="38" t="e">
        <f>VLOOKUP((D1200),'Pwr Factor'!$A$1:$B$52,2)</f>
        <v>#N/A</v>
      </c>
      <c r="S1199" s="50">
        <v>0</v>
      </c>
      <c r="T1199" s="17"/>
      <c r="U1199" s="17"/>
      <c r="V1199" s="17"/>
      <c r="W1199" s="17"/>
      <c r="X1199" s="17"/>
      <c r="Y1199" s="17"/>
      <c r="Z1199" s="17"/>
      <c r="AA1199" s="17"/>
    </row>
    <row r="1200" spans="1:29" x14ac:dyDescent="0.2">
      <c r="A1200" s="1" t="s">
        <v>147</v>
      </c>
      <c r="B1200" s="103">
        <f>IF(AND('AES Indiana Bill Calc.'!$D$17="HL4",'AES Indiana Bill Calc.'!$D$18="No",'AES Indiana Bill Calc.'!$D$20="No"),'AES Indiana Bill Calc.'!$D$19,-1)</f>
        <v>-1</v>
      </c>
      <c r="C1200" s="103">
        <f>MAX(E1200,$C$837)</f>
        <v>2000</v>
      </c>
      <c r="D1200" s="103" t="b">
        <f>IF(AND('AES Indiana Bill Calc.'!$D$17="HL4",'AES Indiana Bill Calc.'!$D$18="No",'AES Indiana Bill Calc.'!$D$20="No"),'AES Indiana Bill Calc.'!$D$22)</f>
        <v>0</v>
      </c>
      <c r="E1200" s="103" t="b">
        <f>IF(AND('AES Indiana Bill Calc.'!$D$17="HL4",'AES Indiana Bill Calc.'!$D$18="No",'AES Indiana Bill Calc.'!$D$20="No"),'AES Indiana Bill Calc.'!$D$21)</f>
        <v>0</v>
      </c>
      <c r="F1200" s="36" t="s">
        <v>71</v>
      </c>
      <c r="G1200" s="92" t="e">
        <f>SUM(J1200:M1200,R1200:AA1200)</f>
        <v>#N/A</v>
      </c>
      <c r="H1200" s="19" t="e">
        <f>IF(ISBLANK(B1200),0,+#REF!/B1200)</f>
        <v>#REF!</v>
      </c>
      <c r="J1200" s="51">
        <f>IF(ISBLANK(B1200),0,+J$1071)</f>
        <v>500</v>
      </c>
      <c r="K1200" s="17">
        <f>ROUND($B1200*K$1187,2)</f>
        <v>-0.06</v>
      </c>
      <c r="L1200" s="17">
        <f>IF(ISBLANK($C1200),0,IF($C1200&lt;$C$1072,ROUND($C$1072*$L$1187,2),IF($C1200&gt;L$1188,ROUND(L$1188*L$1187,2),ROUND($C1200*L$1187,2))))</f>
        <v>30120</v>
      </c>
      <c r="M1200" s="17">
        <f>IF($C1200&gt;L$957,ROUND(($C1200-L$957)*M$956,2),0)</f>
        <v>0</v>
      </c>
      <c r="N1200" s="17">
        <f>K1200</f>
        <v>-0.06</v>
      </c>
      <c r="O1200" s="17"/>
      <c r="P1200" s="17"/>
      <c r="Q1200" s="17">
        <f>SUM(L1200:M1200)</f>
        <v>30120</v>
      </c>
      <c r="R1200" s="16" t="e">
        <f>ROUND(SUM(K1200:M1200)*(R1199-1),2)</f>
        <v>#N/A</v>
      </c>
      <c r="S1200" s="17">
        <f>ROUND($B1200*S$1071*S1199,2)</f>
        <v>0</v>
      </c>
      <c r="T1200" s="17">
        <f>ROUND($B1200*T$1187,2)</f>
        <v>0</v>
      </c>
      <c r="U1200" s="17">
        <f>ROUND($B1200*U$1187,2)</f>
        <v>0</v>
      </c>
      <c r="V1200" s="17">
        <f>ROUND($B1200*V$1071,2)</f>
        <v>-0.01</v>
      </c>
      <c r="W1200" s="17">
        <f>ROUND($B1200*W$1187,2)</f>
        <v>0</v>
      </c>
      <c r="X1200" s="17">
        <f>ROUND($B1200*X$1187,2)</f>
        <v>-0.01</v>
      </c>
      <c r="Y1200" s="17">
        <f>ROUND($B1200*Y$1187,2)</f>
        <v>0</v>
      </c>
      <c r="Z1200" s="17">
        <f>ROUND($B1200*Z$1187,2)</f>
        <v>0</v>
      </c>
      <c r="AA1200" s="17">
        <f>ROUND($B1200*AA$1187,2)</f>
        <v>0</v>
      </c>
      <c r="AB1200" s="19">
        <f>SUM(V1132:AA1132)</f>
        <v>-0.01</v>
      </c>
      <c r="AC1200" s="67" t="str">
        <f>+F1200</f>
        <v>HL4</v>
      </c>
    </row>
    <row r="1201" spans="1:29" x14ac:dyDescent="0.2">
      <c r="B1201" s="103">
        <v>-1</v>
      </c>
      <c r="D1201" s="8"/>
      <c r="E1201" s="9"/>
      <c r="F1201" s="36"/>
      <c r="G1201" s="17"/>
      <c r="H1201" s="19"/>
      <c r="J1201" s="8"/>
      <c r="K1201" s="17"/>
      <c r="L1201" s="17"/>
      <c r="M1201" s="17"/>
      <c r="N1201" s="17"/>
      <c r="O1201" s="17"/>
      <c r="P1201" s="17"/>
      <c r="Q1201" s="17"/>
      <c r="R1201" s="38" t="e">
        <f>VLOOKUP((D1202),'Pwr Factor'!$A$1:$B$52,2)</f>
        <v>#N/A</v>
      </c>
      <c r="S1201" s="50">
        <v>1</v>
      </c>
      <c r="T1201" s="17"/>
      <c r="U1201" s="17"/>
      <c r="V1201" s="17"/>
      <c r="W1201" s="17"/>
      <c r="X1201" s="17"/>
      <c r="Y1201" s="17"/>
      <c r="Z1201" s="17"/>
      <c r="AA1201" s="17"/>
    </row>
    <row r="1202" spans="1:29" x14ac:dyDescent="0.2">
      <c r="A1202" s="1" t="s">
        <v>148</v>
      </c>
      <c r="B1202" s="103">
        <f>IF(AND('AES Indiana Bill Calc.'!$D$17="HL4",'AES Indiana Bill Calc.'!$D$18="Yes 100%",'AES Indiana Bill Calc.'!$D$20="Yes Before 2018"),'AES Indiana Bill Calc.'!$D$19,-1)</f>
        <v>-1</v>
      </c>
      <c r="C1202" s="103">
        <f>MAX(E1202,$C$837)</f>
        <v>2000</v>
      </c>
      <c r="D1202" s="103" t="b">
        <f>IF(AND('AES Indiana Bill Calc.'!$D$17="HL4",'AES Indiana Bill Calc.'!$D$18="Yes 100%",'AES Indiana Bill Calc.'!$D$20="Yes Before 2018"),'AES Indiana Bill Calc.'!$D$22)</f>
        <v>0</v>
      </c>
      <c r="E1202" s="103" t="b">
        <f>IF(AND('AES Indiana Bill Calc.'!$D$17="HL4",'AES Indiana Bill Calc.'!$D$18="Yes 100%",'AES Indiana Bill Calc.'!$D$20="Yes Before 2018"),'AES Indiana Bill Calc.'!$D$21)</f>
        <v>0</v>
      </c>
      <c r="F1202" s="36" t="s">
        <v>255</v>
      </c>
      <c r="G1202" s="92" t="e">
        <f>SUM(J1202:M1202,R1202:AA1202)</f>
        <v>#N/A</v>
      </c>
      <c r="H1202" s="19" t="e">
        <f>IF(ISBLANK(B1202),0,+#REF!/B1202)</f>
        <v>#REF!</v>
      </c>
      <c r="J1202" s="51">
        <f>IF(ISBLANK(B1202),0,+J$1071)</f>
        <v>500</v>
      </c>
      <c r="K1202" s="17">
        <f>ROUND($B1202*K$1187,2)</f>
        <v>-0.06</v>
      </c>
      <c r="L1202" s="17">
        <f>IF(ISBLANK($C1202),0,IF($C1202&lt;$C$1072,ROUND($C$1072*$L$1187,2),IF($C1202&gt;L$1188,ROUND(L$1188*L$1187,2),ROUND($C1202*L$1187,2))))</f>
        <v>30120</v>
      </c>
      <c r="M1202" s="17">
        <f>IF($C1202&gt;L$957,ROUND(($C1202-L$957)*M$956,2),0)</f>
        <v>0</v>
      </c>
      <c r="N1202" s="17">
        <f>K1202</f>
        <v>-0.06</v>
      </c>
      <c r="O1202" s="17"/>
      <c r="P1202" s="17"/>
      <c r="Q1202" s="17">
        <f>SUM(L1202:M1202)</f>
        <v>30120</v>
      </c>
      <c r="R1202" s="16" t="e">
        <f>ROUND(SUM(K1202:M1202)*(R1201-1),2)</f>
        <v>#N/A</v>
      </c>
      <c r="S1202" s="17">
        <f>ROUND($B1202*S$1071*S1201,2)</f>
        <v>0</v>
      </c>
      <c r="T1202" s="17">
        <f>ROUND($B1202*T$1187,2)</f>
        <v>0</v>
      </c>
      <c r="U1202" s="17">
        <f>ROUND($B1202*U$1187,2)</f>
        <v>0</v>
      </c>
      <c r="V1202" s="17">
        <f>ROUND($B1202*V$1062,2)</f>
        <v>0</v>
      </c>
      <c r="W1202" s="17">
        <f>ROUND($B1202*W$1187,2)</f>
        <v>0</v>
      </c>
      <c r="X1202" s="17">
        <f>ROUND($B1202*X$1187,2)</f>
        <v>-0.01</v>
      </c>
      <c r="Y1202" s="17">
        <f>ROUND($B1202*Y$1187,2)</f>
        <v>0</v>
      </c>
      <c r="Z1202" s="17">
        <f>ROUND($B1202*Z$1187,2)</f>
        <v>0</v>
      </c>
      <c r="AA1202" s="17">
        <f>ROUND($B1202*AA$1187,2)</f>
        <v>0</v>
      </c>
      <c r="AB1202" s="19">
        <f>SUM(V1134:AA1134)</f>
        <v>-0.01</v>
      </c>
      <c r="AC1202" s="67" t="str">
        <f>+F1202</f>
        <v>HL47</v>
      </c>
    </row>
    <row r="1203" spans="1:29" x14ac:dyDescent="0.2">
      <c r="A1203" s="48"/>
      <c r="B1203" s="103">
        <v>-1</v>
      </c>
      <c r="D1203" s="8"/>
      <c r="E1203" s="9"/>
      <c r="F1203" s="36"/>
      <c r="G1203" s="17"/>
      <c r="H1203" s="19"/>
      <c r="J1203" s="8"/>
      <c r="K1203" s="17"/>
      <c r="L1203" s="17"/>
      <c r="M1203" s="17"/>
      <c r="N1203" s="17"/>
      <c r="O1203" s="17"/>
      <c r="P1203" s="17"/>
      <c r="Q1203" s="17"/>
      <c r="R1203" s="38" t="e">
        <f>VLOOKUP((D1204),'Pwr Factor'!$A$1:$B$52,2)</f>
        <v>#N/A</v>
      </c>
      <c r="S1203" s="50">
        <v>0.5</v>
      </c>
      <c r="T1203" s="17"/>
      <c r="U1203" s="17"/>
      <c r="V1203" s="17"/>
      <c r="W1203" s="17"/>
      <c r="X1203" s="17"/>
      <c r="Y1203" s="17"/>
      <c r="Z1203" s="17"/>
      <c r="AA1203" s="17"/>
    </row>
    <row r="1204" spans="1:29" x14ac:dyDescent="0.2">
      <c r="A1204" s="1" t="s">
        <v>149</v>
      </c>
      <c r="B1204" s="103">
        <f>IF(AND('AES Indiana Bill Calc.'!$D$17="HL4",'AES Indiana Bill Calc.'!$D$18="Yes 50%",'AES Indiana Bill Calc.'!$D$20="Yes Before 2018"),'AES Indiana Bill Calc.'!$D$19,-1)</f>
        <v>-1</v>
      </c>
      <c r="C1204" s="103">
        <f>MAX(E1204,$C$837)</f>
        <v>2000</v>
      </c>
      <c r="D1204" s="103" t="b">
        <f>IF(AND('AES Indiana Bill Calc.'!$D$17="HL4",'AES Indiana Bill Calc.'!$D$18="Yes 50%",'AES Indiana Bill Calc.'!$D$20="Yes Before 2018"),'AES Indiana Bill Calc.'!$D$22)</f>
        <v>0</v>
      </c>
      <c r="E1204" s="103" t="b">
        <f>IF(AND('AES Indiana Bill Calc.'!$D$17="HL4",'AES Indiana Bill Calc.'!$D$18="Yes 50%",'AES Indiana Bill Calc.'!$D$20="Yes Before 2018"),'AES Indiana Bill Calc.'!$D$21)</f>
        <v>0</v>
      </c>
      <c r="F1204" s="36" t="s">
        <v>255</v>
      </c>
      <c r="G1204" s="92" t="e">
        <f>SUM(J1204:M1204,R1204:AA1204)</f>
        <v>#N/A</v>
      </c>
      <c r="H1204" s="19" t="e">
        <f>IF(ISBLANK(B1204),0,+#REF!/B1204)</f>
        <v>#REF!</v>
      </c>
      <c r="J1204" s="51">
        <f>IF(ISBLANK(B1204),0,+J$1071)</f>
        <v>500</v>
      </c>
      <c r="K1204" s="17">
        <f>ROUND($B1204*K$1187,2)</f>
        <v>-0.06</v>
      </c>
      <c r="L1204" s="17">
        <f>IF(ISBLANK($C1204),0,IF($C1204&lt;$C$1072,ROUND($C$1072*$L$1187,2),IF($C1204&gt;L$1188,ROUND(L$1188*L$1187,2),ROUND($C1204*L$1187,2))))</f>
        <v>30120</v>
      </c>
      <c r="M1204" s="17">
        <f>IF($C1204&gt;L$957,ROUND(($C1204-L$957)*M$956,2),0)</f>
        <v>0</v>
      </c>
      <c r="N1204" s="17">
        <f>K1204</f>
        <v>-0.06</v>
      </c>
      <c r="O1204" s="17"/>
      <c r="P1204" s="17"/>
      <c r="Q1204" s="17">
        <f>SUM(L1204:M1204)</f>
        <v>30120</v>
      </c>
      <c r="R1204" s="16" t="e">
        <f>ROUND(SUM(K1204:M1204)*(R1203-1),2)</f>
        <v>#N/A</v>
      </c>
      <c r="S1204" s="17">
        <f>ROUND($B1204*S$1071*S1203,2)</f>
        <v>0</v>
      </c>
      <c r="T1204" s="17">
        <f>ROUND($B1204*T$1187,2)</f>
        <v>0</v>
      </c>
      <c r="U1204" s="17">
        <f>ROUND($B1204*U$1187,2)</f>
        <v>0</v>
      </c>
      <c r="V1204" s="17">
        <f>ROUND($B1204*V$1062,2)</f>
        <v>0</v>
      </c>
      <c r="W1204" s="17">
        <f>ROUND($B1204*W$1187,2)</f>
        <v>0</v>
      </c>
      <c r="X1204" s="17">
        <f>ROUND($B1204*X$1187,2)</f>
        <v>-0.01</v>
      </c>
      <c r="Y1204" s="17">
        <f>ROUND($B1204*Y$1187,2)</f>
        <v>0</v>
      </c>
      <c r="Z1204" s="17">
        <f>ROUND($B1204*Z$1187,2)</f>
        <v>0</v>
      </c>
      <c r="AA1204" s="17">
        <f>ROUND($B1204*AA$1187,2)</f>
        <v>0</v>
      </c>
      <c r="AB1204" s="19">
        <f>SUM(V1136:AA1136)</f>
        <v>-0.01</v>
      </c>
      <c r="AC1204" s="67" t="str">
        <f>+F1204</f>
        <v>HL47</v>
      </c>
    </row>
    <row r="1205" spans="1:29" x14ac:dyDescent="0.2">
      <c r="A1205" s="9"/>
      <c r="B1205" s="103">
        <v>-1</v>
      </c>
      <c r="D1205" s="8"/>
      <c r="E1205" s="9"/>
      <c r="F1205" s="36"/>
      <c r="G1205" s="17"/>
      <c r="H1205" s="19"/>
      <c r="J1205" s="8"/>
      <c r="K1205" s="17"/>
      <c r="L1205" s="17"/>
      <c r="M1205" s="17"/>
      <c r="N1205" s="17"/>
      <c r="O1205" s="17"/>
      <c r="P1205" s="17"/>
      <c r="Q1205" s="17"/>
      <c r="R1205" s="38" t="e">
        <f>VLOOKUP((D1206),'Pwr Factor'!$A$1:$B$52,2)</f>
        <v>#N/A</v>
      </c>
      <c r="S1205" s="50">
        <v>0.25</v>
      </c>
      <c r="T1205" s="17"/>
      <c r="U1205" s="17"/>
      <c r="V1205" s="17"/>
      <c r="W1205" s="17"/>
      <c r="X1205" s="17"/>
      <c r="Y1205" s="17"/>
      <c r="Z1205" s="17"/>
      <c r="AA1205" s="17"/>
    </row>
    <row r="1206" spans="1:29" x14ac:dyDescent="0.2">
      <c r="A1206" s="1" t="s">
        <v>150</v>
      </c>
      <c r="B1206" s="103">
        <f>IF(AND('AES Indiana Bill Calc.'!$D$17="HL4",'AES Indiana Bill Calc.'!$D$18="Yes 25%",'AES Indiana Bill Calc.'!$D$20="Yes Before 2018"),'AES Indiana Bill Calc.'!$D$19,-1)</f>
        <v>-1</v>
      </c>
      <c r="C1206" s="103">
        <f>MAX(E1206,$C$837)</f>
        <v>2000</v>
      </c>
      <c r="D1206" s="103" t="b">
        <f>IF(AND('AES Indiana Bill Calc.'!$D$17="HL4",'AES Indiana Bill Calc.'!$D$18="Yes 25%",'AES Indiana Bill Calc.'!$D$20="Yes Before 2018"),'AES Indiana Bill Calc.'!$D$22)</f>
        <v>0</v>
      </c>
      <c r="E1206" s="103" t="b">
        <f>IF(AND('AES Indiana Bill Calc.'!$D$17="HL4",'AES Indiana Bill Calc.'!$D$18="Yes 25%",'AES Indiana Bill Calc.'!$D$20="Yes Before 2018"),'AES Indiana Bill Calc.'!$D$21)</f>
        <v>0</v>
      </c>
      <c r="F1206" s="36" t="s">
        <v>255</v>
      </c>
      <c r="G1206" s="92" t="e">
        <f>SUM(J1206:M1206,R1206:AA1206)</f>
        <v>#N/A</v>
      </c>
      <c r="H1206" s="19" t="e">
        <f>IF(ISBLANK(B1206),0,+#REF!/B1206)</f>
        <v>#REF!</v>
      </c>
      <c r="J1206" s="51">
        <f>IF(ISBLANK(B1206),0,+J$1071)</f>
        <v>500</v>
      </c>
      <c r="K1206" s="17">
        <f>ROUND($B1206*K$1187,2)</f>
        <v>-0.06</v>
      </c>
      <c r="L1206" s="17">
        <f>IF(ISBLANK($C1206),0,IF($C1206&lt;$C$1072,ROUND($C$1072*$L$1187,2),IF($C1206&gt;L$1188,ROUND(L$1188*L$1187,2),ROUND($C1206*L$1187,2))))</f>
        <v>30120</v>
      </c>
      <c r="M1206" s="17">
        <f>IF($C1206&gt;L$957,ROUND(($C1206-L$957)*M$956,2),0)</f>
        <v>0</v>
      </c>
      <c r="N1206" s="17">
        <f>K1206</f>
        <v>-0.06</v>
      </c>
      <c r="O1206" s="17"/>
      <c r="P1206" s="17"/>
      <c r="Q1206" s="17">
        <f>SUM(L1206:M1206)</f>
        <v>30120</v>
      </c>
      <c r="R1206" s="16" t="e">
        <f>ROUND(SUM(K1206:M1206)*(R1205-1),2)</f>
        <v>#N/A</v>
      </c>
      <c r="S1206" s="17">
        <f>ROUND($B1206*S$1071*S1205,2)</f>
        <v>0</v>
      </c>
      <c r="T1206" s="17">
        <f>ROUND($B1206*T$1187,2)</f>
        <v>0</v>
      </c>
      <c r="U1206" s="17">
        <f>ROUND($B1206*U$1187,2)</f>
        <v>0</v>
      </c>
      <c r="V1206" s="17">
        <f>ROUND($B1206*V$1062,2)</f>
        <v>0</v>
      </c>
      <c r="W1206" s="17">
        <f>ROUND($B1206*W$1187,2)</f>
        <v>0</v>
      </c>
      <c r="X1206" s="17">
        <f>ROUND($B1206*X$1187,2)</f>
        <v>-0.01</v>
      </c>
      <c r="Y1206" s="17">
        <f>ROUND($B1206*Y$1187,2)</f>
        <v>0</v>
      </c>
      <c r="Z1206" s="17">
        <f>ROUND($B1206*Z$1187,2)</f>
        <v>0</v>
      </c>
      <c r="AA1206" s="17">
        <f>ROUND($B1206*AA$1187,2)</f>
        <v>0</v>
      </c>
      <c r="AB1206" s="19">
        <f>SUM(V1138:AA1138)</f>
        <v>-0.01</v>
      </c>
      <c r="AC1206" s="67" t="str">
        <f>+F1206</f>
        <v>HL47</v>
      </c>
    </row>
    <row r="1207" spans="1:29" x14ac:dyDescent="0.2">
      <c r="A1207" s="9"/>
      <c r="B1207" s="103">
        <v>-1</v>
      </c>
      <c r="D1207" s="8"/>
      <c r="E1207" s="9"/>
      <c r="F1207" s="36"/>
      <c r="G1207" s="17"/>
      <c r="H1207" s="19"/>
      <c r="J1207" s="8"/>
      <c r="K1207" s="17"/>
      <c r="L1207" s="17"/>
      <c r="M1207" s="17"/>
      <c r="N1207" s="17"/>
      <c r="O1207" s="17"/>
      <c r="P1207" s="17"/>
      <c r="Q1207" s="17"/>
      <c r="R1207" s="38" t="e">
        <f>VLOOKUP((D1208),'Pwr Factor'!$A$1:$B$52,2)</f>
        <v>#N/A</v>
      </c>
      <c r="S1207" s="50">
        <v>0.1</v>
      </c>
      <c r="T1207" s="17"/>
      <c r="U1207" s="17"/>
      <c r="V1207" s="17"/>
      <c r="W1207" s="17"/>
      <c r="X1207" s="17"/>
      <c r="Y1207" s="17"/>
      <c r="Z1207" s="17"/>
      <c r="AA1207" s="17"/>
    </row>
    <row r="1208" spans="1:29" x14ac:dyDescent="0.2">
      <c r="A1208" s="1" t="s">
        <v>164</v>
      </c>
      <c r="B1208" s="103">
        <f>IF(AND('AES Indiana Bill Calc.'!$D$17="HL4",'AES Indiana Bill Calc.'!$D$18="Yes 10%",'AES Indiana Bill Calc.'!$D$20="Yes Before 2018"),'AES Indiana Bill Calc.'!$D$19,-1)</f>
        <v>-1</v>
      </c>
      <c r="C1208" s="103">
        <f>MAX(E1208,$C$837)</f>
        <v>2000</v>
      </c>
      <c r="D1208" s="103" t="b">
        <f>IF(AND('AES Indiana Bill Calc.'!$D$17="HL4",'AES Indiana Bill Calc.'!$D$18="Yes 10%",'AES Indiana Bill Calc.'!$D$20="Yes Before 2018"),'AES Indiana Bill Calc.'!$D$22)</f>
        <v>0</v>
      </c>
      <c r="E1208" s="103" t="b">
        <f>IF(AND('AES Indiana Bill Calc.'!$D$17="HL4",'AES Indiana Bill Calc.'!$D$18="Yes 10%",'AES Indiana Bill Calc.'!$D$20="Yes Before 2018"),'AES Indiana Bill Calc.'!$D$21)</f>
        <v>0</v>
      </c>
      <c r="F1208" s="36" t="s">
        <v>255</v>
      </c>
      <c r="G1208" s="92" t="e">
        <f>SUM(J1208:M1208,R1208:AA1208)</f>
        <v>#N/A</v>
      </c>
      <c r="H1208" s="19" t="e">
        <f>IF(ISBLANK(B1208),0,+#REF!/B1208)</f>
        <v>#REF!</v>
      </c>
      <c r="J1208" s="51">
        <f>IF(ISBLANK(B1208),0,+J$1071)</f>
        <v>500</v>
      </c>
      <c r="K1208" s="17">
        <f>ROUND($B1208*K$1187,2)</f>
        <v>-0.06</v>
      </c>
      <c r="L1208" s="17">
        <f>IF(ISBLANK($C1208),0,IF($C1208&lt;$C$1072,ROUND($C$1072*$L$1187,2),IF($C1208&gt;L$1188,ROUND(L$1188*L$1187,2),ROUND($C1208*L$1187,2))))</f>
        <v>30120</v>
      </c>
      <c r="M1208" s="17">
        <f>IF($C1208&gt;L$957,ROUND(($C1208-L$957)*M$956,2),0)</f>
        <v>0</v>
      </c>
      <c r="N1208" s="17">
        <f>K1208</f>
        <v>-0.06</v>
      </c>
      <c r="O1208" s="17"/>
      <c r="P1208" s="17"/>
      <c r="Q1208" s="17">
        <f>SUM(L1208:M1208)</f>
        <v>30120</v>
      </c>
      <c r="R1208" s="16" t="e">
        <f>ROUND(SUM(K1208:M1208)*(R1207-1),2)</f>
        <v>#N/A</v>
      </c>
      <c r="S1208" s="17">
        <f>ROUND($B1208*S$1071*S1207,2)</f>
        <v>0</v>
      </c>
      <c r="T1208" s="17">
        <f>ROUND($B1208*T$1187,2)</f>
        <v>0</v>
      </c>
      <c r="U1208" s="17">
        <f>ROUND($B1208*U$1187,2)</f>
        <v>0</v>
      </c>
      <c r="V1208" s="17">
        <f>ROUND($B1208*V$1062,2)</f>
        <v>0</v>
      </c>
      <c r="W1208" s="17">
        <f>ROUND($B1208*W$1187,2)</f>
        <v>0</v>
      </c>
      <c r="X1208" s="17">
        <f>ROUND($B1208*X$1187,2)</f>
        <v>-0.01</v>
      </c>
      <c r="Y1208" s="17">
        <f>ROUND($B1208*Y$1187,2)</f>
        <v>0</v>
      </c>
      <c r="Z1208" s="17">
        <f>ROUND($B1208*Z$1187,2)</f>
        <v>0</v>
      </c>
      <c r="AA1208" s="17">
        <f>ROUND($B1208*AA$1187,2)</f>
        <v>0</v>
      </c>
      <c r="AB1208" s="19">
        <f>SUM(V1140:AA1140)</f>
        <v>-0.01</v>
      </c>
      <c r="AC1208" s="67" t="str">
        <f>+F1208</f>
        <v>HL47</v>
      </c>
    </row>
    <row r="1209" spans="1:29" x14ac:dyDescent="0.2">
      <c r="A1209" s="9"/>
      <c r="B1209" s="103">
        <v>-1</v>
      </c>
      <c r="D1209" s="8"/>
      <c r="E1209" s="9"/>
      <c r="F1209" s="36"/>
      <c r="G1209" s="17"/>
      <c r="H1209" s="19"/>
      <c r="J1209" s="8"/>
      <c r="K1209" s="17"/>
      <c r="L1209" s="17"/>
      <c r="M1209" s="17"/>
      <c r="N1209" s="17"/>
      <c r="O1209" s="17"/>
      <c r="P1209" s="17"/>
      <c r="Q1209" s="17"/>
      <c r="R1209" s="38" t="e">
        <f>VLOOKUP((D1210),'Pwr Factor'!$A$1:$B$52,2)</f>
        <v>#N/A</v>
      </c>
      <c r="S1209" s="50">
        <v>0</v>
      </c>
      <c r="T1209" s="17"/>
      <c r="U1209" s="17"/>
      <c r="V1209" s="17"/>
      <c r="W1209" s="17"/>
      <c r="X1209" s="17"/>
      <c r="Y1209" s="17"/>
      <c r="Z1209" s="17"/>
      <c r="AA1209" s="17"/>
    </row>
    <row r="1210" spans="1:29" x14ac:dyDescent="0.2">
      <c r="A1210" s="1" t="s">
        <v>147</v>
      </c>
      <c r="B1210" s="103">
        <f>IF(AND('AES Indiana Bill Calc.'!$D$17="HL4",'AES Indiana Bill Calc.'!$D$18="No",'AES Indiana Bill Calc.'!$D$20="Yes Before 2018"),'AES Indiana Bill Calc.'!$D$19,-1)</f>
        <v>-1</v>
      </c>
      <c r="C1210" s="103">
        <f>MAX(E1210,$C$837)</f>
        <v>2000</v>
      </c>
      <c r="D1210" s="103" t="b">
        <f>IF(AND('AES Indiana Bill Calc.'!$D$17="HL4",'AES Indiana Bill Calc.'!$D$18="No",'AES Indiana Bill Calc.'!$D$20="Yes Before 2018"),'AES Indiana Bill Calc.'!$D$22)</f>
        <v>0</v>
      </c>
      <c r="E1210" s="103" t="b">
        <f>IF(AND('AES Indiana Bill Calc.'!$D$17="HL4",'AES Indiana Bill Calc.'!$D$18="No",'AES Indiana Bill Calc.'!$D$20="Yes Before 2018"),'AES Indiana Bill Calc.'!$D$21)</f>
        <v>0</v>
      </c>
      <c r="F1210" s="36" t="s">
        <v>255</v>
      </c>
      <c r="G1210" s="92" t="e">
        <f>SUM(J1210:M1210,R1210:AA1210)</f>
        <v>#N/A</v>
      </c>
      <c r="H1210" s="19" t="e">
        <f>IF(ISBLANK(B1210),0,+#REF!/B1210)</f>
        <v>#REF!</v>
      </c>
      <c r="J1210" s="51">
        <f>IF(ISBLANK(B1210),0,+J$1071)</f>
        <v>500</v>
      </c>
      <c r="K1210" s="17">
        <f>ROUND($B1210*K$1187,2)</f>
        <v>-0.06</v>
      </c>
      <c r="L1210" s="17">
        <f>IF(ISBLANK($C1210),0,IF($C1210&lt;$C$1072,ROUND($C$1072*$L$1187,2),IF($C1210&gt;L$1188,ROUND(L$1188*L$1187,2),ROUND($C1210*L$1187,2))))</f>
        <v>30120</v>
      </c>
      <c r="M1210" s="17">
        <f>IF($C1210&gt;L$957,ROUND(($C1210-L$957)*M$956,2),0)</f>
        <v>0</v>
      </c>
      <c r="N1210" s="17">
        <f>K1210</f>
        <v>-0.06</v>
      </c>
      <c r="O1210" s="17"/>
      <c r="P1210" s="17"/>
      <c r="Q1210" s="17">
        <f>SUM(L1210:M1210)</f>
        <v>30120</v>
      </c>
      <c r="R1210" s="16" t="e">
        <f>ROUND(SUM(K1210:M1210)*(R1209-1),2)</f>
        <v>#N/A</v>
      </c>
      <c r="S1210" s="17">
        <f>ROUND($B1210*S$1071*S1209,2)</f>
        <v>0</v>
      </c>
      <c r="T1210" s="17">
        <f>ROUND($B1210*T$1187,2)</f>
        <v>0</v>
      </c>
      <c r="U1210" s="17">
        <f>ROUND($B1210*U$1187,2)</f>
        <v>0</v>
      </c>
      <c r="V1210" s="17">
        <f>ROUND($B1210*V$1062,2)</f>
        <v>0</v>
      </c>
      <c r="W1210" s="17">
        <f>ROUND($B1210*W$1187,2)</f>
        <v>0</v>
      </c>
      <c r="X1210" s="17">
        <f>ROUND($B1210*X$1187,2)</f>
        <v>-0.01</v>
      </c>
      <c r="Y1210" s="17">
        <f>ROUND($B1210*Y$1187,2)</f>
        <v>0</v>
      </c>
      <c r="Z1210" s="17">
        <f>ROUND($B1210*Z$1187,2)</f>
        <v>0</v>
      </c>
      <c r="AA1210" s="17">
        <f>ROUND($B1210*AA$1187,2)</f>
        <v>0</v>
      </c>
      <c r="AB1210" s="19">
        <f>SUM(V1142:AA1142)</f>
        <v>-0.01</v>
      </c>
      <c r="AC1210" s="67" t="str">
        <f>+F1210</f>
        <v>HL47</v>
      </c>
    </row>
    <row r="1211" spans="1:29" x14ac:dyDescent="0.2">
      <c r="B1211" s="103">
        <v>-1</v>
      </c>
      <c r="D1211" s="8"/>
      <c r="E1211" s="9"/>
      <c r="F1211" s="36"/>
      <c r="G1211" s="17"/>
      <c r="H1211" s="19"/>
      <c r="J1211" s="8"/>
      <c r="K1211" s="17"/>
      <c r="L1211" s="17"/>
      <c r="M1211" s="17"/>
      <c r="N1211" s="17"/>
      <c r="O1211" s="17"/>
      <c r="P1211" s="17"/>
      <c r="Q1211" s="17"/>
      <c r="R1211" s="38" t="e">
        <f>VLOOKUP((D1212),'Pwr Factor'!$A$1:$B$52,2)</f>
        <v>#N/A</v>
      </c>
      <c r="S1211" s="50">
        <v>1</v>
      </c>
      <c r="T1211" s="17"/>
      <c r="U1211" s="17"/>
      <c r="V1211" s="17"/>
      <c r="W1211" s="17"/>
      <c r="X1211" s="17"/>
      <c r="Y1211" s="17"/>
      <c r="Z1211" s="17"/>
      <c r="AA1211" s="17"/>
    </row>
    <row r="1212" spans="1:29" x14ac:dyDescent="0.2">
      <c r="A1212" s="1" t="s">
        <v>148</v>
      </c>
      <c r="B1212" s="103">
        <f>IF(AND('AES Indiana Bill Calc.'!$D$17="HL4",'AES Indiana Bill Calc.'!$D$18="Yes 100%",'AES Indiana Bill Calc.'!$D$20="Yes 2018"),'AES Indiana Bill Calc.'!$D$19,-1)</f>
        <v>-1</v>
      </c>
      <c r="C1212" s="103">
        <f>MAX(E1212,$C$837)</f>
        <v>2000</v>
      </c>
      <c r="D1212" s="103" t="b">
        <f>IF(AND('AES Indiana Bill Calc.'!$D$17="HL4",'AES Indiana Bill Calc.'!$D$18="Yes 100%",'AES Indiana Bill Calc.'!$D$20="Yes 2018"),'AES Indiana Bill Calc.'!$D$22)</f>
        <v>0</v>
      </c>
      <c r="E1212" s="103" t="b">
        <f>IF(AND('AES Indiana Bill Calc.'!$D$17="HL4",'AES Indiana Bill Calc.'!$D$18="Yes 100%",'AES Indiana Bill Calc.'!$D$20="Yes 2018"),'AES Indiana Bill Calc.'!$D$21)</f>
        <v>0</v>
      </c>
      <c r="F1212" s="36" t="s">
        <v>256</v>
      </c>
      <c r="G1212" s="92" t="e">
        <f>SUM(J1212:M1212,R1212:AA1212)</f>
        <v>#N/A</v>
      </c>
      <c r="H1212" s="19" t="e">
        <f>IF(ISBLANK(B1212),0,+#REF!/B1212)</f>
        <v>#REF!</v>
      </c>
      <c r="J1212" s="51">
        <f>IF(ISBLANK(B1212),0,+J$1071)</f>
        <v>500</v>
      </c>
      <c r="K1212" s="17">
        <f>ROUND($B1212*K$1187,2)</f>
        <v>-0.06</v>
      </c>
      <c r="L1212" s="17">
        <f>IF(ISBLANK($C1212),0,IF($C1212&lt;$C$1072,ROUND($C$1072*$L$1187,2),IF($C1212&gt;L$1188,ROUND(L$1188*L$1187,2),ROUND($C1212*L$1187,2))))</f>
        <v>30120</v>
      </c>
      <c r="M1212" s="17">
        <f>IF($C1212&gt;L$957,ROUND(($C1212-L$957)*M$956,2),0)</f>
        <v>0</v>
      </c>
      <c r="N1212" s="17">
        <f>K1212</f>
        <v>-0.06</v>
      </c>
      <c r="O1212" s="17"/>
      <c r="P1212" s="17"/>
      <c r="Q1212" s="17">
        <f>SUM(L1212:M1212)</f>
        <v>30120</v>
      </c>
      <c r="R1212" s="16" t="e">
        <f>ROUND(SUM(K1212:M1212)*(R1211-1),2)</f>
        <v>#N/A</v>
      </c>
      <c r="S1212" s="17">
        <f>ROUND($B1212*S$1071*S1211,2)</f>
        <v>0</v>
      </c>
      <c r="T1212" s="17">
        <f>ROUND($B1212*T$1187,2)</f>
        <v>0</v>
      </c>
      <c r="U1212" s="17">
        <f>ROUND($B1212*U$1187,2)</f>
        <v>0</v>
      </c>
      <c r="V1212" s="17">
        <f>ROUND($B1212*V$1063,2)</f>
        <v>0</v>
      </c>
      <c r="W1212" s="17">
        <f>ROUND($B1212*W$1187,2)</f>
        <v>0</v>
      </c>
      <c r="X1212" s="17">
        <f>ROUND($B1212*X$1187,2)</f>
        <v>-0.01</v>
      </c>
      <c r="Y1212" s="17">
        <f>ROUND($B1212*Y$1187,2)</f>
        <v>0</v>
      </c>
      <c r="Z1212" s="17">
        <f>ROUND($B1212*Z$1187,2)</f>
        <v>0</v>
      </c>
      <c r="AA1212" s="17">
        <f>ROUND($B1212*AA$1187,2)</f>
        <v>0</v>
      </c>
      <c r="AB1212" s="19">
        <f>SUM(V1144:AA1144)</f>
        <v>-0.01</v>
      </c>
      <c r="AC1212" s="67" t="str">
        <f>+F1212</f>
        <v>HL48</v>
      </c>
    </row>
    <row r="1213" spans="1:29" x14ac:dyDescent="0.2">
      <c r="A1213" s="48"/>
      <c r="B1213" s="103">
        <v>-1</v>
      </c>
      <c r="D1213" s="8"/>
      <c r="E1213" s="9"/>
      <c r="F1213" s="36"/>
      <c r="G1213" s="17"/>
      <c r="H1213" s="19"/>
      <c r="J1213" s="8"/>
      <c r="K1213" s="17"/>
      <c r="L1213" s="17"/>
      <c r="M1213" s="17"/>
      <c r="N1213" s="17"/>
      <c r="O1213" s="17"/>
      <c r="P1213" s="17"/>
      <c r="Q1213" s="17"/>
      <c r="R1213" s="38" t="e">
        <f>VLOOKUP((D1214),'Pwr Factor'!$A$1:$B$52,2)</f>
        <v>#N/A</v>
      </c>
      <c r="S1213" s="50">
        <v>0.5</v>
      </c>
      <c r="T1213" s="17"/>
      <c r="U1213" s="17"/>
      <c r="V1213" s="17"/>
      <c r="W1213" s="17"/>
      <c r="X1213" s="17"/>
      <c r="Y1213" s="17"/>
      <c r="Z1213" s="17"/>
      <c r="AA1213" s="17"/>
    </row>
    <row r="1214" spans="1:29" x14ac:dyDescent="0.2">
      <c r="A1214" s="1" t="s">
        <v>149</v>
      </c>
      <c r="B1214" s="103">
        <f>IF(AND('AES Indiana Bill Calc.'!$D$17="HL4",'AES Indiana Bill Calc.'!$D$18="Yes 50%",'AES Indiana Bill Calc.'!$D$20="Yes 2018"),'AES Indiana Bill Calc.'!$D$19,-1)</f>
        <v>-1</v>
      </c>
      <c r="C1214" s="103">
        <f>MAX(E1214,$C$837)</f>
        <v>2000</v>
      </c>
      <c r="D1214" s="103" t="b">
        <f>IF(AND('AES Indiana Bill Calc.'!$D$17="HL4",'AES Indiana Bill Calc.'!$D$18="Yes 50%",'AES Indiana Bill Calc.'!$D$20="Yes 2018"),'AES Indiana Bill Calc.'!$D$22)</f>
        <v>0</v>
      </c>
      <c r="E1214" s="103" t="b">
        <f>IF(AND('AES Indiana Bill Calc.'!$D$17="HL4",'AES Indiana Bill Calc.'!$D$18="Yes 50%",'AES Indiana Bill Calc.'!$D$20="Yes 2018"),'AES Indiana Bill Calc.'!$D$21)</f>
        <v>0</v>
      </c>
      <c r="F1214" s="36" t="s">
        <v>256</v>
      </c>
      <c r="G1214" s="92" t="e">
        <f>SUM(J1214:M1214,R1214:AA1214)</f>
        <v>#N/A</v>
      </c>
      <c r="H1214" s="19" t="e">
        <f>IF(ISBLANK(B1214),0,+#REF!/B1214)</f>
        <v>#REF!</v>
      </c>
      <c r="J1214" s="51">
        <f>IF(ISBLANK(B1214),0,+J$1071)</f>
        <v>500</v>
      </c>
      <c r="K1214" s="17">
        <f>ROUND($B1214*K$1187,2)</f>
        <v>-0.06</v>
      </c>
      <c r="L1214" s="17">
        <f>IF(ISBLANK($C1214),0,IF($C1214&lt;$C$1072,ROUND($C$1072*$L$1187,2),IF($C1214&gt;L$1188,ROUND(L$1188*L$1187,2),ROUND($C1214*L$1187,2))))</f>
        <v>30120</v>
      </c>
      <c r="M1214" s="17">
        <f>IF($C1214&gt;L$957,ROUND(($C1214-L$957)*M$956,2),0)</f>
        <v>0</v>
      </c>
      <c r="N1214" s="17">
        <f>K1214</f>
        <v>-0.06</v>
      </c>
      <c r="O1214" s="17"/>
      <c r="P1214" s="17"/>
      <c r="Q1214" s="17">
        <f>SUM(L1214:M1214)</f>
        <v>30120</v>
      </c>
      <c r="R1214" s="16" t="e">
        <f>ROUND(SUM(K1214:M1214)*(R1213-1),2)</f>
        <v>#N/A</v>
      </c>
      <c r="S1214" s="17">
        <f>ROUND($B1214*S$1071*S1213,2)</f>
        <v>0</v>
      </c>
      <c r="T1214" s="17">
        <f>ROUND($B1214*T$1187,2)</f>
        <v>0</v>
      </c>
      <c r="U1214" s="17">
        <f>ROUND($B1214*U$1187,2)</f>
        <v>0</v>
      </c>
      <c r="V1214" s="17">
        <f>ROUND($B1214*V$1063,2)</f>
        <v>0</v>
      </c>
      <c r="W1214" s="17">
        <f>ROUND($B1214*W$1187,2)</f>
        <v>0</v>
      </c>
      <c r="X1214" s="17">
        <f>ROUND($B1214*X$1187,2)</f>
        <v>-0.01</v>
      </c>
      <c r="Y1214" s="17">
        <f>ROUND($B1214*Y$1187,2)</f>
        <v>0</v>
      </c>
      <c r="Z1214" s="17">
        <f>ROUND($B1214*Z$1187,2)</f>
        <v>0</v>
      </c>
      <c r="AA1214" s="17">
        <f>ROUND($B1214*AA$1187,2)</f>
        <v>0</v>
      </c>
      <c r="AB1214" s="19">
        <f>SUM(V1146:AA1146)</f>
        <v>-0.01</v>
      </c>
      <c r="AC1214" s="67" t="str">
        <f>+F1214</f>
        <v>HL48</v>
      </c>
    </row>
    <row r="1215" spans="1:29" x14ac:dyDescent="0.2">
      <c r="A1215" s="9"/>
      <c r="B1215" s="103">
        <v>-1</v>
      </c>
      <c r="D1215" s="8"/>
      <c r="E1215" s="9"/>
      <c r="F1215" s="36"/>
      <c r="G1215" s="17"/>
      <c r="H1215" s="19"/>
      <c r="J1215" s="8"/>
      <c r="K1215" s="17"/>
      <c r="L1215" s="17"/>
      <c r="M1215" s="17"/>
      <c r="N1215" s="17"/>
      <c r="O1215" s="17"/>
      <c r="P1215" s="17"/>
      <c r="Q1215" s="17"/>
      <c r="R1215" s="38" t="e">
        <f>VLOOKUP((D1216),'Pwr Factor'!$A$1:$B$52,2)</f>
        <v>#N/A</v>
      </c>
      <c r="S1215" s="50">
        <v>0.25</v>
      </c>
      <c r="T1215" s="17"/>
      <c r="U1215" s="17"/>
      <c r="V1215" s="17"/>
      <c r="W1215" s="17"/>
      <c r="X1215" s="17"/>
      <c r="Y1215" s="17"/>
      <c r="Z1215" s="17"/>
      <c r="AA1215" s="17"/>
    </row>
    <row r="1216" spans="1:29" x14ac:dyDescent="0.2">
      <c r="A1216" s="1" t="s">
        <v>150</v>
      </c>
      <c r="B1216" s="103">
        <f>IF(AND('AES Indiana Bill Calc.'!$D$17="HL4",'AES Indiana Bill Calc.'!$D$18="Yes 25%",'AES Indiana Bill Calc.'!$D$20="Yes 2018"),'AES Indiana Bill Calc.'!$D$19,-1)</f>
        <v>-1</v>
      </c>
      <c r="C1216" s="103">
        <f>MAX(E1216,$C$837)</f>
        <v>2000</v>
      </c>
      <c r="D1216" s="103" t="b">
        <f>IF(AND('AES Indiana Bill Calc.'!$D$17="HL4",'AES Indiana Bill Calc.'!$D$18="Yes 25%",'AES Indiana Bill Calc.'!$D$20="Yes 2018"),'AES Indiana Bill Calc.'!$D$22)</f>
        <v>0</v>
      </c>
      <c r="E1216" s="103" t="b">
        <f>IF(AND('AES Indiana Bill Calc.'!$D$17="HL4",'AES Indiana Bill Calc.'!$D$18="Yes 25%",'AES Indiana Bill Calc.'!$D$20="Yes 2018"),'AES Indiana Bill Calc.'!$D$21)</f>
        <v>0</v>
      </c>
      <c r="F1216" s="36" t="s">
        <v>256</v>
      </c>
      <c r="G1216" s="92" t="e">
        <f>SUM(J1216:M1216,R1216:AA1216)</f>
        <v>#N/A</v>
      </c>
      <c r="H1216" s="19" t="e">
        <f>IF(ISBLANK(B1216),0,+#REF!/B1216)</f>
        <v>#REF!</v>
      </c>
      <c r="J1216" s="51">
        <f>IF(ISBLANK(B1216),0,+J$1071)</f>
        <v>500</v>
      </c>
      <c r="K1216" s="17">
        <f>ROUND($B1216*K$1187,2)</f>
        <v>-0.06</v>
      </c>
      <c r="L1216" s="17">
        <f>IF(ISBLANK($C1216),0,IF($C1216&lt;$C$1072,ROUND($C$1072*$L$1187,2),IF($C1216&gt;L$1188,ROUND(L$1188*L$1187,2),ROUND($C1216*L$1187,2))))</f>
        <v>30120</v>
      </c>
      <c r="M1216" s="17">
        <f>IF($C1216&gt;L$957,ROUND(($C1216-L$957)*M$956,2),0)</f>
        <v>0</v>
      </c>
      <c r="N1216" s="17">
        <f>K1216</f>
        <v>-0.06</v>
      </c>
      <c r="O1216" s="17"/>
      <c r="P1216" s="17"/>
      <c r="Q1216" s="17">
        <f>SUM(L1216:M1216)</f>
        <v>30120</v>
      </c>
      <c r="R1216" s="16" t="e">
        <f>ROUND(SUM(K1216:M1216)*(R1215-1),2)</f>
        <v>#N/A</v>
      </c>
      <c r="S1216" s="17">
        <f>ROUND($B1216*S$1071*S1215,2)</f>
        <v>0</v>
      </c>
      <c r="T1216" s="17">
        <f>ROUND($B1216*T$1187,2)</f>
        <v>0</v>
      </c>
      <c r="U1216" s="17">
        <f>ROUND($B1216*U$1187,2)</f>
        <v>0</v>
      </c>
      <c r="V1216" s="17">
        <f>ROUND($B1216*V$1063,2)</f>
        <v>0</v>
      </c>
      <c r="W1216" s="17">
        <f>ROUND($B1216*W$1187,2)</f>
        <v>0</v>
      </c>
      <c r="X1216" s="17">
        <f>ROUND($B1216*X$1187,2)</f>
        <v>-0.01</v>
      </c>
      <c r="Y1216" s="17">
        <f>ROUND($B1216*Y$1187,2)</f>
        <v>0</v>
      </c>
      <c r="Z1216" s="17">
        <f>ROUND($B1216*Z$1187,2)</f>
        <v>0</v>
      </c>
      <c r="AA1216" s="17">
        <f>ROUND($B1216*AA$1187,2)</f>
        <v>0</v>
      </c>
      <c r="AB1216" s="19">
        <f>SUM(V1148:AA1148)</f>
        <v>-0.01</v>
      </c>
      <c r="AC1216" s="67" t="str">
        <f>+F1216</f>
        <v>HL48</v>
      </c>
    </row>
    <row r="1217" spans="1:29" x14ac:dyDescent="0.2">
      <c r="A1217" s="9"/>
      <c r="B1217" s="103">
        <v>-1</v>
      </c>
      <c r="D1217" s="8"/>
      <c r="E1217" s="9"/>
      <c r="F1217" s="36"/>
      <c r="G1217" s="17"/>
      <c r="H1217" s="19"/>
      <c r="J1217" s="8"/>
      <c r="K1217" s="17"/>
      <c r="L1217" s="17"/>
      <c r="M1217" s="17"/>
      <c r="N1217" s="17"/>
      <c r="O1217" s="17"/>
      <c r="P1217" s="17"/>
      <c r="Q1217" s="17"/>
      <c r="R1217" s="38" t="e">
        <f>VLOOKUP((D1218),'Pwr Factor'!$A$1:$B$52,2)</f>
        <v>#N/A</v>
      </c>
      <c r="S1217" s="50">
        <v>0.1</v>
      </c>
      <c r="T1217" s="17"/>
      <c r="U1217" s="17"/>
      <c r="V1217" s="17"/>
      <c r="W1217" s="17"/>
      <c r="X1217" s="17"/>
      <c r="Y1217" s="17"/>
      <c r="Z1217" s="17"/>
      <c r="AA1217" s="17"/>
    </row>
    <row r="1218" spans="1:29" x14ac:dyDescent="0.2">
      <c r="A1218" s="1" t="s">
        <v>164</v>
      </c>
      <c r="B1218" s="103">
        <f>IF(AND('AES Indiana Bill Calc.'!$D$17="HL4",'AES Indiana Bill Calc.'!$D$18="Yes 10%",'AES Indiana Bill Calc.'!$D$20="Yes 2018"),'AES Indiana Bill Calc.'!$D$19,-1)</f>
        <v>-1</v>
      </c>
      <c r="C1218" s="103">
        <f>MAX(E1218,$C$837)</f>
        <v>2000</v>
      </c>
      <c r="D1218" s="103" t="b">
        <f>IF(AND('AES Indiana Bill Calc.'!$D$17="HL4",'AES Indiana Bill Calc.'!$D$18="Yes 10%",'AES Indiana Bill Calc.'!$D$20="Yes 2018"),'AES Indiana Bill Calc.'!$D$22)</f>
        <v>0</v>
      </c>
      <c r="E1218" s="103" t="b">
        <f>IF(AND('AES Indiana Bill Calc.'!$D$17="HL4",'AES Indiana Bill Calc.'!$D$18="Yes 10%",'AES Indiana Bill Calc.'!$D$20="Yes 2018"),'AES Indiana Bill Calc.'!$D$21)</f>
        <v>0</v>
      </c>
      <c r="F1218" s="36" t="s">
        <v>256</v>
      </c>
      <c r="G1218" s="92" t="e">
        <f>SUM(J1218:M1218,R1218:AA1218)</f>
        <v>#N/A</v>
      </c>
      <c r="H1218" s="19" t="e">
        <f>IF(ISBLANK(B1218),0,+#REF!/B1218)</f>
        <v>#REF!</v>
      </c>
      <c r="J1218" s="51">
        <f>IF(ISBLANK(B1218),0,+J$1071)</f>
        <v>500</v>
      </c>
      <c r="K1218" s="17">
        <f>ROUND($B1218*K$1187,2)</f>
        <v>-0.06</v>
      </c>
      <c r="L1218" s="17">
        <f>IF(ISBLANK($C1218),0,IF($C1218&lt;$C$1072,ROUND($C$1072*$L$1187,2),IF($C1218&gt;L$1188,ROUND(L$1188*L$1187,2),ROUND($C1218*L$1187,2))))</f>
        <v>30120</v>
      </c>
      <c r="M1218" s="17">
        <f>IF($C1218&gt;L$957,ROUND(($C1218-L$957)*M$956,2),0)</f>
        <v>0</v>
      </c>
      <c r="N1218" s="17">
        <f>K1218</f>
        <v>-0.06</v>
      </c>
      <c r="O1218" s="17"/>
      <c r="P1218" s="17"/>
      <c r="Q1218" s="17">
        <f>SUM(L1218:M1218)</f>
        <v>30120</v>
      </c>
      <c r="R1218" s="16" t="e">
        <f>ROUND(SUM(K1218:M1218)*(R1217-1),2)</f>
        <v>#N/A</v>
      </c>
      <c r="S1218" s="17">
        <f>ROUND($B1218*S$1071*S1217,2)</f>
        <v>0</v>
      </c>
      <c r="T1218" s="17">
        <f>ROUND($B1218*T$1187,2)</f>
        <v>0</v>
      </c>
      <c r="U1218" s="17">
        <f>ROUND($B1218*U$1187,2)</f>
        <v>0</v>
      </c>
      <c r="V1218" s="17">
        <f>ROUND($B1218*V$1063,2)</f>
        <v>0</v>
      </c>
      <c r="W1218" s="17">
        <f>ROUND($B1218*W$1187,2)</f>
        <v>0</v>
      </c>
      <c r="X1218" s="17">
        <f>ROUND($B1218*X$1187,2)</f>
        <v>-0.01</v>
      </c>
      <c r="Y1218" s="17">
        <f>ROUND($B1218*Y$1187,2)</f>
        <v>0</v>
      </c>
      <c r="Z1218" s="17">
        <f>ROUND($B1218*Z$1187,2)</f>
        <v>0</v>
      </c>
      <c r="AA1218" s="17">
        <f>ROUND($B1218*AA$1187,2)</f>
        <v>0</v>
      </c>
      <c r="AB1218" s="19">
        <f>SUM(V1150:AA1150)</f>
        <v>-0.01</v>
      </c>
      <c r="AC1218" s="67" t="str">
        <f>+F1218</f>
        <v>HL48</v>
      </c>
    </row>
    <row r="1219" spans="1:29" x14ac:dyDescent="0.2">
      <c r="A1219" s="9"/>
      <c r="B1219" s="103">
        <v>-1</v>
      </c>
      <c r="D1219" s="8"/>
      <c r="E1219" s="9"/>
      <c r="F1219" s="36"/>
      <c r="G1219" s="17"/>
      <c r="H1219" s="19"/>
      <c r="J1219" s="8"/>
      <c r="K1219" s="17"/>
      <c r="L1219" s="17"/>
      <c r="M1219" s="17"/>
      <c r="N1219" s="17"/>
      <c r="O1219" s="17"/>
      <c r="P1219" s="17"/>
      <c r="Q1219" s="17"/>
      <c r="R1219" s="38" t="e">
        <f>VLOOKUP((D1220),'Pwr Factor'!$A$1:$B$52,2)</f>
        <v>#N/A</v>
      </c>
      <c r="S1219" s="50">
        <v>0</v>
      </c>
      <c r="T1219" s="17"/>
      <c r="U1219" s="17"/>
      <c r="V1219" s="17"/>
      <c r="W1219" s="17"/>
      <c r="X1219" s="17"/>
      <c r="Y1219" s="17"/>
      <c r="Z1219" s="17"/>
      <c r="AA1219" s="17"/>
    </row>
    <row r="1220" spans="1:29" x14ac:dyDescent="0.2">
      <c r="A1220" s="1" t="s">
        <v>147</v>
      </c>
      <c r="B1220" s="103">
        <f>IF(AND('AES Indiana Bill Calc.'!$D$17="HL4",'AES Indiana Bill Calc.'!$D$18="No",'AES Indiana Bill Calc.'!$D$20="Yes 2018"),'AES Indiana Bill Calc.'!$D$19,-1)</f>
        <v>-1</v>
      </c>
      <c r="C1220" s="103">
        <f>MAX(E1220,$C$837)</f>
        <v>2000</v>
      </c>
      <c r="D1220" s="103" t="b">
        <f>IF(AND('AES Indiana Bill Calc.'!$D$17="HL4",'AES Indiana Bill Calc.'!$D$18="No",'AES Indiana Bill Calc.'!$D$20="Yes 2018"),'AES Indiana Bill Calc.'!$D$22)</f>
        <v>0</v>
      </c>
      <c r="E1220" s="103" t="b">
        <f>IF(AND('AES Indiana Bill Calc.'!$D$17="HL4",'AES Indiana Bill Calc.'!$D$18="No",'AES Indiana Bill Calc.'!$D$20="Yes 2018"),'AES Indiana Bill Calc.'!$D$21)</f>
        <v>0</v>
      </c>
      <c r="F1220" s="36" t="s">
        <v>256</v>
      </c>
      <c r="G1220" s="92" t="e">
        <f>SUM(J1220:M1220,R1220:AA1220)</f>
        <v>#N/A</v>
      </c>
      <c r="H1220" s="19" t="e">
        <f>IF(ISBLANK(B1220),0,+#REF!/B1220)</f>
        <v>#REF!</v>
      </c>
      <c r="J1220" s="51">
        <f>IF(ISBLANK(B1220),0,+J$1071)</f>
        <v>500</v>
      </c>
      <c r="K1220" s="17">
        <f>ROUND($B1220*K$1187,2)</f>
        <v>-0.06</v>
      </c>
      <c r="L1220" s="17">
        <f>IF(ISBLANK($C1220),0,IF($C1220&lt;$C$1072,ROUND($C$1072*$L$1187,2),IF($C1220&gt;L$1188,ROUND(L$1188*L$1187,2),ROUND($C1220*L$1187,2))))</f>
        <v>30120</v>
      </c>
      <c r="M1220" s="17">
        <f>IF($C1220&gt;L$957,ROUND(($C1220-L$957)*M$956,2),0)</f>
        <v>0</v>
      </c>
      <c r="N1220" s="17">
        <f>K1220</f>
        <v>-0.06</v>
      </c>
      <c r="O1220" s="17"/>
      <c r="P1220" s="17"/>
      <c r="Q1220" s="17">
        <f>SUM(L1220:M1220)</f>
        <v>30120</v>
      </c>
      <c r="R1220" s="16" t="e">
        <f>ROUND(SUM(K1220:M1220)*(R1219-1),2)</f>
        <v>#N/A</v>
      </c>
      <c r="S1220" s="17">
        <f>ROUND($B1220*S$1071*S1219,2)</f>
        <v>0</v>
      </c>
      <c r="T1220" s="17">
        <f>ROUND($B1220*T$1187,2)</f>
        <v>0</v>
      </c>
      <c r="U1220" s="17">
        <f>ROUND($B1220*U$1187,2)</f>
        <v>0</v>
      </c>
      <c r="V1220" s="17">
        <f>ROUND($B1220*V$1063,2)</f>
        <v>0</v>
      </c>
      <c r="W1220" s="17">
        <f>ROUND($B1220*W$1187,2)</f>
        <v>0</v>
      </c>
      <c r="X1220" s="17">
        <f>ROUND($B1220*X$1187,2)</f>
        <v>-0.01</v>
      </c>
      <c r="Y1220" s="17">
        <f>ROUND($B1220*Y$1187,2)</f>
        <v>0</v>
      </c>
      <c r="Z1220" s="17">
        <f>ROUND($B1220*Z$1187,2)</f>
        <v>0</v>
      </c>
      <c r="AA1220" s="17">
        <f>ROUND($B1220*AA$1187,2)</f>
        <v>0</v>
      </c>
      <c r="AB1220" s="19">
        <f>SUM(V1152:AA1152)</f>
        <v>-0.01</v>
      </c>
      <c r="AC1220" s="67" t="str">
        <f>+F1220</f>
        <v>HL48</v>
      </c>
    </row>
    <row r="1221" spans="1:29" x14ac:dyDescent="0.2">
      <c r="B1221" s="103">
        <v>-1</v>
      </c>
      <c r="D1221" s="8"/>
      <c r="E1221" s="9"/>
      <c r="F1221" s="36"/>
      <c r="G1221" s="17"/>
      <c r="H1221" s="19"/>
      <c r="J1221" s="8"/>
      <c r="K1221" s="17"/>
      <c r="L1221" s="17"/>
      <c r="M1221" s="17"/>
      <c r="N1221" s="17"/>
      <c r="O1221" s="17"/>
      <c r="P1221" s="17"/>
      <c r="Q1221" s="17"/>
      <c r="R1221" s="38" t="e">
        <f>VLOOKUP((D1222),'Pwr Factor'!$A$1:$B$52,2)</f>
        <v>#N/A</v>
      </c>
      <c r="S1221" s="50">
        <v>1</v>
      </c>
      <c r="T1221" s="17"/>
      <c r="U1221" s="17"/>
      <c r="V1221" s="17"/>
      <c r="W1221" s="17"/>
      <c r="X1221" s="17"/>
      <c r="Y1221" s="17"/>
      <c r="Z1221" s="17"/>
      <c r="AA1221" s="17"/>
    </row>
    <row r="1222" spans="1:29" x14ac:dyDescent="0.2">
      <c r="A1222" s="1" t="s">
        <v>148</v>
      </c>
      <c r="B1222" s="103">
        <f>IF(AND('AES Indiana Bill Calc.'!$D$17="HL4",'AES Indiana Bill Calc.'!$D$18="Yes 100%",'AES Indiana Bill Calc.'!$D$20="Yes 2019"),'AES Indiana Bill Calc.'!$D$19,-1)</f>
        <v>-1</v>
      </c>
      <c r="C1222" s="103">
        <f>MAX(E1222,$C$837)</f>
        <v>2000</v>
      </c>
      <c r="D1222" s="103" t="b">
        <f>IF(AND('AES Indiana Bill Calc.'!$D$17="HL4",'AES Indiana Bill Calc.'!$D$18="Yes 100%",'AES Indiana Bill Calc.'!$D$20="Yes 2019"),'AES Indiana Bill Calc.'!$D$22)</f>
        <v>0</v>
      </c>
      <c r="E1222" s="103" t="b">
        <f>IF(AND('AES Indiana Bill Calc.'!$D$17="HL4",'AES Indiana Bill Calc.'!$D$18="Yes 100%",'AES Indiana Bill Calc.'!$D$20="Yes 2019"),'AES Indiana Bill Calc.'!$D$21)</f>
        <v>0</v>
      </c>
      <c r="F1222" s="36" t="s">
        <v>257</v>
      </c>
      <c r="G1222" s="92" t="e">
        <f>SUM(J1222:M1222,R1222:AA1222)</f>
        <v>#N/A</v>
      </c>
      <c r="H1222" s="19" t="e">
        <f>IF(ISBLANK(B1222),0,+#REF!/B1222)</f>
        <v>#REF!</v>
      </c>
      <c r="J1222" s="51">
        <f>IF(ISBLANK(B1222),0,+J$1071)</f>
        <v>500</v>
      </c>
      <c r="K1222" s="17">
        <f>ROUND($B1222*K$1187,2)</f>
        <v>-0.06</v>
      </c>
      <c r="L1222" s="17">
        <f>IF(ISBLANK($C1222),0,IF($C1222&lt;$C$1072,ROUND($C$1072*$L$1187,2),IF($C1222&gt;L$1188,ROUND(L$1188*L$1187,2),ROUND($C1222*L$1187,2))))</f>
        <v>30120</v>
      </c>
      <c r="M1222" s="17">
        <f>IF($C1222&gt;L$957,ROUND(($C1222-L$957)*M$956,2),0)</f>
        <v>0</v>
      </c>
      <c r="N1222" s="17">
        <f>K1222</f>
        <v>-0.06</v>
      </c>
      <c r="O1222" s="17"/>
      <c r="P1222" s="17"/>
      <c r="Q1222" s="17">
        <f>SUM(L1222:M1222)</f>
        <v>30120</v>
      </c>
      <c r="R1222" s="16" t="e">
        <f>ROUND(SUM(K1222:M1222)*(R1221-1),2)</f>
        <v>#N/A</v>
      </c>
      <c r="S1222" s="17">
        <f>ROUND($B1222*S$1071*S1221,2)</f>
        <v>0</v>
      </c>
      <c r="T1222" s="17">
        <f>ROUND($B1222*T$1187,2)</f>
        <v>0</v>
      </c>
      <c r="U1222" s="17">
        <f>ROUND($B1222*U$1187,2)</f>
        <v>0</v>
      </c>
      <c r="V1222" s="17">
        <f>ROUND($B1222*V$1064,2)</f>
        <v>0</v>
      </c>
      <c r="W1222" s="17">
        <f>ROUND($B1222*W$1187,2)</f>
        <v>0</v>
      </c>
      <c r="X1222" s="17">
        <f>ROUND($B1222*X$1187,2)</f>
        <v>-0.01</v>
      </c>
      <c r="Y1222" s="17">
        <f>ROUND($B1222*Y$1187,2)</f>
        <v>0</v>
      </c>
      <c r="Z1222" s="17">
        <f>ROUND($B1222*Z$1187,2)</f>
        <v>0</v>
      </c>
      <c r="AA1222" s="17">
        <f>ROUND($B1222*AA$1187,2)</f>
        <v>0</v>
      </c>
      <c r="AB1222" s="19">
        <f>SUM(V1154:AA1154)</f>
        <v>-0.01</v>
      </c>
      <c r="AC1222" s="67" t="str">
        <f>+F1222</f>
        <v>HL49</v>
      </c>
    </row>
    <row r="1223" spans="1:29" x14ac:dyDescent="0.2">
      <c r="A1223" s="48"/>
      <c r="B1223" s="103">
        <v>-1</v>
      </c>
      <c r="D1223" s="8"/>
      <c r="E1223" s="9"/>
      <c r="F1223" s="36"/>
      <c r="G1223" s="17"/>
      <c r="H1223" s="19"/>
      <c r="J1223" s="8"/>
      <c r="K1223" s="17"/>
      <c r="L1223" s="17"/>
      <c r="M1223" s="17"/>
      <c r="N1223" s="17"/>
      <c r="O1223" s="17"/>
      <c r="P1223" s="17"/>
      <c r="Q1223" s="17"/>
      <c r="R1223" s="38" t="e">
        <f>VLOOKUP((D1224),'Pwr Factor'!$A$1:$B$52,2)</f>
        <v>#N/A</v>
      </c>
      <c r="S1223" s="50">
        <v>0.5</v>
      </c>
      <c r="T1223" s="17"/>
      <c r="U1223" s="17"/>
      <c r="V1223" s="17"/>
      <c r="W1223" s="17"/>
      <c r="X1223" s="17"/>
      <c r="Y1223" s="17"/>
      <c r="Z1223" s="17"/>
      <c r="AA1223" s="17"/>
    </row>
    <row r="1224" spans="1:29" x14ac:dyDescent="0.2">
      <c r="A1224" s="1" t="s">
        <v>149</v>
      </c>
      <c r="B1224" s="103">
        <f>IF(AND('AES Indiana Bill Calc.'!$D$17="HL4",'AES Indiana Bill Calc.'!$D$18="Yes 50%",'AES Indiana Bill Calc.'!$D$20="Yes 2019"),'AES Indiana Bill Calc.'!$D$19,-1)</f>
        <v>-1</v>
      </c>
      <c r="C1224" s="103">
        <f>MAX(E1224,$C$837)</f>
        <v>2000</v>
      </c>
      <c r="D1224" s="103" t="b">
        <f>IF(AND('AES Indiana Bill Calc.'!$D$17="HL4",'AES Indiana Bill Calc.'!$D$18="Yes 50%",'AES Indiana Bill Calc.'!$D$20="Yes 2019"),'AES Indiana Bill Calc.'!$D$22)</f>
        <v>0</v>
      </c>
      <c r="E1224" s="103" t="b">
        <f>IF(AND('AES Indiana Bill Calc.'!$D$17="HL4",'AES Indiana Bill Calc.'!$D$18="Yes 50%",'AES Indiana Bill Calc.'!$D$20="Yes 2019"),'AES Indiana Bill Calc.'!$D$21)</f>
        <v>0</v>
      </c>
      <c r="F1224" s="36" t="s">
        <v>257</v>
      </c>
      <c r="G1224" s="92" t="e">
        <f>SUM(J1224:M1224,R1224:AA1224)</f>
        <v>#N/A</v>
      </c>
      <c r="H1224" s="19" t="e">
        <f>IF(ISBLANK(B1224),0,+#REF!/B1224)</f>
        <v>#REF!</v>
      </c>
      <c r="J1224" s="51">
        <f>IF(ISBLANK(B1224),0,+J$1071)</f>
        <v>500</v>
      </c>
      <c r="K1224" s="17">
        <f>ROUND($B1224*K$1187,2)</f>
        <v>-0.06</v>
      </c>
      <c r="L1224" s="17">
        <f>IF(ISBLANK($C1224),0,IF($C1224&lt;$C$1072,ROUND($C$1072*$L$1187,2),IF($C1224&gt;L$1188,ROUND(L$1188*L$1187,2),ROUND($C1224*L$1187,2))))</f>
        <v>30120</v>
      </c>
      <c r="M1224" s="17">
        <f>IF($C1224&gt;L$957,ROUND(($C1224-L$957)*M$956,2),0)</f>
        <v>0</v>
      </c>
      <c r="N1224" s="17">
        <f>K1224</f>
        <v>-0.06</v>
      </c>
      <c r="O1224" s="17"/>
      <c r="P1224" s="17"/>
      <c r="Q1224" s="17">
        <f>SUM(L1224:M1224)</f>
        <v>30120</v>
      </c>
      <c r="R1224" s="16" t="e">
        <f>ROUND(SUM(K1224:M1224)*(R1223-1),2)</f>
        <v>#N/A</v>
      </c>
      <c r="S1224" s="17">
        <f>ROUND($B1224*S$1071*S1223,2)</f>
        <v>0</v>
      </c>
      <c r="T1224" s="17">
        <f>ROUND($B1224*T$1187,2)</f>
        <v>0</v>
      </c>
      <c r="U1224" s="17">
        <f>ROUND($B1224*U$1187,2)</f>
        <v>0</v>
      </c>
      <c r="V1224" s="17">
        <f>ROUND($B1224*V$1064,2)</f>
        <v>0</v>
      </c>
      <c r="W1224" s="17">
        <f>ROUND($B1224*W$1187,2)</f>
        <v>0</v>
      </c>
      <c r="X1224" s="17">
        <f>ROUND($B1224*X$1187,2)</f>
        <v>-0.01</v>
      </c>
      <c r="Y1224" s="17">
        <f>ROUND($B1224*Y$1187,2)</f>
        <v>0</v>
      </c>
      <c r="Z1224" s="17">
        <f>ROUND($B1224*Z$1187,2)</f>
        <v>0</v>
      </c>
      <c r="AA1224" s="17">
        <f>ROUND($B1224*AA$1187,2)</f>
        <v>0</v>
      </c>
      <c r="AB1224" s="19">
        <f>SUM(V1187:AA1187)</f>
        <v>1.0667999999999999E-2</v>
      </c>
      <c r="AC1224" s="67" t="str">
        <f>+F1224</f>
        <v>HL49</v>
      </c>
    </row>
    <row r="1225" spans="1:29" x14ac:dyDescent="0.2">
      <c r="A1225" s="9"/>
      <c r="B1225" s="103">
        <v>-1</v>
      </c>
      <c r="D1225" s="8"/>
      <c r="E1225" s="9"/>
      <c r="F1225" s="36"/>
      <c r="G1225" s="17"/>
      <c r="H1225" s="19"/>
      <c r="J1225" s="8"/>
      <c r="K1225" s="17"/>
      <c r="L1225" s="17"/>
      <c r="M1225" s="17"/>
      <c r="N1225" s="17"/>
      <c r="O1225" s="17"/>
      <c r="P1225" s="17"/>
      <c r="Q1225" s="17"/>
      <c r="R1225" s="38" t="e">
        <f>VLOOKUP((D1226),'Pwr Factor'!$A$1:$B$52,2)</f>
        <v>#N/A</v>
      </c>
      <c r="S1225" s="50">
        <v>0.25</v>
      </c>
      <c r="T1225" s="17"/>
      <c r="U1225" s="17"/>
      <c r="V1225" s="17"/>
      <c r="W1225" s="17"/>
      <c r="X1225" s="17"/>
      <c r="Y1225" s="17"/>
      <c r="Z1225" s="17"/>
      <c r="AA1225" s="17"/>
    </row>
    <row r="1226" spans="1:29" x14ac:dyDescent="0.2">
      <c r="A1226" s="1" t="s">
        <v>150</v>
      </c>
      <c r="B1226" s="103">
        <f>IF(AND('AES Indiana Bill Calc.'!$D$17="HL4",'AES Indiana Bill Calc.'!$D$18="Yes 25%",'AES Indiana Bill Calc.'!$D$20="Yes 2019"),'AES Indiana Bill Calc.'!$D$19,-1)</f>
        <v>-1</v>
      </c>
      <c r="C1226" s="103">
        <f>MAX(E1226,$C$837)</f>
        <v>2000</v>
      </c>
      <c r="D1226" s="103" t="b">
        <f>IF(AND('AES Indiana Bill Calc.'!$D$17="HL4",'AES Indiana Bill Calc.'!$D$18="Yes 25%",'AES Indiana Bill Calc.'!$D$20="Yes 2019"),'AES Indiana Bill Calc.'!$D$22)</f>
        <v>0</v>
      </c>
      <c r="E1226" s="103" t="b">
        <f>IF(AND('AES Indiana Bill Calc.'!$D$17="HL4",'AES Indiana Bill Calc.'!$D$18="Yes 25%",'AES Indiana Bill Calc.'!$D$20="Yes 2019"),'AES Indiana Bill Calc.'!$D$21)</f>
        <v>0</v>
      </c>
      <c r="F1226" s="36" t="s">
        <v>257</v>
      </c>
      <c r="G1226" s="92" t="e">
        <f>SUM(J1226:M1226,R1226:AA1226)</f>
        <v>#N/A</v>
      </c>
      <c r="H1226" s="19" t="e">
        <f>IF(ISBLANK(B1226),0,+#REF!/B1226)</f>
        <v>#REF!</v>
      </c>
      <c r="J1226" s="51">
        <f>IF(ISBLANK(B1226),0,+J$1071)</f>
        <v>500</v>
      </c>
      <c r="K1226" s="17">
        <f>ROUND($B1226*K$1187,2)</f>
        <v>-0.06</v>
      </c>
      <c r="L1226" s="17">
        <f>IF(ISBLANK($C1226),0,IF($C1226&lt;$C$1072,ROUND($C$1072*$L$1187,2),IF($C1226&gt;L$1188,ROUND(L$1188*L$1187,2),ROUND($C1226*L$1187,2))))</f>
        <v>30120</v>
      </c>
      <c r="M1226" s="17">
        <f>IF($C1226&gt;L$957,ROUND(($C1226-L$957)*M$956,2),0)</f>
        <v>0</v>
      </c>
      <c r="N1226" s="17">
        <f>K1226</f>
        <v>-0.06</v>
      </c>
      <c r="O1226" s="17"/>
      <c r="P1226" s="17"/>
      <c r="Q1226" s="17">
        <f>SUM(L1226:M1226)</f>
        <v>30120</v>
      </c>
      <c r="R1226" s="16" t="e">
        <f>ROUND(SUM(K1226:M1226)*(R1225-1),2)</f>
        <v>#N/A</v>
      </c>
      <c r="S1226" s="17">
        <f>ROUND($B1226*S$1071*S1225,2)</f>
        <v>0</v>
      </c>
      <c r="T1226" s="17">
        <f>ROUND($B1226*T$1187,2)</f>
        <v>0</v>
      </c>
      <c r="U1226" s="17">
        <f>ROUND($B1226*U$1187,2)</f>
        <v>0</v>
      </c>
      <c r="V1226" s="17">
        <f>ROUND($B1226*V$1064,2)</f>
        <v>0</v>
      </c>
      <c r="W1226" s="17">
        <f>ROUND($B1226*W$1187,2)</f>
        <v>0</v>
      </c>
      <c r="X1226" s="17">
        <f>ROUND($B1226*X$1187,2)</f>
        <v>-0.01</v>
      </c>
      <c r="Y1226" s="17">
        <f>ROUND($B1226*Y$1187,2)</f>
        <v>0</v>
      </c>
      <c r="Z1226" s="17">
        <f>ROUND($B1226*Z$1187,2)</f>
        <v>0</v>
      </c>
      <c r="AA1226" s="17">
        <f>ROUND($B1226*AA$1187,2)</f>
        <v>0</v>
      </c>
      <c r="AB1226" s="19">
        <f>SUM(V1189:AA1189)</f>
        <v>130</v>
      </c>
      <c r="AC1226" s="67" t="str">
        <f>+F1226</f>
        <v>HL49</v>
      </c>
    </row>
    <row r="1227" spans="1:29" x14ac:dyDescent="0.2">
      <c r="A1227" s="9"/>
      <c r="B1227" s="103">
        <v>-1</v>
      </c>
      <c r="D1227" s="8"/>
      <c r="E1227" s="9"/>
      <c r="F1227" s="36"/>
      <c r="G1227" s="17"/>
      <c r="H1227" s="19"/>
      <c r="J1227" s="8"/>
      <c r="K1227" s="17"/>
      <c r="L1227" s="17"/>
      <c r="M1227" s="17"/>
      <c r="N1227" s="17"/>
      <c r="O1227" s="17"/>
      <c r="P1227" s="17"/>
      <c r="Q1227" s="17"/>
      <c r="R1227" s="38" t="e">
        <f>VLOOKUP((D1228),'Pwr Factor'!$A$1:$B$52,2)</f>
        <v>#N/A</v>
      </c>
      <c r="S1227" s="50">
        <v>0.1</v>
      </c>
      <c r="T1227" s="17"/>
      <c r="U1227" s="17"/>
      <c r="V1227" s="17"/>
      <c r="W1227" s="17"/>
      <c r="X1227" s="17"/>
      <c r="Y1227" s="17"/>
      <c r="Z1227" s="17"/>
      <c r="AA1227" s="17"/>
    </row>
    <row r="1228" spans="1:29" x14ac:dyDescent="0.2">
      <c r="A1228" s="1" t="s">
        <v>164</v>
      </c>
      <c r="B1228" s="103">
        <f>IF(AND('AES Indiana Bill Calc.'!$D$17="HL4",'AES Indiana Bill Calc.'!$D$18="Yes 10%",'AES Indiana Bill Calc.'!$D$20="Yes 2019"),'AES Indiana Bill Calc.'!$D$19,-1)</f>
        <v>-1</v>
      </c>
      <c r="C1228" s="103">
        <f>MAX(E1228,$C$837)</f>
        <v>2000</v>
      </c>
      <c r="D1228" s="103" t="b">
        <f>IF(AND('AES Indiana Bill Calc.'!$D$17="HL4",'AES Indiana Bill Calc.'!$D$18="Yes 10%",'AES Indiana Bill Calc.'!$D$20="Yes 2019"),'AES Indiana Bill Calc.'!$D$22)</f>
        <v>0</v>
      </c>
      <c r="E1228" s="103" t="b">
        <f>IF(AND('AES Indiana Bill Calc.'!$D$17="HL4",'AES Indiana Bill Calc.'!$D$18="Yes 10%",'AES Indiana Bill Calc.'!$D$20="Yes 2019"),'AES Indiana Bill Calc.'!$D$21)</f>
        <v>0</v>
      </c>
      <c r="F1228" s="36" t="s">
        <v>257</v>
      </c>
      <c r="G1228" s="92" t="e">
        <f>SUM(J1228:M1228,R1228:AA1228)</f>
        <v>#N/A</v>
      </c>
      <c r="H1228" s="19" t="e">
        <f>IF(ISBLANK(B1228),0,+#REF!/B1228)</f>
        <v>#REF!</v>
      </c>
      <c r="J1228" s="51">
        <f>IF(ISBLANK(B1228),0,+J$1071)</f>
        <v>500</v>
      </c>
      <c r="K1228" s="17">
        <f>ROUND($B1228*K$1187,2)</f>
        <v>-0.06</v>
      </c>
      <c r="L1228" s="17">
        <f>IF(ISBLANK($C1228),0,IF($C1228&lt;$C$1072,ROUND($C$1072*$L$1187,2),IF($C1228&gt;L$1188,ROUND(L$1188*L$1187,2),ROUND($C1228*L$1187,2))))</f>
        <v>30120</v>
      </c>
      <c r="M1228" s="17">
        <f>IF($C1228&gt;L$957,ROUND(($C1228-L$957)*M$956,2),0)</f>
        <v>0</v>
      </c>
      <c r="N1228" s="17">
        <f>K1228</f>
        <v>-0.06</v>
      </c>
      <c r="O1228" s="17"/>
      <c r="P1228" s="17"/>
      <c r="Q1228" s="17">
        <f>SUM(L1228:M1228)</f>
        <v>30120</v>
      </c>
      <c r="R1228" s="16" t="e">
        <f>ROUND(SUM(K1228:M1228)*(R1227-1),2)</f>
        <v>#N/A</v>
      </c>
      <c r="S1228" s="17">
        <f>ROUND($B1228*S$1071*S1227,2)</f>
        <v>0</v>
      </c>
      <c r="T1228" s="17">
        <f>ROUND($B1228*T$1187,2)</f>
        <v>0</v>
      </c>
      <c r="U1228" s="17">
        <f>ROUND($B1228*U$1187,2)</f>
        <v>0</v>
      </c>
      <c r="V1228" s="17">
        <f>ROUND($B1228*V$1064,2)</f>
        <v>0</v>
      </c>
      <c r="W1228" s="17">
        <f>ROUND($B1228*W$1187,2)</f>
        <v>0</v>
      </c>
      <c r="X1228" s="17">
        <f>ROUND($B1228*X$1187,2)</f>
        <v>-0.01</v>
      </c>
      <c r="Y1228" s="17">
        <f>ROUND($B1228*Y$1187,2)</f>
        <v>0</v>
      </c>
      <c r="Z1228" s="17">
        <f>ROUND($B1228*Z$1187,2)</f>
        <v>0</v>
      </c>
      <c r="AA1228" s="17">
        <f>ROUND($B1228*AA$1187,2)</f>
        <v>0</v>
      </c>
      <c r="AB1228" s="19">
        <f>SUM(V1191:AA1191)</f>
        <v>0</v>
      </c>
      <c r="AC1228" s="67" t="str">
        <f>+F1228</f>
        <v>HL49</v>
      </c>
    </row>
    <row r="1229" spans="1:29" x14ac:dyDescent="0.2">
      <c r="A1229" s="9"/>
      <c r="B1229" s="103">
        <v>-1</v>
      </c>
      <c r="D1229" s="8"/>
      <c r="E1229" s="9"/>
      <c r="F1229" s="36"/>
      <c r="G1229" s="17"/>
      <c r="H1229" s="19"/>
      <c r="J1229" s="8"/>
      <c r="K1229" s="17"/>
      <c r="L1229" s="17"/>
      <c r="M1229" s="17"/>
      <c r="N1229" s="17"/>
      <c r="O1229" s="17"/>
      <c r="P1229" s="17"/>
      <c r="Q1229" s="17"/>
      <c r="R1229" s="38" t="e">
        <f>VLOOKUP((D1230),'Pwr Factor'!$A$1:$B$52,2)</f>
        <v>#N/A</v>
      </c>
      <c r="S1229" s="50">
        <v>0</v>
      </c>
      <c r="T1229" s="17"/>
      <c r="U1229" s="17"/>
      <c r="V1229" s="17"/>
      <c r="W1229" s="17"/>
      <c r="X1229" s="17"/>
      <c r="Y1229" s="17"/>
      <c r="Z1229" s="17"/>
      <c r="AA1229" s="17"/>
    </row>
    <row r="1230" spans="1:29" x14ac:dyDescent="0.2">
      <c r="A1230" s="1" t="s">
        <v>147</v>
      </c>
      <c r="B1230" s="103">
        <f>IF(AND('AES Indiana Bill Calc.'!$D$17="HL4",'AES Indiana Bill Calc.'!$D$18="No",'AES Indiana Bill Calc.'!$D$20="Yes 2019"),'AES Indiana Bill Calc.'!$D$19,-1)</f>
        <v>-1</v>
      </c>
      <c r="C1230" s="103">
        <f>MAX(E1230,$C$837)</f>
        <v>2000</v>
      </c>
      <c r="D1230" s="103" t="b">
        <f>IF(AND('AES Indiana Bill Calc.'!$D$17="HL4",'AES Indiana Bill Calc.'!$D$18="No",'AES Indiana Bill Calc.'!$D$20="Yes 2019"),'AES Indiana Bill Calc.'!$D$22)</f>
        <v>0</v>
      </c>
      <c r="E1230" s="103" t="b">
        <f>IF(AND('AES Indiana Bill Calc.'!$D$17="HL4",'AES Indiana Bill Calc.'!$D$18="No",'AES Indiana Bill Calc.'!$D$20="Yes 2019"),'AES Indiana Bill Calc.'!$D$21)</f>
        <v>0</v>
      </c>
      <c r="F1230" s="36" t="s">
        <v>257</v>
      </c>
      <c r="G1230" s="92" t="e">
        <f>SUM(J1230:M1230,R1230:AA1230)</f>
        <v>#N/A</v>
      </c>
      <c r="H1230" s="19" t="e">
        <f>IF(ISBLANK(B1230),0,+#REF!/B1230)</f>
        <v>#REF!</v>
      </c>
      <c r="J1230" s="51">
        <f>IF(ISBLANK(B1230),0,+J$1071)</f>
        <v>500</v>
      </c>
      <c r="K1230" s="17">
        <f>ROUND($B1230*K$1187,2)</f>
        <v>-0.06</v>
      </c>
      <c r="L1230" s="17">
        <f>IF(ISBLANK($C1230),0,IF($C1230&lt;$C$1072,ROUND($C$1072*$L$1187,2),IF($C1230&gt;L$1188,ROUND(L$1188*L$1187,2),ROUND($C1230*L$1187,2))))</f>
        <v>30120</v>
      </c>
      <c r="M1230" s="17">
        <f>IF($C1230&gt;L$957,ROUND(($C1230-L$957)*M$956,2),0)</f>
        <v>0</v>
      </c>
      <c r="N1230" s="17">
        <f>K1230</f>
        <v>-0.06</v>
      </c>
      <c r="O1230" s="17"/>
      <c r="P1230" s="17"/>
      <c r="Q1230" s="17">
        <f>SUM(L1230:M1230)</f>
        <v>30120</v>
      </c>
      <c r="R1230" s="16" t="e">
        <f>ROUND(SUM(K1230:M1230)*(R1229-1),2)</f>
        <v>#N/A</v>
      </c>
      <c r="S1230" s="17">
        <f>ROUND($B1230*S$1071*S1229,2)</f>
        <v>0</v>
      </c>
      <c r="T1230" s="17">
        <f>ROUND($B1230*T$1187,2)</f>
        <v>0</v>
      </c>
      <c r="U1230" s="17">
        <f>ROUND($B1230*U$1187,2)</f>
        <v>0</v>
      </c>
      <c r="V1230" s="17">
        <f>ROUND($B1230*V$1064,2)</f>
        <v>0</v>
      </c>
      <c r="W1230" s="17">
        <f>ROUND($B1230*W$1187,2)</f>
        <v>0</v>
      </c>
      <c r="X1230" s="17">
        <f>ROUND($B1230*X$1187,2)</f>
        <v>-0.01</v>
      </c>
      <c r="Y1230" s="17">
        <f>ROUND($B1230*Y$1187,2)</f>
        <v>0</v>
      </c>
      <c r="Z1230" s="17">
        <f>ROUND($B1230*Z$1187,2)</f>
        <v>0</v>
      </c>
      <c r="AA1230" s="17">
        <f>ROUND($B1230*AA$1187,2)</f>
        <v>0</v>
      </c>
      <c r="AB1230" s="19">
        <f>SUM(V1193:AA1193)</f>
        <v>0</v>
      </c>
      <c r="AC1230" s="67" t="str">
        <f>+F1230</f>
        <v>HL49</v>
      </c>
    </row>
    <row r="1231" spans="1:29" x14ac:dyDescent="0.2">
      <c r="B1231" s="103">
        <v>-1</v>
      </c>
      <c r="D1231" s="8"/>
      <c r="E1231" s="9"/>
      <c r="F1231" s="36"/>
      <c r="G1231" s="17"/>
      <c r="H1231" s="19"/>
      <c r="J1231" s="8"/>
      <c r="K1231" s="17"/>
      <c r="L1231" s="17"/>
      <c r="M1231" s="17"/>
      <c r="N1231" s="17"/>
      <c r="O1231" s="17"/>
      <c r="P1231" s="17"/>
      <c r="Q1231" s="17"/>
      <c r="R1231" s="38" t="e">
        <f>VLOOKUP((D1232),'Pwr Factor'!$A$1:$B$52,2)</f>
        <v>#N/A</v>
      </c>
      <c r="S1231" s="50">
        <v>1</v>
      </c>
      <c r="T1231" s="17"/>
      <c r="U1231" s="17"/>
      <c r="V1231" s="17"/>
      <c r="W1231" s="17"/>
      <c r="X1231" s="17"/>
      <c r="Y1231" s="17"/>
      <c r="Z1231" s="17"/>
      <c r="AA1231" s="17"/>
    </row>
    <row r="1232" spans="1:29" x14ac:dyDescent="0.2">
      <c r="A1232" s="1" t="s">
        <v>148</v>
      </c>
      <c r="B1232" s="103">
        <f>IF(AND('AES Indiana Bill Calc.'!$D$17="HL4",'AES Indiana Bill Calc.'!$D$18="Yes 100%",'AES Indiana Bill Calc.'!$D$20="Yes 2020"),'AES Indiana Bill Calc.'!$D$19,-1)</f>
        <v>-1</v>
      </c>
      <c r="C1232" s="103">
        <f>MAX(E1232,$C$837)</f>
        <v>2000</v>
      </c>
      <c r="D1232" s="103" t="b">
        <f>IF(AND('AES Indiana Bill Calc.'!$D$17="HL4",'AES Indiana Bill Calc.'!$D$18="Yes 100%",'AES Indiana Bill Calc.'!$D$20="Yes 2020"),'AES Indiana Bill Calc.'!$D$22)</f>
        <v>0</v>
      </c>
      <c r="E1232" s="103" t="b">
        <f>IF(AND('AES Indiana Bill Calc.'!$D$17="HL4",'AES Indiana Bill Calc.'!$D$18="Yes 100%",'AES Indiana Bill Calc.'!$D$20="Yes 2020"),'AES Indiana Bill Calc.'!$D$21)</f>
        <v>0</v>
      </c>
      <c r="F1232" s="36" t="s">
        <v>258</v>
      </c>
      <c r="G1232" s="92" t="e">
        <f>SUM(J1232:M1232,R1232:AA1232)</f>
        <v>#N/A</v>
      </c>
      <c r="H1232" s="19" t="e">
        <f>IF(ISBLANK(B1232),0,+#REF!/B1232)</f>
        <v>#REF!</v>
      </c>
      <c r="J1232" s="51">
        <f>IF(ISBLANK(B1232),0,+J$1071)</f>
        <v>500</v>
      </c>
      <c r="K1232" s="17">
        <f>ROUND($B1232*K$1187,2)</f>
        <v>-0.06</v>
      </c>
      <c r="L1232" s="17">
        <f>IF(ISBLANK($C1232),0,IF($C1232&lt;$C$1072,ROUND($C$1072*$L$1187,2),IF($C1232&gt;L$1188,ROUND(L$1188*L$1187,2),ROUND($C1232*L$1187,2))))</f>
        <v>30120</v>
      </c>
      <c r="M1232" s="17">
        <f>IF($C1232&gt;L$957,ROUND(($C1232-L$957)*M$956,2),0)</f>
        <v>0</v>
      </c>
      <c r="N1232" s="17">
        <f>K1232</f>
        <v>-0.06</v>
      </c>
      <c r="O1232" s="17"/>
      <c r="P1232" s="17"/>
      <c r="Q1232" s="17">
        <f>SUM(L1232:M1232)</f>
        <v>30120</v>
      </c>
      <c r="R1232" s="16" t="e">
        <f>ROUND(SUM(K1232:M1232)*(R1231-1),2)</f>
        <v>#N/A</v>
      </c>
      <c r="S1232" s="17">
        <f>ROUND($B1232*S$1071*S1231,2)</f>
        <v>0</v>
      </c>
      <c r="T1232" s="17">
        <f>ROUND($B1232*T$1187,2)</f>
        <v>0</v>
      </c>
      <c r="U1232" s="17">
        <f>ROUND($B1232*U$1187,2)</f>
        <v>0</v>
      </c>
      <c r="V1232" s="17">
        <f>ROUND($B1232*V$1065,2)</f>
        <v>0</v>
      </c>
      <c r="W1232" s="17">
        <f>ROUND($B1232*W$1187,2)</f>
        <v>0</v>
      </c>
      <c r="X1232" s="17">
        <f>ROUND($B1232*X$1187,2)</f>
        <v>-0.01</v>
      </c>
      <c r="Y1232" s="17">
        <f>ROUND($B1232*Y$1187,2)</f>
        <v>0</v>
      </c>
      <c r="Z1232" s="17">
        <f>ROUND($B1232*Z$1187,2)</f>
        <v>0</v>
      </c>
      <c r="AA1232" s="17">
        <f>ROUND($B1232*AA$1187,2)</f>
        <v>0</v>
      </c>
      <c r="AB1232" s="19">
        <f>SUM(V1195:AA1195)</f>
        <v>0</v>
      </c>
      <c r="AC1232" s="67" t="str">
        <f>+F1232</f>
        <v>HL40</v>
      </c>
    </row>
    <row r="1233" spans="1:29" x14ac:dyDescent="0.2">
      <c r="A1233" s="48"/>
      <c r="B1233" s="103">
        <v>-1</v>
      </c>
      <c r="D1233" s="8"/>
      <c r="E1233" s="9"/>
      <c r="F1233" s="36"/>
      <c r="G1233" s="17"/>
      <c r="H1233" s="19"/>
      <c r="J1233" s="8"/>
      <c r="K1233" s="17"/>
      <c r="L1233" s="17"/>
      <c r="M1233" s="17"/>
      <c r="N1233" s="17"/>
      <c r="O1233" s="17"/>
      <c r="P1233" s="17"/>
      <c r="Q1233" s="17"/>
      <c r="R1233" s="38" t="e">
        <f>VLOOKUP((D1234),'Pwr Factor'!$A$1:$B$52,2)</f>
        <v>#N/A</v>
      </c>
      <c r="S1233" s="50">
        <v>0.5</v>
      </c>
      <c r="T1233" s="17"/>
      <c r="U1233" s="17"/>
      <c r="V1233" s="17"/>
      <c r="W1233" s="17"/>
      <c r="X1233" s="17"/>
      <c r="Y1233" s="17"/>
      <c r="Z1233" s="17"/>
      <c r="AA1233" s="17"/>
    </row>
    <row r="1234" spans="1:29" x14ac:dyDescent="0.2">
      <c r="A1234" s="1" t="s">
        <v>149</v>
      </c>
      <c r="B1234" s="103">
        <f>IF(AND('AES Indiana Bill Calc.'!$D$17="HL4",'AES Indiana Bill Calc.'!$D$18="Yes 50%",'AES Indiana Bill Calc.'!$D$20="Yes 2020"),'AES Indiana Bill Calc.'!$D$19,-1)</f>
        <v>-1</v>
      </c>
      <c r="C1234" s="103">
        <f>MAX(E1234,$C$837)</f>
        <v>2000</v>
      </c>
      <c r="D1234" s="103" t="b">
        <f>IF(AND('AES Indiana Bill Calc.'!$D$17="HL4",'AES Indiana Bill Calc.'!$D$18="Yes 50%",'AES Indiana Bill Calc.'!$D$20="Yes 2020"),'AES Indiana Bill Calc.'!$D$22)</f>
        <v>0</v>
      </c>
      <c r="E1234" s="103" t="b">
        <f>IF(AND('AES Indiana Bill Calc.'!$D$17="HL4",'AES Indiana Bill Calc.'!$D$18="Yes 50%",'AES Indiana Bill Calc.'!$D$20="Yes 2020"),'AES Indiana Bill Calc.'!$D$21)</f>
        <v>0</v>
      </c>
      <c r="F1234" s="36" t="s">
        <v>258</v>
      </c>
      <c r="G1234" s="92" t="e">
        <f>SUM(J1234:M1234,R1234:AA1234)</f>
        <v>#N/A</v>
      </c>
      <c r="H1234" s="19" t="e">
        <f>IF(ISBLANK(B1234),0,+#REF!/B1234)</f>
        <v>#REF!</v>
      </c>
      <c r="J1234" s="51">
        <f>IF(ISBLANK(B1234),0,+J$1071)</f>
        <v>500</v>
      </c>
      <c r="K1234" s="17">
        <f>ROUND($B1234*K$1187,2)</f>
        <v>-0.06</v>
      </c>
      <c r="L1234" s="17">
        <f>IF(ISBLANK($C1234),0,IF($C1234&lt;$C$1072,ROUND($C$1072*$L$1187,2),IF($C1234&gt;L$1188,ROUND(L$1188*L$1187,2),ROUND($C1234*L$1187,2))))</f>
        <v>30120</v>
      </c>
      <c r="M1234" s="17">
        <f>IF($C1234&gt;L$957,ROUND(($C1234-L$957)*M$956,2),0)</f>
        <v>0</v>
      </c>
      <c r="N1234" s="17">
        <f>K1234</f>
        <v>-0.06</v>
      </c>
      <c r="O1234" s="17"/>
      <c r="P1234" s="17"/>
      <c r="Q1234" s="17">
        <f>SUM(L1234:M1234)</f>
        <v>30120</v>
      </c>
      <c r="R1234" s="16" t="e">
        <f>ROUND(SUM(K1234:M1234)*(R1233-1),2)</f>
        <v>#N/A</v>
      </c>
      <c r="S1234" s="17">
        <f>ROUND($B1234*S$1071*S1233,2)</f>
        <v>0</v>
      </c>
      <c r="T1234" s="17">
        <f>ROUND($B1234*T$1187,2)</f>
        <v>0</v>
      </c>
      <c r="U1234" s="17">
        <f>ROUND($B1234*U$1187,2)</f>
        <v>0</v>
      </c>
      <c r="V1234" s="17">
        <f>ROUND($B1234*V$1065,2)</f>
        <v>0</v>
      </c>
      <c r="W1234" s="17">
        <f>ROUND($B1234*W$1187,2)</f>
        <v>0</v>
      </c>
      <c r="X1234" s="17">
        <f>ROUND($B1234*X$1187,2)</f>
        <v>-0.01</v>
      </c>
      <c r="Y1234" s="17">
        <f>ROUND($B1234*Y$1187,2)</f>
        <v>0</v>
      </c>
      <c r="Z1234" s="17">
        <f>ROUND($B1234*Z$1187,2)</f>
        <v>0</v>
      </c>
      <c r="AA1234" s="17">
        <f>ROUND($B1234*AA$1187,2)</f>
        <v>0</v>
      </c>
      <c r="AB1234" s="19">
        <f>SUM(V1197:AA1197)</f>
        <v>0</v>
      </c>
      <c r="AC1234" s="67" t="str">
        <f>+F1234</f>
        <v>HL40</v>
      </c>
    </row>
    <row r="1235" spans="1:29" x14ac:dyDescent="0.2">
      <c r="A1235" s="9"/>
      <c r="B1235" s="103">
        <v>-1</v>
      </c>
      <c r="D1235" s="8"/>
      <c r="E1235" s="9"/>
      <c r="F1235" s="36"/>
      <c r="G1235" s="17"/>
      <c r="H1235" s="19"/>
      <c r="J1235" s="8"/>
      <c r="K1235" s="17"/>
      <c r="L1235" s="17"/>
      <c r="M1235" s="17"/>
      <c r="N1235" s="17"/>
      <c r="O1235" s="17"/>
      <c r="P1235" s="17"/>
      <c r="Q1235" s="17"/>
      <c r="R1235" s="38" t="e">
        <f>VLOOKUP((D1236),'Pwr Factor'!$A$1:$B$52,2)</f>
        <v>#N/A</v>
      </c>
      <c r="S1235" s="50">
        <v>0.25</v>
      </c>
      <c r="T1235" s="17"/>
      <c r="U1235" s="17"/>
      <c r="V1235" s="17"/>
      <c r="W1235" s="17"/>
      <c r="X1235" s="17"/>
      <c r="Y1235" s="17"/>
      <c r="Z1235" s="17"/>
      <c r="AA1235" s="17"/>
    </row>
    <row r="1236" spans="1:29" x14ac:dyDescent="0.2">
      <c r="A1236" s="1" t="s">
        <v>150</v>
      </c>
      <c r="B1236" s="103">
        <f>IF(AND('AES Indiana Bill Calc.'!$D$17="HL4",'AES Indiana Bill Calc.'!$D$18="Yes 25%",'AES Indiana Bill Calc.'!$D$20="Yes 2020"),'AES Indiana Bill Calc.'!$D$19,-1)</f>
        <v>-1</v>
      </c>
      <c r="C1236" s="103">
        <f>MAX(E1236,$C$837)</f>
        <v>2000</v>
      </c>
      <c r="D1236" s="103" t="b">
        <f>IF(AND('AES Indiana Bill Calc.'!$D$17="HL4",'AES Indiana Bill Calc.'!$D$18="Yes 25%",'AES Indiana Bill Calc.'!$D$20="Yes 2020"),'AES Indiana Bill Calc.'!$D$22)</f>
        <v>0</v>
      </c>
      <c r="E1236" s="103" t="b">
        <f>IF(AND('AES Indiana Bill Calc.'!$D$17="HL4",'AES Indiana Bill Calc.'!$D$18="Yes 25%",'AES Indiana Bill Calc.'!$D$20="Yes 2020"),'AES Indiana Bill Calc.'!$D$21)</f>
        <v>0</v>
      </c>
      <c r="F1236" s="36" t="s">
        <v>258</v>
      </c>
      <c r="G1236" s="92" t="e">
        <f>SUM(J1236:M1236,R1236:AA1236)</f>
        <v>#N/A</v>
      </c>
      <c r="H1236" s="19" t="e">
        <f>IF(ISBLANK(B1236),0,+#REF!/B1236)</f>
        <v>#REF!</v>
      </c>
      <c r="J1236" s="51">
        <f>IF(ISBLANK(B1236),0,+J$1071)</f>
        <v>500</v>
      </c>
      <c r="K1236" s="17">
        <f>ROUND($B1236*K$1187,2)</f>
        <v>-0.06</v>
      </c>
      <c r="L1236" s="17">
        <f>IF(ISBLANK($C1236),0,IF($C1236&lt;$C$1072,ROUND($C$1072*$L$1187,2),IF($C1236&gt;L$1188,ROUND(L$1188*L$1187,2),ROUND($C1236*L$1187,2))))</f>
        <v>30120</v>
      </c>
      <c r="M1236" s="17">
        <f>IF($C1236&gt;L$957,ROUND(($C1236-L$957)*M$956,2),0)</f>
        <v>0</v>
      </c>
      <c r="N1236" s="17">
        <f>K1236</f>
        <v>-0.06</v>
      </c>
      <c r="O1236" s="17"/>
      <c r="P1236" s="17"/>
      <c r="Q1236" s="17">
        <f>SUM(L1236:M1236)</f>
        <v>30120</v>
      </c>
      <c r="R1236" s="16" t="e">
        <f>ROUND(SUM(K1236:M1236)*(R1235-1),2)</f>
        <v>#N/A</v>
      </c>
      <c r="S1236" s="17">
        <f>ROUND($B1236*S$1071*S1235,2)</f>
        <v>0</v>
      </c>
      <c r="T1236" s="17">
        <f>ROUND($B1236*T$1187,2)</f>
        <v>0</v>
      </c>
      <c r="U1236" s="17">
        <f>ROUND($B1236*U$1187,2)</f>
        <v>0</v>
      </c>
      <c r="V1236" s="17">
        <f>ROUND($B1236*V$1065,2)</f>
        <v>0</v>
      </c>
      <c r="W1236" s="17">
        <f>ROUND($B1236*W$1187,2)</f>
        <v>0</v>
      </c>
      <c r="X1236" s="17">
        <f>ROUND($B1236*X$1187,2)</f>
        <v>-0.01</v>
      </c>
      <c r="Y1236" s="17">
        <f>ROUND($B1236*Y$1187,2)</f>
        <v>0</v>
      </c>
      <c r="Z1236" s="17">
        <f>ROUND($B1236*Z$1187,2)</f>
        <v>0</v>
      </c>
      <c r="AA1236" s="17">
        <f>ROUND($B1236*AA$1187,2)</f>
        <v>0</v>
      </c>
      <c r="AB1236" s="19">
        <f>SUM(V1199:AA1199)</f>
        <v>0</v>
      </c>
      <c r="AC1236" s="67" t="str">
        <f>+F1236</f>
        <v>HL40</v>
      </c>
    </row>
    <row r="1237" spans="1:29" x14ac:dyDescent="0.2">
      <c r="A1237" s="9"/>
      <c r="B1237" s="103">
        <v>-1</v>
      </c>
      <c r="D1237" s="8"/>
      <c r="E1237" s="9"/>
      <c r="F1237" s="36"/>
      <c r="G1237" s="17"/>
      <c r="H1237" s="19"/>
      <c r="J1237" s="8"/>
      <c r="K1237" s="17"/>
      <c r="L1237" s="17"/>
      <c r="M1237" s="17"/>
      <c r="N1237" s="17"/>
      <c r="O1237" s="17"/>
      <c r="P1237" s="17"/>
      <c r="Q1237" s="17"/>
      <c r="R1237" s="38" t="e">
        <f>VLOOKUP((D1238),'Pwr Factor'!$A$1:$B$52,2)</f>
        <v>#N/A</v>
      </c>
      <c r="S1237" s="50">
        <v>0.1</v>
      </c>
      <c r="T1237" s="17"/>
      <c r="U1237" s="17"/>
      <c r="V1237" s="17"/>
      <c r="W1237" s="17"/>
      <c r="X1237" s="17"/>
      <c r="Y1237" s="17"/>
      <c r="Z1237" s="17"/>
      <c r="AA1237" s="17"/>
    </row>
    <row r="1238" spans="1:29" x14ac:dyDescent="0.2">
      <c r="A1238" s="1" t="s">
        <v>164</v>
      </c>
      <c r="B1238" s="103">
        <f>IF(AND('AES Indiana Bill Calc.'!$D$17="HL4",'AES Indiana Bill Calc.'!$D$18="Yes 10%",'AES Indiana Bill Calc.'!$D$20="Yes 2020"),'AES Indiana Bill Calc.'!$D$19,-1)</f>
        <v>-1</v>
      </c>
      <c r="C1238" s="103">
        <f>MAX(E1238,$C$837)</f>
        <v>2000</v>
      </c>
      <c r="D1238" s="103" t="b">
        <f>IF(AND('AES Indiana Bill Calc.'!$D$17="HL4",'AES Indiana Bill Calc.'!$D$18="Yes 10%",'AES Indiana Bill Calc.'!$D$20="Yes 2020"),'AES Indiana Bill Calc.'!$D$22)</f>
        <v>0</v>
      </c>
      <c r="E1238" s="103" t="b">
        <f>IF(AND('AES Indiana Bill Calc.'!$D$17="HL4",'AES Indiana Bill Calc.'!$D$18="Yes 10%",'AES Indiana Bill Calc.'!$D$20="Yes 2020"),'AES Indiana Bill Calc.'!$D$21)</f>
        <v>0</v>
      </c>
      <c r="F1238" s="36" t="s">
        <v>258</v>
      </c>
      <c r="G1238" s="92" t="e">
        <f>SUM(J1238:M1238,R1238:AA1238)</f>
        <v>#N/A</v>
      </c>
      <c r="H1238" s="19" t="e">
        <f>IF(ISBLANK(B1238),0,+#REF!/B1238)</f>
        <v>#REF!</v>
      </c>
      <c r="J1238" s="51">
        <f>IF(ISBLANK(B1238),0,+J$1071)</f>
        <v>500</v>
      </c>
      <c r="K1238" s="17">
        <f>ROUND($B1238*K$1187,2)</f>
        <v>-0.06</v>
      </c>
      <c r="L1238" s="17">
        <f>IF(ISBLANK($C1238),0,IF($C1238&lt;$C$1072,ROUND($C$1072*$L$1187,2),IF($C1238&gt;L$1188,ROUND(L$1188*L$1187,2),ROUND($C1238*L$1187,2))))</f>
        <v>30120</v>
      </c>
      <c r="M1238" s="17">
        <f>IF($C1238&gt;L$957,ROUND(($C1238-L$957)*M$956,2),0)</f>
        <v>0</v>
      </c>
      <c r="N1238" s="17">
        <f>K1238</f>
        <v>-0.06</v>
      </c>
      <c r="O1238" s="17"/>
      <c r="P1238" s="17"/>
      <c r="Q1238" s="17">
        <f>SUM(L1238:M1238)</f>
        <v>30120</v>
      </c>
      <c r="R1238" s="16" t="e">
        <f>ROUND(SUM(K1238:M1238)*(R1237-1),2)</f>
        <v>#N/A</v>
      </c>
      <c r="S1238" s="17">
        <f>ROUND($B1238*S$1071*S1237,2)</f>
        <v>0</v>
      </c>
      <c r="T1238" s="17">
        <f>ROUND($B1238*T$1187,2)</f>
        <v>0</v>
      </c>
      <c r="U1238" s="17">
        <f>ROUND($B1238*U$1187,2)</f>
        <v>0</v>
      </c>
      <c r="V1238" s="17">
        <f>ROUND($B1238*V$1065,2)</f>
        <v>0</v>
      </c>
      <c r="W1238" s="17">
        <f>ROUND($B1238*W$1187,2)</f>
        <v>0</v>
      </c>
      <c r="X1238" s="17">
        <f>ROUND($B1238*X$1187,2)</f>
        <v>-0.01</v>
      </c>
      <c r="Y1238" s="17">
        <f>ROUND($B1238*Y$1187,2)</f>
        <v>0</v>
      </c>
      <c r="Z1238" s="17">
        <f>ROUND($B1238*Z$1187,2)</f>
        <v>0</v>
      </c>
      <c r="AA1238" s="17">
        <f>ROUND($B1238*AA$1187,2)</f>
        <v>0</v>
      </c>
      <c r="AB1238" s="19">
        <f>SUM(V1201:AA1201)</f>
        <v>0</v>
      </c>
      <c r="AC1238" s="67" t="str">
        <f>+F1238</f>
        <v>HL40</v>
      </c>
    </row>
    <row r="1239" spans="1:29" x14ac:dyDescent="0.2">
      <c r="A1239" s="9"/>
      <c r="B1239" s="103">
        <v>-1</v>
      </c>
      <c r="D1239" s="8"/>
      <c r="E1239" s="9"/>
      <c r="F1239" s="36"/>
      <c r="G1239" s="17"/>
      <c r="H1239" s="19"/>
      <c r="J1239" s="8"/>
      <c r="K1239" s="17"/>
      <c r="L1239" s="17"/>
      <c r="M1239" s="17"/>
      <c r="N1239" s="17"/>
      <c r="O1239" s="17"/>
      <c r="P1239" s="17"/>
      <c r="Q1239" s="17"/>
      <c r="R1239" s="38" t="e">
        <f>VLOOKUP((D1240),'Pwr Factor'!$A$1:$B$52,2)</f>
        <v>#N/A</v>
      </c>
      <c r="S1239" s="50">
        <v>0</v>
      </c>
      <c r="T1239" s="17"/>
      <c r="U1239" s="17"/>
      <c r="V1239" s="17"/>
      <c r="W1239" s="17"/>
      <c r="X1239" s="17"/>
      <c r="Y1239" s="17"/>
      <c r="Z1239" s="17"/>
      <c r="AA1239" s="17"/>
    </row>
    <row r="1240" spans="1:29" x14ac:dyDescent="0.2">
      <c r="A1240" s="1" t="s">
        <v>147</v>
      </c>
      <c r="B1240" s="103">
        <f>IF(AND('AES Indiana Bill Calc.'!$D$17="HL4",'AES Indiana Bill Calc.'!$D$18="No",'AES Indiana Bill Calc.'!$D$20="Yes 2020"),'AES Indiana Bill Calc.'!$D$19,-1)</f>
        <v>-1</v>
      </c>
      <c r="C1240" s="103">
        <f>MAX(E1240,$C$837)</f>
        <v>2000</v>
      </c>
      <c r="D1240" s="103" t="b">
        <f>IF(AND('AES Indiana Bill Calc.'!$D$17="HL4",'AES Indiana Bill Calc.'!$D$18="No",'AES Indiana Bill Calc.'!$D$20="Yes 2020"),'AES Indiana Bill Calc.'!$D$22)</f>
        <v>0</v>
      </c>
      <c r="E1240" s="103" t="b">
        <f>IF(AND('AES Indiana Bill Calc.'!$D$17="HL4",'AES Indiana Bill Calc.'!$D$18="No",'AES Indiana Bill Calc.'!$D$20="Yes 2020"),'AES Indiana Bill Calc.'!$D$21)</f>
        <v>0</v>
      </c>
      <c r="F1240" s="36" t="s">
        <v>258</v>
      </c>
      <c r="G1240" s="92" t="e">
        <f>SUM(J1240:M1240,R1240:AA1240)</f>
        <v>#N/A</v>
      </c>
      <c r="H1240" s="19" t="e">
        <f>IF(ISBLANK(B1240),0,+#REF!/B1240)</f>
        <v>#REF!</v>
      </c>
      <c r="J1240" s="51">
        <f>IF(ISBLANK(B1240),0,+J$1071)</f>
        <v>500</v>
      </c>
      <c r="K1240" s="17">
        <f>ROUND($B1240*K$1187,2)</f>
        <v>-0.06</v>
      </c>
      <c r="L1240" s="17">
        <f>IF(ISBLANK($C1240),0,IF($C1240&lt;$C$1072,ROUND($C$1072*$L$1187,2),IF($C1240&gt;L$1188,ROUND(L$1188*L$1187,2),ROUND($C1240*L$1187,2))))</f>
        <v>30120</v>
      </c>
      <c r="M1240" s="17">
        <f>IF($C1240&gt;L$957,ROUND(($C1240-L$957)*M$956,2),0)</f>
        <v>0</v>
      </c>
      <c r="N1240" s="17">
        <f>K1240</f>
        <v>-0.06</v>
      </c>
      <c r="O1240" s="17"/>
      <c r="P1240" s="17"/>
      <c r="Q1240" s="17">
        <f>SUM(L1240:M1240)</f>
        <v>30120</v>
      </c>
      <c r="R1240" s="16" t="e">
        <f>ROUND(SUM(K1240:M1240)*(R1239-1),2)</f>
        <v>#N/A</v>
      </c>
      <c r="S1240" s="17">
        <f>ROUND($B1240*S$1071*S1239,2)</f>
        <v>0</v>
      </c>
      <c r="T1240" s="17">
        <f>ROUND($B1240*T$1187,2)</f>
        <v>0</v>
      </c>
      <c r="U1240" s="17">
        <f>ROUND($B1240*U$1187,2)</f>
        <v>0</v>
      </c>
      <c r="V1240" s="17">
        <f>ROUND($B1240*V$1065,2)</f>
        <v>0</v>
      </c>
      <c r="W1240" s="17">
        <f>ROUND($B1240*W$1187,2)</f>
        <v>0</v>
      </c>
      <c r="X1240" s="17">
        <f>ROUND($B1240*X$1187,2)</f>
        <v>-0.01</v>
      </c>
      <c r="Y1240" s="17">
        <f>ROUND($B1240*Y$1187,2)</f>
        <v>0</v>
      </c>
      <c r="Z1240" s="17">
        <f>ROUND($B1240*Z$1187,2)</f>
        <v>0</v>
      </c>
      <c r="AA1240" s="17">
        <f>ROUND($B1240*AA$1187,2)</f>
        <v>0</v>
      </c>
      <c r="AB1240" s="19">
        <f>SUM(V1203:AA1203)</f>
        <v>0</v>
      </c>
      <c r="AC1240" s="67" t="str">
        <f>+F1240</f>
        <v>HL40</v>
      </c>
    </row>
    <row r="1241" spans="1:29" x14ac:dyDescent="0.2">
      <c r="B1241" s="103">
        <v>-1</v>
      </c>
      <c r="D1241" s="8"/>
      <c r="E1241" s="9"/>
      <c r="F1241" s="36"/>
      <c r="G1241" s="17"/>
      <c r="H1241" s="19"/>
      <c r="J1241" s="8"/>
      <c r="K1241" s="17"/>
      <c r="L1241" s="17"/>
      <c r="M1241" s="17"/>
      <c r="N1241" s="17"/>
      <c r="O1241" s="17"/>
      <c r="P1241" s="17"/>
      <c r="Q1241" s="17"/>
      <c r="R1241" s="38" t="e">
        <f>VLOOKUP((D1242),'Pwr Factor'!$A$1:$B$52,2)</f>
        <v>#N/A</v>
      </c>
      <c r="S1241" s="50">
        <v>1</v>
      </c>
      <c r="T1241" s="17"/>
      <c r="U1241" s="17"/>
      <c r="V1241" s="17"/>
      <c r="W1241" s="17"/>
      <c r="X1241" s="17"/>
      <c r="Y1241" s="17"/>
      <c r="Z1241" s="17"/>
      <c r="AA1241" s="17"/>
    </row>
    <row r="1242" spans="1:29" x14ac:dyDescent="0.2">
      <c r="A1242" s="1" t="s">
        <v>148</v>
      </c>
      <c r="B1242" s="103">
        <f>IF(AND('AES Indiana Bill Calc.'!$D$17="HL4",'AES Indiana Bill Calc.'!$D$18="Yes 100%",'AES Indiana Bill Calc.'!$D$20="Yes 2021"),'AES Indiana Bill Calc.'!$D$19,-1)</f>
        <v>-1</v>
      </c>
      <c r="C1242" s="103">
        <f>MAX(E1242,$C$837)</f>
        <v>2000</v>
      </c>
      <c r="D1242" s="103" t="b">
        <f>IF(AND('AES Indiana Bill Calc.'!$D$17="HL4",'AES Indiana Bill Calc.'!$D$18="Yes 100%",'AES Indiana Bill Calc.'!$D$20="Yes 2021"),'AES Indiana Bill Calc.'!$D$22)</f>
        <v>0</v>
      </c>
      <c r="E1242" s="103" t="b">
        <f>IF(AND('AES Indiana Bill Calc.'!$D$17="HL4",'AES Indiana Bill Calc.'!$D$18="Yes 100%",'AES Indiana Bill Calc.'!$D$20="Yes 2021"),'AES Indiana Bill Calc.'!$D$21)</f>
        <v>0</v>
      </c>
      <c r="F1242" s="36" t="s">
        <v>259</v>
      </c>
      <c r="G1242" s="92" t="e">
        <f>SUM(J1242:M1242,R1242:AA1242)</f>
        <v>#N/A</v>
      </c>
      <c r="H1242" s="19" t="e">
        <f>IF(ISBLANK(B1242),0,+#REF!/B1242)</f>
        <v>#REF!</v>
      </c>
      <c r="J1242" s="51">
        <f>IF(ISBLANK(B1242),0,+J$1071)</f>
        <v>500</v>
      </c>
      <c r="K1242" s="17">
        <f>ROUND($B1242*K$1187,2)</f>
        <v>-0.06</v>
      </c>
      <c r="L1242" s="17">
        <f>IF(ISBLANK($C1242),0,IF($C1242&lt;$C$1072,ROUND($C$1072*$L$1187,2),IF($C1242&gt;L$1188,ROUND(L$1188*L$1187,2),ROUND($C1242*L$1187,2))))</f>
        <v>30120</v>
      </c>
      <c r="M1242" s="17">
        <f>IF($C1242&gt;L$957,ROUND(($C1242-L$957)*M$956,2),0)</f>
        <v>0</v>
      </c>
      <c r="N1242" s="17">
        <f>K1242</f>
        <v>-0.06</v>
      </c>
      <c r="O1242" s="17"/>
      <c r="P1242" s="17"/>
      <c r="Q1242" s="17">
        <f>SUM(L1242:M1242)</f>
        <v>30120</v>
      </c>
      <c r="R1242" s="16" t="e">
        <f>ROUND(SUM(K1242:M1242)*(R1241-1),2)</f>
        <v>#N/A</v>
      </c>
      <c r="S1242" s="17">
        <f>ROUND($B1242*S$1071*S1241,2)</f>
        <v>0</v>
      </c>
      <c r="T1242" s="17">
        <f>ROUND($B1242*T$1187,2)</f>
        <v>0</v>
      </c>
      <c r="U1242" s="17">
        <f>ROUND($B1242*U$1187,2)</f>
        <v>0</v>
      </c>
      <c r="V1242" s="17">
        <f>ROUND($B1242*V$1066,2)</f>
        <v>0</v>
      </c>
      <c r="W1242" s="17">
        <f>ROUND($B1242*W$1187,2)</f>
        <v>0</v>
      </c>
      <c r="X1242" s="17">
        <f>ROUND($B1242*X$1187,2)</f>
        <v>-0.01</v>
      </c>
      <c r="Y1242" s="17">
        <f>ROUND($B1242*Y$1187,2)</f>
        <v>0</v>
      </c>
      <c r="Z1242" s="17">
        <f>ROUND($B1242*Z$1187,2)</f>
        <v>0</v>
      </c>
      <c r="AA1242" s="17">
        <f>ROUND($B1242*AA$1187,2)</f>
        <v>0</v>
      </c>
      <c r="AB1242" s="19">
        <f>SUM(V1205:AA1205)</f>
        <v>0</v>
      </c>
      <c r="AC1242" s="67" t="str">
        <f>+F1242</f>
        <v>HL41</v>
      </c>
    </row>
    <row r="1243" spans="1:29" x14ac:dyDescent="0.2">
      <c r="A1243" s="48"/>
      <c r="B1243" s="103">
        <v>-1</v>
      </c>
      <c r="D1243" s="8"/>
      <c r="E1243" s="9"/>
      <c r="F1243" s="36"/>
      <c r="G1243" s="17"/>
      <c r="H1243" s="19"/>
      <c r="J1243" s="8"/>
      <c r="K1243" s="17"/>
      <c r="L1243" s="17"/>
      <c r="M1243" s="17"/>
      <c r="N1243" s="17"/>
      <c r="O1243" s="17"/>
      <c r="P1243" s="17"/>
      <c r="Q1243" s="17"/>
      <c r="R1243" s="38" t="e">
        <f>VLOOKUP((D1244),'Pwr Factor'!$A$1:$B$52,2)</f>
        <v>#N/A</v>
      </c>
      <c r="S1243" s="50">
        <v>0.5</v>
      </c>
      <c r="T1243" s="17"/>
      <c r="U1243" s="17"/>
      <c r="V1243" s="17"/>
      <c r="W1243" s="17"/>
      <c r="X1243" s="17"/>
      <c r="Y1243" s="17"/>
      <c r="Z1243" s="17"/>
      <c r="AA1243" s="17"/>
    </row>
    <row r="1244" spans="1:29" x14ac:dyDescent="0.2">
      <c r="A1244" s="1" t="s">
        <v>149</v>
      </c>
      <c r="B1244" s="103">
        <f>IF(AND('AES Indiana Bill Calc.'!$D$17="HL4",'AES Indiana Bill Calc.'!$D$18="Yes 50%",'AES Indiana Bill Calc.'!$D$20="Yes 2021"),'AES Indiana Bill Calc.'!$D$19,-1)</f>
        <v>-1</v>
      </c>
      <c r="C1244" s="103">
        <f>MAX(E1244,$C$837)</f>
        <v>2000</v>
      </c>
      <c r="D1244" s="103" t="b">
        <f>IF(AND('AES Indiana Bill Calc.'!$D$17="HL4",'AES Indiana Bill Calc.'!$D$18="Yes 50%",'AES Indiana Bill Calc.'!$D$20="Yes 2021"),'AES Indiana Bill Calc.'!$D$22)</f>
        <v>0</v>
      </c>
      <c r="E1244" s="103" t="b">
        <f>IF(AND('AES Indiana Bill Calc.'!$D$17="HL4",'AES Indiana Bill Calc.'!$D$18="Yes 50%",'AES Indiana Bill Calc.'!$D$20="Yes 2021"),'AES Indiana Bill Calc.'!$D$21)</f>
        <v>0</v>
      </c>
      <c r="F1244" s="36" t="s">
        <v>259</v>
      </c>
      <c r="G1244" s="92" t="e">
        <f>SUM(J1244:M1244,R1244:AA1244)</f>
        <v>#N/A</v>
      </c>
      <c r="H1244" s="19" t="e">
        <f>IF(ISBLANK(B1244),0,+#REF!/B1244)</f>
        <v>#REF!</v>
      </c>
      <c r="J1244" s="51">
        <f>IF(ISBLANK(B1244),0,+J$1071)</f>
        <v>500</v>
      </c>
      <c r="K1244" s="17">
        <f>ROUND($B1244*K$1187,2)</f>
        <v>-0.06</v>
      </c>
      <c r="L1244" s="17">
        <f>IF(ISBLANK($C1244),0,IF($C1244&lt;$C$1072,ROUND($C$1072*$L$1187,2),IF($C1244&gt;L$1188,ROUND(L$1188*L$1187,2),ROUND($C1244*L$1187,2))))</f>
        <v>30120</v>
      </c>
      <c r="M1244" s="17">
        <f>IF($C1244&gt;L$957,ROUND(($C1244-L$957)*M$956,2),0)</f>
        <v>0</v>
      </c>
      <c r="N1244" s="17">
        <f>K1244</f>
        <v>-0.06</v>
      </c>
      <c r="O1244" s="17"/>
      <c r="P1244" s="17"/>
      <c r="Q1244" s="17">
        <f>SUM(L1244:M1244)</f>
        <v>30120</v>
      </c>
      <c r="R1244" s="16" t="e">
        <f>ROUND(SUM(K1244:M1244)*(R1243-1),2)</f>
        <v>#N/A</v>
      </c>
      <c r="S1244" s="17">
        <f>ROUND($B1244*S$1071*S1243,2)</f>
        <v>0</v>
      </c>
      <c r="T1244" s="17">
        <f>ROUND($B1244*T$1187,2)</f>
        <v>0</v>
      </c>
      <c r="U1244" s="17">
        <f>ROUND($B1244*U$1187,2)</f>
        <v>0</v>
      </c>
      <c r="V1244" s="17">
        <f>ROUND($B1244*V$1066,2)</f>
        <v>0</v>
      </c>
      <c r="W1244" s="17">
        <f>ROUND($B1244*W$1187,2)</f>
        <v>0</v>
      </c>
      <c r="X1244" s="17">
        <f>ROUND($B1244*X$1187,2)</f>
        <v>-0.01</v>
      </c>
      <c r="Y1244" s="17">
        <f>ROUND($B1244*Y$1187,2)</f>
        <v>0</v>
      </c>
      <c r="Z1244" s="17">
        <f>ROUND($B1244*Z$1187,2)</f>
        <v>0</v>
      </c>
      <c r="AA1244" s="17">
        <f>ROUND($B1244*AA$1187,2)</f>
        <v>0</v>
      </c>
      <c r="AB1244" s="19">
        <f>SUM(V1207:AA1207)</f>
        <v>0</v>
      </c>
      <c r="AC1244" s="67" t="str">
        <f>+F1244</f>
        <v>HL41</v>
      </c>
    </row>
    <row r="1245" spans="1:29" x14ac:dyDescent="0.2">
      <c r="A1245" s="9"/>
      <c r="B1245" s="103">
        <v>-1</v>
      </c>
      <c r="D1245" s="8"/>
      <c r="E1245" s="9"/>
      <c r="F1245" s="36"/>
      <c r="G1245" s="17"/>
      <c r="H1245" s="19"/>
      <c r="J1245" s="8"/>
      <c r="K1245" s="17"/>
      <c r="L1245" s="17"/>
      <c r="M1245" s="17"/>
      <c r="N1245" s="17"/>
      <c r="O1245" s="17"/>
      <c r="P1245" s="17"/>
      <c r="Q1245" s="17"/>
      <c r="R1245" s="38" t="e">
        <f>VLOOKUP((D1246),'Pwr Factor'!$A$1:$B$52,2)</f>
        <v>#N/A</v>
      </c>
      <c r="S1245" s="50">
        <v>0.25</v>
      </c>
      <c r="T1245" s="17"/>
      <c r="U1245" s="17"/>
      <c r="V1245" s="17"/>
      <c r="W1245" s="17"/>
      <c r="X1245" s="17"/>
      <c r="Y1245" s="17"/>
      <c r="Z1245" s="17"/>
      <c r="AA1245" s="17"/>
    </row>
    <row r="1246" spans="1:29" x14ac:dyDescent="0.2">
      <c r="A1246" s="1" t="s">
        <v>150</v>
      </c>
      <c r="B1246" s="103">
        <f>IF(AND('AES Indiana Bill Calc.'!$D$17="HL4",'AES Indiana Bill Calc.'!$D$18="Yes 25%",'AES Indiana Bill Calc.'!$D$20="Yes 2021"),'AES Indiana Bill Calc.'!$D$19,-1)</f>
        <v>-1</v>
      </c>
      <c r="C1246" s="103">
        <f>MAX(E1246,$C$837)</f>
        <v>2000</v>
      </c>
      <c r="D1246" s="103" t="b">
        <f>IF(AND('AES Indiana Bill Calc.'!$D$17="HL4",'AES Indiana Bill Calc.'!$D$18="Yes 25%",'AES Indiana Bill Calc.'!$D$20="Yes 2021"),'AES Indiana Bill Calc.'!$D$22)</f>
        <v>0</v>
      </c>
      <c r="E1246" s="103" t="b">
        <f>IF(AND('AES Indiana Bill Calc.'!$D$17="HL4",'AES Indiana Bill Calc.'!$D$18="Yes 25%",'AES Indiana Bill Calc.'!$D$20="Yes 2021"),'AES Indiana Bill Calc.'!$D$21)</f>
        <v>0</v>
      </c>
      <c r="F1246" s="36" t="s">
        <v>259</v>
      </c>
      <c r="G1246" s="92" t="e">
        <f>SUM(J1246:M1246,R1246:AA1246)</f>
        <v>#N/A</v>
      </c>
      <c r="H1246" s="19" t="e">
        <f>IF(ISBLANK(B1246),0,+#REF!/B1246)</f>
        <v>#REF!</v>
      </c>
      <c r="J1246" s="51">
        <f>IF(ISBLANK(B1246),0,+J$1071)</f>
        <v>500</v>
      </c>
      <c r="K1246" s="17">
        <f>ROUND($B1246*K$1187,2)</f>
        <v>-0.06</v>
      </c>
      <c r="L1246" s="17">
        <f>IF(ISBLANK($C1246),0,IF($C1246&lt;$C$1072,ROUND($C$1072*$L$1187,2),IF($C1246&gt;L$1188,ROUND(L$1188*L$1187,2),ROUND($C1246*L$1187,2))))</f>
        <v>30120</v>
      </c>
      <c r="M1246" s="17">
        <f>IF($C1246&gt;L$957,ROUND(($C1246-L$957)*M$956,2),0)</f>
        <v>0</v>
      </c>
      <c r="N1246" s="17">
        <f>K1246</f>
        <v>-0.06</v>
      </c>
      <c r="O1246" s="17"/>
      <c r="P1246" s="17"/>
      <c r="Q1246" s="17">
        <f>SUM(L1246:M1246)</f>
        <v>30120</v>
      </c>
      <c r="R1246" s="16" t="e">
        <f>ROUND(SUM(K1246:M1246)*(R1245-1),2)</f>
        <v>#N/A</v>
      </c>
      <c r="S1246" s="17">
        <f>ROUND($B1246*S$1071*S1245,2)</f>
        <v>0</v>
      </c>
      <c r="T1246" s="17">
        <f>ROUND($B1246*T$1187,2)</f>
        <v>0</v>
      </c>
      <c r="U1246" s="17">
        <f>ROUND($B1246*U$1187,2)</f>
        <v>0</v>
      </c>
      <c r="V1246" s="17">
        <f>ROUND($B1246*V$1066,2)</f>
        <v>0</v>
      </c>
      <c r="W1246" s="17">
        <f>ROUND($B1246*W$1187,2)</f>
        <v>0</v>
      </c>
      <c r="X1246" s="17">
        <f>ROUND($B1246*X$1187,2)</f>
        <v>-0.01</v>
      </c>
      <c r="Y1246" s="17">
        <f>ROUND($B1246*Y$1187,2)</f>
        <v>0</v>
      </c>
      <c r="Z1246" s="17">
        <f>ROUND($B1246*Z$1187,2)</f>
        <v>0</v>
      </c>
      <c r="AA1246" s="17">
        <f>ROUND($B1246*AA$1187,2)</f>
        <v>0</v>
      </c>
      <c r="AB1246" s="19">
        <f>SUM(V1209:AA1209)</f>
        <v>0</v>
      </c>
      <c r="AC1246" s="67" t="str">
        <f>+F1246</f>
        <v>HL41</v>
      </c>
    </row>
    <row r="1247" spans="1:29" x14ac:dyDescent="0.2">
      <c r="A1247" s="9"/>
      <c r="B1247" s="103">
        <v>-1</v>
      </c>
      <c r="D1247" s="8"/>
      <c r="E1247" s="9"/>
      <c r="F1247" s="36"/>
      <c r="G1247" s="17"/>
      <c r="H1247" s="19"/>
      <c r="J1247" s="8"/>
      <c r="K1247" s="17"/>
      <c r="L1247" s="17"/>
      <c r="M1247" s="17"/>
      <c r="N1247" s="17"/>
      <c r="O1247" s="17"/>
      <c r="P1247" s="17"/>
      <c r="Q1247" s="17"/>
      <c r="R1247" s="38" t="e">
        <f>VLOOKUP((D1248),'Pwr Factor'!$A$1:$B$52,2)</f>
        <v>#N/A</v>
      </c>
      <c r="S1247" s="50">
        <v>0.1</v>
      </c>
      <c r="T1247" s="17"/>
      <c r="U1247" s="17"/>
      <c r="V1247" s="17"/>
      <c r="W1247" s="17"/>
      <c r="X1247" s="17"/>
      <c r="Y1247" s="17"/>
      <c r="Z1247" s="17"/>
      <c r="AA1247" s="17"/>
    </row>
    <row r="1248" spans="1:29" x14ac:dyDescent="0.2">
      <c r="A1248" s="1" t="s">
        <v>164</v>
      </c>
      <c r="B1248" s="103">
        <f>IF(AND('AES Indiana Bill Calc.'!$D$17="HL4",'AES Indiana Bill Calc.'!$D$18="Yes 10%",'AES Indiana Bill Calc.'!$D$20="Yes 2021"),'AES Indiana Bill Calc.'!$D$19,-1)</f>
        <v>-1</v>
      </c>
      <c r="C1248" s="103">
        <f>MAX(E1248,$C$837)</f>
        <v>2000</v>
      </c>
      <c r="D1248" s="103" t="b">
        <f>IF(AND('AES Indiana Bill Calc.'!$D$17="HL4",'AES Indiana Bill Calc.'!$D$18="Yes 10%",'AES Indiana Bill Calc.'!$D$20="Yes 2021"),'AES Indiana Bill Calc.'!$D$22)</f>
        <v>0</v>
      </c>
      <c r="E1248" s="103" t="b">
        <f>IF(AND('AES Indiana Bill Calc.'!$D$17="HL4",'AES Indiana Bill Calc.'!$D$18="Yes 10%",'AES Indiana Bill Calc.'!$D$20="Yes 2021"),'AES Indiana Bill Calc.'!$D$21)</f>
        <v>0</v>
      </c>
      <c r="F1248" s="36" t="s">
        <v>259</v>
      </c>
      <c r="G1248" s="92" t="e">
        <f>SUM(J1248:M1248,R1248:AA1248)</f>
        <v>#N/A</v>
      </c>
      <c r="H1248" s="19" t="e">
        <f>IF(ISBLANK(B1248),0,+#REF!/B1248)</f>
        <v>#REF!</v>
      </c>
      <c r="J1248" s="51">
        <f>IF(ISBLANK(B1248),0,+J$1071)</f>
        <v>500</v>
      </c>
      <c r="K1248" s="17">
        <f>ROUND($B1248*K$1187,2)</f>
        <v>-0.06</v>
      </c>
      <c r="L1248" s="17">
        <f>IF(ISBLANK($C1248),0,IF($C1248&lt;$C$1072,ROUND($C$1072*$L$1187,2),IF($C1248&gt;L$1188,ROUND(L$1188*L$1187,2),ROUND($C1248*L$1187,2))))</f>
        <v>30120</v>
      </c>
      <c r="M1248" s="17">
        <f>IF($C1248&gt;L$957,ROUND(($C1248-L$957)*M$956,2),0)</f>
        <v>0</v>
      </c>
      <c r="N1248" s="17">
        <f>K1248</f>
        <v>-0.06</v>
      </c>
      <c r="O1248" s="17"/>
      <c r="P1248" s="17"/>
      <c r="Q1248" s="17">
        <f>SUM(L1248:M1248)</f>
        <v>30120</v>
      </c>
      <c r="R1248" s="16" t="e">
        <f>ROUND(SUM(K1248:M1248)*(R1247-1),2)</f>
        <v>#N/A</v>
      </c>
      <c r="S1248" s="17">
        <f>ROUND($B1248*S$1071*S1247,2)</f>
        <v>0</v>
      </c>
      <c r="T1248" s="17">
        <f>ROUND($B1248*T$1187,2)</f>
        <v>0</v>
      </c>
      <c r="U1248" s="17">
        <f>ROUND($B1248*U$1187,2)</f>
        <v>0</v>
      </c>
      <c r="V1248" s="17">
        <f>ROUND($B1248*V$1066,2)</f>
        <v>0</v>
      </c>
      <c r="W1248" s="17">
        <f>ROUND($B1248*W$1187,2)</f>
        <v>0</v>
      </c>
      <c r="X1248" s="17">
        <f>ROUND($B1248*X$1187,2)</f>
        <v>-0.01</v>
      </c>
      <c r="Y1248" s="17">
        <f>ROUND($B1248*Y$1187,2)</f>
        <v>0</v>
      </c>
      <c r="Z1248" s="17">
        <f>ROUND($B1248*Z$1187,2)</f>
        <v>0</v>
      </c>
      <c r="AA1248" s="17">
        <f>ROUND($B1248*AA$1187,2)</f>
        <v>0</v>
      </c>
      <c r="AB1248" s="19">
        <f>SUM(V1211:AA1211)</f>
        <v>0</v>
      </c>
      <c r="AC1248" s="67" t="str">
        <f>+F1248</f>
        <v>HL41</v>
      </c>
    </row>
    <row r="1249" spans="1:29" x14ac:dyDescent="0.2">
      <c r="A1249" s="9"/>
      <c r="B1249" s="103">
        <v>-1</v>
      </c>
      <c r="D1249" s="8"/>
      <c r="E1249" s="9"/>
      <c r="F1249" s="36"/>
      <c r="G1249" s="17"/>
      <c r="H1249" s="19"/>
      <c r="J1249" s="8"/>
      <c r="K1249" s="17"/>
      <c r="L1249" s="17"/>
      <c r="M1249" s="17"/>
      <c r="N1249" s="17"/>
      <c r="O1249" s="17"/>
      <c r="P1249" s="17"/>
      <c r="Q1249" s="17"/>
      <c r="R1249" s="38" t="e">
        <f>VLOOKUP((D1250),'Pwr Factor'!$A$1:$B$52,2)</f>
        <v>#N/A</v>
      </c>
      <c r="S1249" s="50">
        <v>0</v>
      </c>
      <c r="T1249" s="17"/>
      <c r="U1249" s="17"/>
      <c r="V1249" s="17"/>
      <c r="W1249" s="17"/>
      <c r="X1249" s="17"/>
      <c r="Y1249" s="17"/>
      <c r="Z1249" s="17"/>
      <c r="AA1249" s="17"/>
    </row>
    <row r="1250" spans="1:29" x14ac:dyDescent="0.2">
      <c r="A1250" s="1" t="s">
        <v>147</v>
      </c>
      <c r="B1250" s="103">
        <f>IF(AND('AES Indiana Bill Calc.'!$D$17="HL4",'AES Indiana Bill Calc.'!$D$18="No",'AES Indiana Bill Calc.'!$D$20="Yes 2021"),'AES Indiana Bill Calc.'!$D$19,-1)</f>
        <v>-1</v>
      </c>
      <c r="C1250" s="103">
        <f>MAX(E1250,$C$837)</f>
        <v>2000</v>
      </c>
      <c r="D1250" s="103" t="b">
        <f>IF(AND('AES Indiana Bill Calc.'!$D$17="HL4",'AES Indiana Bill Calc.'!$D$18="No",'AES Indiana Bill Calc.'!$D$20="Yes 2021"),'AES Indiana Bill Calc.'!$D$22)</f>
        <v>0</v>
      </c>
      <c r="E1250" s="103" t="b">
        <f>IF(AND('AES Indiana Bill Calc.'!$D$17="HL4",'AES Indiana Bill Calc.'!$D$18="No",'AES Indiana Bill Calc.'!$D$20="Yes 2021"),'AES Indiana Bill Calc.'!$D$21)</f>
        <v>0</v>
      </c>
      <c r="F1250" s="36" t="s">
        <v>259</v>
      </c>
      <c r="G1250" s="92" t="e">
        <f>SUM(J1250:M1250,R1250:AA1250)</f>
        <v>#N/A</v>
      </c>
      <c r="H1250" s="19" t="e">
        <f>IF(ISBLANK(B1250),0,+#REF!/B1250)</f>
        <v>#REF!</v>
      </c>
      <c r="J1250" s="51">
        <f>IF(ISBLANK(B1250),0,+J$1071)</f>
        <v>500</v>
      </c>
      <c r="K1250" s="17">
        <f>ROUND($B1250*K$1187,2)</f>
        <v>-0.06</v>
      </c>
      <c r="L1250" s="17">
        <f>IF(ISBLANK($C1250),0,IF($C1250&lt;$C$1072,ROUND($C$1072*$L$1187,2),IF($C1250&gt;L$1188,ROUND(L$1188*L$1187,2),ROUND($C1250*L$1187,2))))</f>
        <v>30120</v>
      </c>
      <c r="M1250" s="17">
        <f>IF($C1250&gt;L$957,ROUND(($C1250-L$957)*M$956,2),0)</f>
        <v>0</v>
      </c>
      <c r="N1250" s="17">
        <f>K1250</f>
        <v>-0.06</v>
      </c>
      <c r="O1250" s="17"/>
      <c r="P1250" s="17"/>
      <c r="Q1250" s="17">
        <f>SUM(L1250:M1250)</f>
        <v>30120</v>
      </c>
      <c r="R1250" s="16" t="e">
        <f>ROUND(SUM(K1250:M1250)*(R1249-1),2)</f>
        <v>#N/A</v>
      </c>
      <c r="S1250" s="17">
        <f>ROUND($B1250*S$1071*S1249,2)</f>
        <v>0</v>
      </c>
      <c r="T1250" s="17">
        <f>ROUND($B1250*T$1187,2)</f>
        <v>0</v>
      </c>
      <c r="U1250" s="17">
        <f>ROUND($B1250*U$1187,2)</f>
        <v>0</v>
      </c>
      <c r="V1250" s="17">
        <f>ROUND($B1250*V$1066,2)</f>
        <v>0</v>
      </c>
      <c r="W1250" s="17">
        <f>ROUND($B1250*W$1187,2)</f>
        <v>0</v>
      </c>
      <c r="X1250" s="17">
        <f>ROUND($B1250*X$1187,2)</f>
        <v>-0.01</v>
      </c>
      <c r="Y1250" s="17">
        <f>ROUND($B1250*Y$1187,2)</f>
        <v>0</v>
      </c>
      <c r="Z1250" s="17">
        <f>ROUND($B1250*Z$1187,2)</f>
        <v>0</v>
      </c>
      <c r="AA1250" s="17">
        <f>ROUND($B1250*AA$1187,2)</f>
        <v>0</v>
      </c>
      <c r="AB1250" s="19">
        <f>SUM(V1213:AA1213)</f>
        <v>0</v>
      </c>
      <c r="AC1250" s="67" t="str">
        <f>+F1250</f>
        <v>HL41</v>
      </c>
    </row>
    <row r="1251" spans="1:29" s="21" customFormat="1" ht="13.5" thickBot="1" x14ac:dyDescent="0.25">
      <c r="A1251"/>
      <c r="B1251" s="103">
        <v>-1</v>
      </c>
      <c r="C1251" s="2"/>
      <c r="D1251" s="8"/>
      <c r="E1251" s="9"/>
      <c r="F1251" s="36"/>
      <c r="G1251" s="17"/>
      <c r="H1251" s="19"/>
      <c r="I1251"/>
      <c r="J1251" s="8"/>
      <c r="K1251" s="17"/>
      <c r="L1251" s="17"/>
      <c r="M1251" s="17"/>
      <c r="N1251" s="17"/>
      <c r="O1251" s="17"/>
      <c r="P1251" s="17"/>
      <c r="Q1251" s="17"/>
      <c r="R1251" s="38" t="e">
        <f>VLOOKUP((D1252),'Pwr Factor'!$A$1:$B$52,2)</f>
        <v>#N/A</v>
      </c>
      <c r="S1251" s="50">
        <v>1</v>
      </c>
      <c r="T1251" s="17"/>
      <c r="U1251" s="17"/>
      <c r="V1251" s="17"/>
      <c r="W1251" s="17"/>
      <c r="X1251" s="17"/>
      <c r="Y1251" s="17"/>
      <c r="Z1251" s="17"/>
      <c r="AA1251" s="17"/>
      <c r="AB1251"/>
      <c r="AC1251"/>
    </row>
    <row r="1252" spans="1:29" x14ac:dyDescent="0.2">
      <c r="A1252" s="1" t="s">
        <v>148</v>
      </c>
      <c r="B1252" s="103">
        <f>IF(AND('AES Indiana Bill Calc.'!$D$17="HL4",'AES Indiana Bill Calc.'!$D$18="Yes 100%",'AES Indiana Bill Calc.'!$D$20="Yes 2022"),'AES Indiana Bill Calc.'!$D$19,-1)</f>
        <v>-1</v>
      </c>
      <c r="C1252" s="103">
        <f>MAX(E1252,$C$837)</f>
        <v>2000</v>
      </c>
      <c r="D1252" s="103" t="b">
        <f>IF(AND('AES Indiana Bill Calc.'!$D$17="HL4",'AES Indiana Bill Calc.'!$D$18="Yes 100%",'AES Indiana Bill Calc.'!$D$20="Yes 2022"),'AES Indiana Bill Calc.'!$D$22)</f>
        <v>0</v>
      </c>
      <c r="E1252" s="103" t="b">
        <f>IF(AND('AES Indiana Bill Calc.'!$D$17="HL4",'AES Indiana Bill Calc.'!$D$18="Yes 100%",'AES Indiana Bill Calc.'!$D$20="Yes 2022"),'AES Indiana Bill Calc.'!$D$21)</f>
        <v>0</v>
      </c>
      <c r="F1252" s="36" t="s">
        <v>260</v>
      </c>
      <c r="G1252" s="92" t="e">
        <f>SUM(J1252:M1252,R1252:AA1252)</f>
        <v>#N/A</v>
      </c>
      <c r="H1252" s="19" t="e">
        <f>IF(ISBLANK(B1252),0,+#REF!/B1252)</f>
        <v>#REF!</v>
      </c>
      <c r="J1252" s="51">
        <f>IF(ISBLANK(B1252),0,+J$1071)</f>
        <v>500</v>
      </c>
      <c r="K1252" s="17">
        <f>ROUND($B1252*K$1187,2)</f>
        <v>-0.06</v>
      </c>
      <c r="L1252" s="17">
        <f>IF(ISBLANK($C1252),0,IF($C1252&lt;$C$1072,ROUND($C$1072*$L$1187,2),IF($C1252&gt;L$1188,ROUND(L$1188*L$1187,2),ROUND($C1252*L$1187,2))))</f>
        <v>30120</v>
      </c>
      <c r="M1252" s="17">
        <f>IF($C1252&gt;L$957,ROUND(($C1252-L$957)*M$956,2),0)</f>
        <v>0</v>
      </c>
      <c r="N1252" s="17">
        <f>K1252</f>
        <v>-0.06</v>
      </c>
      <c r="O1252" s="17"/>
      <c r="P1252" s="17"/>
      <c r="Q1252" s="17">
        <f>SUM(L1252:M1252)</f>
        <v>30120</v>
      </c>
      <c r="R1252" s="16" t="e">
        <f>ROUND(SUM(K1252:M1252)*(R1251-1),2)</f>
        <v>#N/A</v>
      </c>
      <c r="S1252" s="17">
        <f>ROUND($B1252*S$1071*S1251,2)</f>
        <v>0</v>
      </c>
      <c r="T1252" s="17">
        <f>ROUND($B1252*T$1187,2)</f>
        <v>0</v>
      </c>
      <c r="U1252" s="17">
        <f>ROUND($B1252*U$1187,2)</f>
        <v>0</v>
      </c>
      <c r="V1252" s="17">
        <f>ROUND($B1252*V$1067,2)</f>
        <v>0</v>
      </c>
      <c r="W1252" s="17">
        <f>ROUND($B1252*W$1187,2)</f>
        <v>0</v>
      </c>
      <c r="X1252" s="17">
        <f>ROUND($B1252*X$1187,2)</f>
        <v>-0.01</v>
      </c>
      <c r="Y1252" s="17">
        <f>ROUND($B1252*Y$1187,2)</f>
        <v>0</v>
      </c>
      <c r="Z1252" s="17">
        <f>ROUND($B1252*Z$1187,2)</f>
        <v>0</v>
      </c>
      <c r="AA1252" s="17">
        <f>ROUND($B1252*AA$1187,2)</f>
        <v>0</v>
      </c>
      <c r="AB1252" s="19">
        <f>SUM(V1215:AA1215)</f>
        <v>0</v>
      </c>
      <c r="AC1252" s="67" t="str">
        <f>+F1252</f>
        <v>HL42</v>
      </c>
    </row>
    <row r="1253" spans="1:29" x14ac:dyDescent="0.2">
      <c r="A1253" s="48"/>
      <c r="B1253" s="103">
        <v>-1</v>
      </c>
      <c r="D1253" s="8"/>
      <c r="E1253" s="9"/>
      <c r="F1253" s="36"/>
      <c r="G1253" s="17"/>
      <c r="H1253" s="19"/>
      <c r="J1253" s="8"/>
      <c r="K1253" s="17"/>
      <c r="L1253" s="17"/>
      <c r="M1253" s="17"/>
      <c r="N1253" s="17"/>
      <c r="O1253" s="17"/>
      <c r="P1253" s="17"/>
      <c r="Q1253" s="17"/>
      <c r="R1253" s="38" t="e">
        <f>VLOOKUP((D1254),'Pwr Factor'!$A$1:$B$52,2)</f>
        <v>#N/A</v>
      </c>
      <c r="S1253" s="50">
        <v>0.5</v>
      </c>
      <c r="T1253" s="17"/>
      <c r="U1253" s="17"/>
      <c r="V1253" s="17"/>
      <c r="W1253" s="17"/>
      <c r="X1253" s="17"/>
      <c r="Y1253" s="17"/>
      <c r="Z1253" s="17"/>
      <c r="AA1253" s="17"/>
    </row>
    <row r="1254" spans="1:29" x14ac:dyDescent="0.2">
      <c r="A1254" s="1" t="s">
        <v>149</v>
      </c>
      <c r="B1254" s="103">
        <f>IF(AND('AES Indiana Bill Calc.'!$D$17="HL4",'AES Indiana Bill Calc.'!$D$18="Yes 50%",'AES Indiana Bill Calc.'!$D$20="Yes 2022"),'AES Indiana Bill Calc.'!$D$19,-1)</f>
        <v>-1</v>
      </c>
      <c r="C1254" s="103">
        <f>MAX(E1254,$C$837)</f>
        <v>2000</v>
      </c>
      <c r="D1254" s="103" t="b">
        <f>IF(AND('AES Indiana Bill Calc.'!$D$17="HL4",'AES Indiana Bill Calc.'!$D$18="Yes 50%",'AES Indiana Bill Calc.'!$D$20="Yes 2022"),'AES Indiana Bill Calc.'!$D$22)</f>
        <v>0</v>
      </c>
      <c r="E1254" s="103" t="b">
        <f>IF(AND('AES Indiana Bill Calc.'!$D$17="HL4",'AES Indiana Bill Calc.'!$D$18="Yes 50%",'AES Indiana Bill Calc.'!$D$20="Yes 2022"),'AES Indiana Bill Calc.'!$D$21)</f>
        <v>0</v>
      </c>
      <c r="F1254" s="36" t="s">
        <v>260</v>
      </c>
      <c r="G1254" s="92" t="e">
        <f>SUM(J1254:M1254,R1254:AA1254)</f>
        <v>#N/A</v>
      </c>
      <c r="H1254" s="19" t="e">
        <f>IF(ISBLANK(B1254),0,+#REF!/B1254)</f>
        <v>#REF!</v>
      </c>
      <c r="J1254" s="51">
        <f>IF(ISBLANK(B1254),0,+J$1071)</f>
        <v>500</v>
      </c>
      <c r="K1254" s="17">
        <f>ROUND($B1254*K$1187,2)</f>
        <v>-0.06</v>
      </c>
      <c r="L1254" s="17">
        <f>IF(ISBLANK($C1254),0,IF($C1254&lt;$C$1072,ROUND($C$1072*$L$1187,2),IF($C1254&gt;L$1188,ROUND(L$1188*L$1187,2),ROUND($C1254*L$1187,2))))</f>
        <v>30120</v>
      </c>
      <c r="M1254" s="17">
        <f>IF($C1254&gt;L$957,ROUND(($C1254-L$957)*M$956,2),0)</f>
        <v>0</v>
      </c>
      <c r="N1254" s="17">
        <f>K1254</f>
        <v>-0.06</v>
      </c>
      <c r="O1254" s="17"/>
      <c r="P1254" s="17"/>
      <c r="Q1254" s="17">
        <f>SUM(L1254:M1254)</f>
        <v>30120</v>
      </c>
      <c r="R1254" s="16" t="e">
        <f>ROUND(SUM(K1254:M1254)*(R1253-1),2)</f>
        <v>#N/A</v>
      </c>
      <c r="S1254" s="17">
        <f>ROUND($B1254*S$1071*S1253,2)</f>
        <v>0</v>
      </c>
      <c r="T1254" s="17">
        <f>ROUND($B1254*T$1187,2)</f>
        <v>0</v>
      </c>
      <c r="U1254" s="17">
        <f>ROUND($B1254*U$1187,2)</f>
        <v>0</v>
      </c>
      <c r="V1254" s="17">
        <f>ROUND($B1254*V$1067,2)</f>
        <v>0</v>
      </c>
      <c r="W1254" s="17">
        <f>ROUND($B1254*W$1187,2)</f>
        <v>0</v>
      </c>
      <c r="X1254" s="17">
        <f>ROUND($B1254*X$1187,2)</f>
        <v>-0.01</v>
      </c>
      <c r="Y1254" s="17">
        <f>ROUND($B1254*Y$1187,2)</f>
        <v>0</v>
      </c>
      <c r="Z1254" s="17">
        <f>ROUND($B1254*Z$1187,2)</f>
        <v>0</v>
      </c>
      <c r="AA1254" s="17">
        <f>ROUND($B1254*AA$1187,2)</f>
        <v>0</v>
      </c>
      <c r="AB1254" s="19">
        <f>SUM(V1217:AA1217)</f>
        <v>0</v>
      </c>
      <c r="AC1254" s="67" t="str">
        <f>+F1254</f>
        <v>HL42</v>
      </c>
    </row>
    <row r="1255" spans="1:29" x14ac:dyDescent="0.2">
      <c r="A1255" s="9"/>
      <c r="B1255" s="103">
        <v>-1</v>
      </c>
      <c r="D1255" s="8"/>
      <c r="E1255" s="9"/>
      <c r="F1255" s="36"/>
      <c r="G1255" s="17"/>
      <c r="H1255" s="19"/>
      <c r="J1255" s="8"/>
      <c r="K1255" s="17"/>
      <c r="L1255" s="17"/>
      <c r="M1255" s="17"/>
      <c r="N1255" s="17"/>
      <c r="O1255" s="17"/>
      <c r="P1255" s="17"/>
      <c r="Q1255" s="17"/>
      <c r="R1255" s="38" t="e">
        <f>VLOOKUP((D1256),'Pwr Factor'!$A$1:$B$52,2)</f>
        <v>#N/A</v>
      </c>
      <c r="S1255" s="50">
        <v>0.25</v>
      </c>
      <c r="T1255" s="17"/>
      <c r="U1255" s="17"/>
      <c r="V1255" s="17"/>
      <c r="W1255" s="17"/>
      <c r="X1255" s="17"/>
      <c r="Y1255" s="17"/>
      <c r="Z1255" s="17"/>
      <c r="AA1255" s="17"/>
    </row>
    <row r="1256" spans="1:29" x14ac:dyDescent="0.2">
      <c r="A1256" s="1" t="s">
        <v>150</v>
      </c>
      <c r="B1256" s="103">
        <f>IF(AND('AES Indiana Bill Calc.'!$D$17="HL4",'AES Indiana Bill Calc.'!$D$18="Yes 25%",'AES Indiana Bill Calc.'!$D$20="Yes 2022"),'AES Indiana Bill Calc.'!$D$19,-1)</f>
        <v>-1</v>
      </c>
      <c r="C1256" s="103">
        <f>MAX(E1256,$C$837)</f>
        <v>2000</v>
      </c>
      <c r="D1256" s="103" t="b">
        <f>IF(AND('AES Indiana Bill Calc.'!$D$17="HL4",'AES Indiana Bill Calc.'!$D$18="Yes 25%",'AES Indiana Bill Calc.'!$D$20="Yes 2022"),'AES Indiana Bill Calc.'!$D$22)</f>
        <v>0</v>
      </c>
      <c r="E1256" s="103" t="b">
        <f>IF(AND('AES Indiana Bill Calc.'!$D$17="HL4",'AES Indiana Bill Calc.'!$D$18="Yes 25%",'AES Indiana Bill Calc.'!$D$20="Yes 2022"),'AES Indiana Bill Calc.'!$D$21)</f>
        <v>0</v>
      </c>
      <c r="F1256" s="36" t="s">
        <v>260</v>
      </c>
      <c r="G1256" s="92" t="e">
        <f>SUM(J1256:M1256,R1256:AA1256)</f>
        <v>#N/A</v>
      </c>
      <c r="H1256" s="19" t="e">
        <f>IF(ISBLANK(B1256),0,+#REF!/B1256)</f>
        <v>#REF!</v>
      </c>
      <c r="J1256" s="51">
        <f>IF(ISBLANK(B1256),0,+J$1071)</f>
        <v>500</v>
      </c>
      <c r="K1256" s="17">
        <f>ROUND($B1256*K$1187,2)</f>
        <v>-0.06</v>
      </c>
      <c r="L1256" s="17">
        <f>IF(ISBLANK($C1256),0,IF($C1256&lt;$C$1072,ROUND($C$1072*$L$1187,2),IF($C1256&gt;L$1188,ROUND(L$1188*L$1187,2),ROUND($C1256*L$1187,2))))</f>
        <v>30120</v>
      </c>
      <c r="M1256" s="17">
        <f>IF($C1256&gt;L$957,ROUND(($C1256-L$957)*M$956,2),0)</f>
        <v>0</v>
      </c>
      <c r="N1256" s="17">
        <f>K1256</f>
        <v>-0.06</v>
      </c>
      <c r="O1256" s="17"/>
      <c r="P1256" s="17"/>
      <c r="Q1256" s="17">
        <f>SUM(L1256:M1256)</f>
        <v>30120</v>
      </c>
      <c r="R1256" s="16" t="e">
        <f>ROUND(SUM(K1256:M1256)*(R1255-1),2)</f>
        <v>#N/A</v>
      </c>
      <c r="S1256" s="17">
        <f>ROUND($B1256*S$1071*S1255,2)</f>
        <v>0</v>
      </c>
      <c r="T1256" s="17">
        <f>ROUND($B1256*T$1187,2)</f>
        <v>0</v>
      </c>
      <c r="U1256" s="17">
        <f>ROUND($B1256*U$1187,2)</f>
        <v>0</v>
      </c>
      <c r="V1256" s="17">
        <f>ROUND($B1256*V$1067,2)</f>
        <v>0</v>
      </c>
      <c r="W1256" s="17">
        <f>ROUND($B1256*W$1187,2)</f>
        <v>0</v>
      </c>
      <c r="X1256" s="17">
        <f>ROUND($B1256*X$1187,2)</f>
        <v>-0.01</v>
      </c>
      <c r="Y1256" s="17">
        <f>ROUND($B1256*Y$1187,2)</f>
        <v>0</v>
      </c>
      <c r="Z1256" s="17">
        <f>ROUND($B1256*Z$1187,2)</f>
        <v>0</v>
      </c>
      <c r="AA1256" s="17">
        <f>ROUND($B1256*AA$1187,2)</f>
        <v>0</v>
      </c>
      <c r="AB1256" s="19">
        <f>SUM(V1219:AA1219)</f>
        <v>0</v>
      </c>
      <c r="AC1256" s="67" t="str">
        <f>+F1256</f>
        <v>HL42</v>
      </c>
    </row>
    <row r="1257" spans="1:29" x14ac:dyDescent="0.2">
      <c r="A1257" s="9"/>
      <c r="B1257" s="103">
        <v>-1</v>
      </c>
      <c r="D1257" s="8"/>
      <c r="E1257" s="9"/>
      <c r="F1257" s="36"/>
      <c r="G1257" s="17"/>
      <c r="H1257" s="19"/>
      <c r="J1257" s="8"/>
      <c r="K1257" s="17"/>
      <c r="L1257" s="17"/>
      <c r="M1257" s="17"/>
      <c r="N1257" s="17"/>
      <c r="O1257" s="17"/>
      <c r="P1257" s="17"/>
      <c r="Q1257" s="17"/>
      <c r="R1257" s="38" t="e">
        <f>VLOOKUP((D1258),'Pwr Factor'!$A$1:$B$52,2)</f>
        <v>#N/A</v>
      </c>
      <c r="S1257" s="50">
        <v>0.1</v>
      </c>
      <c r="T1257" s="17"/>
      <c r="U1257" s="17"/>
      <c r="V1257" s="17"/>
      <c r="W1257" s="17"/>
      <c r="X1257" s="17"/>
      <c r="Y1257" s="17"/>
      <c r="Z1257" s="17"/>
      <c r="AA1257" s="17"/>
    </row>
    <row r="1258" spans="1:29" x14ac:dyDescent="0.2">
      <c r="A1258" s="1" t="s">
        <v>164</v>
      </c>
      <c r="B1258" s="103">
        <f>IF(AND('AES Indiana Bill Calc.'!$D$17="HL4",'AES Indiana Bill Calc.'!$D$18="Yes 10%",'AES Indiana Bill Calc.'!$D$20="Yes 2022"),'AES Indiana Bill Calc.'!$D$19,-1)</f>
        <v>-1</v>
      </c>
      <c r="C1258" s="103">
        <f>MAX(E1258,$C$837)</f>
        <v>2000</v>
      </c>
      <c r="D1258" s="103" t="b">
        <f>IF(AND('AES Indiana Bill Calc.'!$D$17="HL4",'AES Indiana Bill Calc.'!$D$18="Yes 10%",'AES Indiana Bill Calc.'!$D$20="Yes 2022"),'AES Indiana Bill Calc.'!$D$22)</f>
        <v>0</v>
      </c>
      <c r="E1258" s="103" t="b">
        <f>IF(AND('AES Indiana Bill Calc.'!$D$17="HL4",'AES Indiana Bill Calc.'!$D$18="Yes 10%",'AES Indiana Bill Calc.'!$D$20="Yes 2022"),'AES Indiana Bill Calc.'!$D$21)</f>
        <v>0</v>
      </c>
      <c r="F1258" s="36" t="s">
        <v>260</v>
      </c>
      <c r="G1258" s="92" t="e">
        <f>SUM(J1258:M1258,R1258:AA1258)</f>
        <v>#N/A</v>
      </c>
      <c r="H1258" s="19" t="e">
        <f>IF(ISBLANK(B1258),0,+#REF!/B1258)</f>
        <v>#REF!</v>
      </c>
      <c r="J1258" s="51">
        <f>IF(ISBLANK(B1258),0,+J$1071)</f>
        <v>500</v>
      </c>
      <c r="K1258" s="17">
        <f>ROUND($B1258*K$1187,2)</f>
        <v>-0.06</v>
      </c>
      <c r="L1258" s="17">
        <f>IF(ISBLANK($C1258),0,IF($C1258&lt;$C$1072,ROUND($C$1072*$L$1187,2),IF($C1258&gt;L$1188,ROUND(L$1188*L$1187,2),ROUND($C1258*L$1187,2))))</f>
        <v>30120</v>
      </c>
      <c r="M1258" s="17">
        <f>IF($C1258&gt;L$957,ROUND(($C1258-L$957)*M$956,2),0)</f>
        <v>0</v>
      </c>
      <c r="N1258" s="17">
        <f>K1258</f>
        <v>-0.06</v>
      </c>
      <c r="O1258" s="17"/>
      <c r="P1258" s="17"/>
      <c r="Q1258" s="17">
        <f>SUM(L1258:M1258)</f>
        <v>30120</v>
      </c>
      <c r="R1258" s="16" t="e">
        <f>ROUND(SUM(K1258:M1258)*(R1257-1),2)</f>
        <v>#N/A</v>
      </c>
      <c r="S1258" s="17">
        <f>ROUND($B1258*S$1071*S1257,2)</f>
        <v>0</v>
      </c>
      <c r="T1258" s="17">
        <f>ROUND($B1258*T$1187,2)</f>
        <v>0</v>
      </c>
      <c r="U1258" s="17">
        <f>ROUND($B1258*U$1187,2)</f>
        <v>0</v>
      </c>
      <c r="V1258" s="17">
        <f>ROUND($B1258*V$1067,2)</f>
        <v>0</v>
      </c>
      <c r="W1258" s="17">
        <f>ROUND($B1258*W$1187,2)</f>
        <v>0</v>
      </c>
      <c r="X1258" s="17">
        <f>ROUND($B1258*X$1187,2)</f>
        <v>-0.01</v>
      </c>
      <c r="Y1258" s="17">
        <f>ROUND($B1258*Y$1187,2)</f>
        <v>0</v>
      </c>
      <c r="Z1258" s="17">
        <f>ROUND($B1258*Z$1187,2)</f>
        <v>0</v>
      </c>
      <c r="AA1258" s="17">
        <f>ROUND($B1258*AA$1187,2)</f>
        <v>0</v>
      </c>
      <c r="AB1258" s="19">
        <f>SUM(V1221:AA1221)</f>
        <v>0</v>
      </c>
      <c r="AC1258" s="67" t="str">
        <f>+F1258</f>
        <v>HL42</v>
      </c>
    </row>
    <row r="1259" spans="1:29" x14ac:dyDescent="0.2">
      <c r="A1259" s="9"/>
      <c r="B1259" s="103">
        <v>-1</v>
      </c>
      <c r="D1259" s="8"/>
      <c r="E1259" s="9"/>
      <c r="F1259" s="36"/>
      <c r="G1259" s="17"/>
      <c r="H1259" s="19"/>
      <c r="J1259" s="8"/>
      <c r="K1259" s="17"/>
      <c r="L1259" s="17"/>
      <c r="M1259" s="17"/>
      <c r="N1259" s="17"/>
      <c r="O1259" s="17"/>
      <c r="P1259" s="17"/>
      <c r="Q1259" s="17"/>
      <c r="R1259" s="38" t="e">
        <f>VLOOKUP((D1260),'Pwr Factor'!$A$1:$B$52,2)</f>
        <v>#N/A</v>
      </c>
      <c r="S1259" s="50">
        <v>0</v>
      </c>
      <c r="T1259" s="17"/>
      <c r="U1259" s="17"/>
      <c r="V1259" s="17"/>
      <c r="W1259" s="17"/>
      <c r="X1259" s="17"/>
      <c r="Y1259" s="17"/>
      <c r="Z1259" s="17"/>
      <c r="AA1259" s="17"/>
    </row>
    <row r="1260" spans="1:29" x14ac:dyDescent="0.2">
      <c r="A1260" s="1" t="s">
        <v>147</v>
      </c>
      <c r="B1260" s="103">
        <f>IF(AND('AES Indiana Bill Calc.'!$D$17="HL4",'AES Indiana Bill Calc.'!$D$18="No",'AES Indiana Bill Calc.'!$D$20="Yes 2022"),'AES Indiana Bill Calc.'!$D$19,-1)</f>
        <v>-1</v>
      </c>
      <c r="C1260" s="103">
        <f>MAX(E1260,$C$837)</f>
        <v>2000</v>
      </c>
      <c r="D1260" s="103" t="b">
        <f>IF(AND('AES Indiana Bill Calc.'!$D$17="HL4",'AES Indiana Bill Calc.'!$D$18="No",'AES Indiana Bill Calc.'!$D$20="Yes 2022"),'AES Indiana Bill Calc.'!$D$22)</f>
        <v>0</v>
      </c>
      <c r="E1260" s="103" t="b">
        <f>IF(AND('AES Indiana Bill Calc.'!$D$17="HL4",'AES Indiana Bill Calc.'!$D$18="No",'AES Indiana Bill Calc.'!$D$20="Yes 2022"),'AES Indiana Bill Calc.'!$D$21)</f>
        <v>0</v>
      </c>
      <c r="F1260" s="36" t="s">
        <v>260</v>
      </c>
      <c r="G1260" s="92" t="e">
        <f>SUM(J1260:M1260,R1260:AA1260)</f>
        <v>#N/A</v>
      </c>
      <c r="H1260" s="19" t="e">
        <f>IF(ISBLANK(B1260),0,+#REF!/B1260)</f>
        <v>#REF!</v>
      </c>
      <c r="J1260" s="51">
        <f>IF(ISBLANK(B1260),0,+J$1071)</f>
        <v>500</v>
      </c>
      <c r="K1260" s="17">
        <f>ROUND($B1260*K$1187,2)</f>
        <v>-0.06</v>
      </c>
      <c r="L1260" s="17">
        <f>IF(ISBLANK($C1260),0,IF($C1260&lt;$C$1072,ROUND($C$1072*$L$1187,2),IF($C1260&gt;L$1188,ROUND(L$1188*L$1187,2),ROUND($C1260*L$1187,2))))</f>
        <v>30120</v>
      </c>
      <c r="M1260" s="17">
        <f>IF($C1260&gt;L$957,ROUND(($C1260-L$957)*M$956,2),0)</f>
        <v>0</v>
      </c>
      <c r="N1260" s="17">
        <f>K1260</f>
        <v>-0.06</v>
      </c>
      <c r="O1260" s="17"/>
      <c r="P1260" s="17"/>
      <c r="Q1260" s="17">
        <f>SUM(L1260:M1260)</f>
        <v>30120</v>
      </c>
      <c r="R1260" s="16" t="e">
        <f>ROUND(SUM(K1260:M1260)*(R1259-1),2)</f>
        <v>#N/A</v>
      </c>
      <c r="S1260" s="17">
        <f>ROUND($B1260*S$1071*S1259,2)</f>
        <v>0</v>
      </c>
      <c r="T1260" s="17">
        <f>ROUND($B1260*T$1187,2)</f>
        <v>0</v>
      </c>
      <c r="U1260" s="17">
        <f>ROUND($B1260*U$1187,2)</f>
        <v>0</v>
      </c>
      <c r="V1260" s="17">
        <f>ROUND($B1260*V$1067,2)</f>
        <v>0</v>
      </c>
      <c r="W1260" s="17">
        <f>ROUND($B1260*W$1187,2)</f>
        <v>0</v>
      </c>
      <c r="X1260" s="17">
        <f>ROUND($B1260*X$1187,2)</f>
        <v>-0.01</v>
      </c>
      <c r="Y1260" s="17">
        <f>ROUND($B1260*Y$1187,2)</f>
        <v>0</v>
      </c>
      <c r="Z1260" s="17">
        <f>ROUND($B1260*Z$1187,2)</f>
        <v>0</v>
      </c>
      <c r="AA1260" s="17">
        <f>ROUND($B1260*AA$1187,2)</f>
        <v>0</v>
      </c>
      <c r="AB1260" s="19">
        <f>SUM(V1223:AA1223)</f>
        <v>0</v>
      </c>
      <c r="AC1260" s="67" t="str">
        <f>+F1260</f>
        <v>HL42</v>
      </c>
    </row>
    <row r="1261" spans="1:29" x14ac:dyDescent="0.2">
      <c r="B1261" s="103">
        <v>-1</v>
      </c>
      <c r="D1261" s="8"/>
      <c r="E1261" s="9"/>
      <c r="F1261" s="36"/>
      <c r="G1261" s="17"/>
      <c r="H1261" s="19"/>
      <c r="J1261" s="8"/>
      <c r="K1261" s="17"/>
      <c r="L1261" s="17"/>
      <c r="M1261" s="17"/>
      <c r="N1261" s="17"/>
      <c r="O1261" s="17"/>
      <c r="P1261" s="17"/>
      <c r="Q1261" s="17"/>
      <c r="R1261" s="38" t="e">
        <f>VLOOKUP((D1262),'Pwr Factor'!$A$1:$B$52,2)</f>
        <v>#N/A</v>
      </c>
      <c r="S1261" s="50">
        <v>1</v>
      </c>
      <c r="T1261" s="17"/>
      <c r="U1261" s="17"/>
      <c r="V1261" s="17"/>
      <c r="W1261" s="17"/>
      <c r="X1261" s="17"/>
      <c r="Y1261" s="17"/>
      <c r="Z1261" s="17"/>
      <c r="AA1261" s="17"/>
    </row>
    <row r="1262" spans="1:29" x14ac:dyDescent="0.2">
      <c r="A1262" s="1" t="s">
        <v>148</v>
      </c>
      <c r="B1262" s="103">
        <f>IF(AND('AES Indiana Bill Calc.'!$D$17="HL4",'AES Indiana Bill Calc.'!$D$18="Yes 100%",'AES Indiana Bill Calc.'!$D$20="Yes 2023"),'AES Indiana Bill Calc.'!$D$19,-1)</f>
        <v>-1</v>
      </c>
      <c r="C1262" s="103">
        <f>MAX(E1262,$C$837)</f>
        <v>2000</v>
      </c>
      <c r="D1262" s="103" t="b">
        <f>IF(AND('AES Indiana Bill Calc.'!$D$17="HL4",'AES Indiana Bill Calc.'!$D$18="Yes 100%",'AES Indiana Bill Calc.'!$D$20="Yes 2023"),'AES Indiana Bill Calc.'!$D$22)</f>
        <v>0</v>
      </c>
      <c r="E1262" s="103" t="b">
        <f>IF(AND('AES Indiana Bill Calc.'!$D$17="HL4",'AES Indiana Bill Calc.'!$D$18="Yes 100%",'AES Indiana Bill Calc.'!$D$20="Yes 2023"),'AES Indiana Bill Calc.'!$D$21)</f>
        <v>0</v>
      </c>
      <c r="F1262" s="36" t="s">
        <v>261</v>
      </c>
      <c r="G1262" s="92" t="e">
        <f>SUM(J1262:M1262,R1262:AA1262)</f>
        <v>#N/A</v>
      </c>
      <c r="H1262" s="19" t="e">
        <f>IF(ISBLANK(B1262),0,+#REF!/B1262)</f>
        <v>#REF!</v>
      </c>
      <c r="J1262" s="51">
        <f>IF(ISBLANK(B1262),0,+J$1071)</f>
        <v>500</v>
      </c>
      <c r="K1262" s="17">
        <f>ROUND($B1262*K$1187,2)</f>
        <v>-0.06</v>
      </c>
      <c r="L1262" s="17">
        <f>IF(ISBLANK($C1262),0,IF($C1262&lt;$C$1072,ROUND($C$1072*$L$1187,2),IF($C1262&gt;L$1188,ROUND(L$1188*L$1187,2),ROUND($C1262*L$1187,2))))</f>
        <v>30120</v>
      </c>
      <c r="M1262" s="17">
        <f>IF($C1262&gt;L$957,ROUND(($C1262-L$957)*M$956,2),0)</f>
        <v>0</v>
      </c>
      <c r="N1262" s="17">
        <f>K1262</f>
        <v>-0.06</v>
      </c>
      <c r="O1262" s="17"/>
      <c r="P1262" s="17"/>
      <c r="Q1262" s="17">
        <f>SUM(L1262:M1262)</f>
        <v>30120</v>
      </c>
      <c r="R1262" s="16" t="e">
        <f>ROUND(SUM(K1262:M1262)*(R1261-1),2)</f>
        <v>#N/A</v>
      </c>
      <c r="S1262" s="17">
        <f>ROUND($B1262*S$1071*S1261,2)</f>
        <v>0</v>
      </c>
      <c r="T1262" s="17">
        <f>ROUND($B1262*T$1187,2)</f>
        <v>0</v>
      </c>
      <c r="U1262" s="17">
        <f>ROUND($B1262*U$1187,2)</f>
        <v>0</v>
      </c>
      <c r="V1262" s="17">
        <f>ROUND($B1262*V$1067,2)</f>
        <v>0</v>
      </c>
      <c r="W1262" s="17">
        <f>ROUND($B1262*W$1187,2)</f>
        <v>0</v>
      </c>
      <c r="X1262" s="17">
        <f>ROUND($B1262*X$1187,2)</f>
        <v>-0.01</v>
      </c>
      <c r="Y1262" s="17">
        <f>ROUND($B1262*Y$1187,2)</f>
        <v>0</v>
      </c>
      <c r="Z1262" s="17">
        <f>ROUND($B1262*Z$1187,2)</f>
        <v>0</v>
      </c>
      <c r="AA1262" s="17">
        <f>ROUND($B1262*AA$1187,2)</f>
        <v>0</v>
      </c>
      <c r="AB1262" s="19">
        <f>SUM(V1225:AA1225)</f>
        <v>0</v>
      </c>
      <c r="AC1262" s="67" t="str">
        <f>+F1262</f>
        <v>HL43</v>
      </c>
    </row>
    <row r="1263" spans="1:29" x14ac:dyDescent="0.2">
      <c r="A1263" s="48"/>
      <c r="B1263" s="103">
        <v>-1</v>
      </c>
      <c r="D1263" s="8"/>
      <c r="E1263" s="9"/>
      <c r="F1263" s="36"/>
      <c r="G1263" s="17"/>
      <c r="H1263" s="19"/>
      <c r="J1263" s="8"/>
      <c r="K1263" s="17"/>
      <c r="L1263" s="17"/>
      <c r="M1263" s="17"/>
      <c r="N1263" s="17"/>
      <c r="O1263" s="17"/>
      <c r="P1263" s="17"/>
      <c r="Q1263" s="17"/>
      <c r="R1263" s="38" t="e">
        <f>VLOOKUP((D1264),'Pwr Factor'!$A$1:$B$52,2)</f>
        <v>#N/A</v>
      </c>
      <c r="S1263" s="50">
        <v>0.5</v>
      </c>
      <c r="T1263" s="17"/>
      <c r="U1263" s="17"/>
      <c r="V1263" s="17"/>
      <c r="W1263" s="17"/>
      <c r="X1263" s="17"/>
      <c r="Y1263" s="17"/>
      <c r="Z1263" s="17"/>
      <c r="AA1263" s="17"/>
    </row>
    <row r="1264" spans="1:29" x14ac:dyDescent="0.2">
      <c r="A1264" s="1" t="s">
        <v>149</v>
      </c>
      <c r="B1264" s="103">
        <f>IF(AND('AES Indiana Bill Calc.'!$D$17="HL4",'AES Indiana Bill Calc.'!$D$18="Yes 50%",'AES Indiana Bill Calc.'!$D$20="Yes 2023"),'AES Indiana Bill Calc.'!$D$19,-1)</f>
        <v>-1</v>
      </c>
      <c r="C1264" s="103">
        <f>MAX(E1264,$C$837)</f>
        <v>2000</v>
      </c>
      <c r="D1264" s="103" t="b">
        <f>IF(AND('AES Indiana Bill Calc.'!$D$17="HL4",'AES Indiana Bill Calc.'!$D$18="Yes 50%",'AES Indiana Bill Calc.'!$D$20="Yes 2023"),'AES Indiana Bill Calc.'!$D$22)</f>
        <v>0</v>
      </c>
      <c r="E1264" s="103" t="b">
        <f>IF(AND('AES Indiana Bill Calc.'!$D$17="HL4",'AES Indiana Bill Calc.'!$D$18="Yes 50%",'AES Indiana Bill Calc.'!$D$20="Yes 2023"),'AES Indiana Bill Calc.'!$D$21)</f>
        <v>0</v>
      </c>
      <c r="F1264" s="36" t="s">
        <v>261</v>
      </c>
      <c r="G1264" s="92" t="e">
        <f>SUM(J1264:M1264,R1264:AA1264)</f>
        <v>#N/A</v>
      </c>
      <c r="H1264" s="19" t="e">
        <f>IF(ISBLANK(B1264),0,+#REF!/B1264)</f>
        <v>#REF!</v>
      </c>
      <c r="J1264" s="51">
        <f>IF(ISBLANK(B1264),0,+J$1071)</f>
        <v>500</v>
      </c>
      <c r="K1264" s="17">
        <f>ROUND($B1264*K$1187,2)</f>
        <v>-0.06</v>
      </c>
      <c r="L1264" s="17">
        <f>IF(ISBLANK($C1264),0,IF($C1264&lt;$C$1072,ROUND($C$1072*$L$1187,2),IF($C1264&gt;L$1188,ROUND(L$1188*L$1187,2),ROUND($C1264*L$1187,2))))</f>
        <v>30120</v>
      </c>
      <c r="M1264" s="17">
        <f>IF($C1264&gt;L$957,ROUND(($C1264-L$957)*M$956,2),0)</f>
        <v>0</v>
      </c>
      <c r="N1264" s="17">
        <f>K1264</f>
        <v>-0.06</v>
      </c>
      <c r="O1264" s="17"/>
      <c r="P1264" s="17"/>
      <c r="Q1264" s="17">
        <f>SUM(L1264:M1264)</f>
        <v>30120</v>
      </c>
      <c r="R1264" s="16" t="e">
        <f>ROUND(SUM(K1264:M1264)*(R1263-1),2)</f>
        <v>#N/A</v>
      </c>
      <c r="S1264" s="17">
        <f>ROUND($B1264*S$1071*S1263,2)</f>
        <v>0</v>
      </c>
      <c r="T1264" s="17">
        <f>ROUND($B1264*T$1187,2)</f>
        <v>0</v>
      </c>
      <c r="U1264" s="17">
        <f>ROUND($B1264*U$1187,2)</f>
        <v>0</v>
      </c>
      <c r="V1264" s="17">
        <f>ROUND($B1264*V$1067,2)</f>
        <v>0</v>
      </c>
      <c r="W1264" s="17">
        <f>ROUND($B1264*W$1187,2)</f>
        <v>0</v>
      </c>
      <c r="X1264" s="17">
        <f>ROUND($B1264*X$1187,2)</f>
        <v>-0.01</v>
      </c>
      <c r="Y1264" s="17">
        <f>ROUND($B1264*Y$1187,2)</f>
        <v>0</v>
      </c>
      <c r="Z1264" s="17">
        <f>ROUND($B1264*Z$1187,2)</f>
        <v>0</v>
      </c>
      <c r="AA1264" s="17">
        <f>ROUND($B1264*AA$1187,2)</f>
        <v>0</v>
      </c>
      <c r="AB1264" s="19">
        <f>SUM(V1227:AA1227)</f>
        <v>0</v>
      </c>
      <c r="AC1264" s="67" t="str">
        <f>+F1264</f>
        <v>HL43</v>
      </c>
    </row>
    <row r="1265" spans="1:29" x14ac:dyDescent="0.2">
      <c r="A1265" s="9"/>
      <c r="B1265" s="103">
        <v>-1</v>
      </c>
      <c r="D1265" s="8"/>
      <c r="E1265" s="9"/>
      <c r="F1265" s="36"/>
      <c r="G1265" s="17"/>
      <c r="H1265" s="19"/>
      <c r="J1265" s="8"/>
      <c r="K1265" s="17"/>
      <c r="L1265" s="17"/>
      <c r="M1265" s="17"/>
      <c r="N1265" s="17"/>
      <c r="O1265" s="17"/>
      <c r="P1265" s="17"/>
      <c r="Q1265" s="17"/>
      <c r="R1265" s="38" t="e">
        <f>VLOOKUP((D1266),'Pwr Factor'!$A$1:$B$52,2)</f>
        <v>#N/A</v>
      </c>
      <c r="S1265" s="50">
        <v>0.25</v>
      </c>
      <c r="T1265" s="17"/>
      <c r="U1265" s="17"/>
      <c r="V1265" s="17"/>
      <c r="W1265" s="17"/>
      <c r="X1265" s="17"/>
      <c r="Y1265" s="17"/>
      <c r="Z1265" s="17"/>
      <c r="AA1265" s="17"/>
    </row>
    <row r="1266" spans="1:29" x14ac:dyDescent="0.2">
      <c r="A1266" s="1" t="s">
        <v>150</v>
      </c>
      <c r="B1266" s="103">
        <f>IF(AND('AES Indiana Bill Calc.'!$D$17="HL4",'AES Indiana Bill Calc.'!$D$18="Yes 25%",'AES Indiana Bill Calc.'!$D$20="Yes 2023"),'AES Indiana Bill Calc.'!$D$19,-1)</f>
        <v>-1</v>
      </c>
      <c r="C1266" s="103">
        <f>MAX(E1266,$C$837)</f>
        <v>2000</v>
      </c>
      <c r="D1266" s="103" t="b">
        <f>IF(AND('AES Indiana Bill Calc.'!$D$17="HL4",'AES Indiana Bill Calc.'!$D$18="Yes 25%",'AES Indiana Bill Calc.'!$D$20="Yes 2023"),'AES Indiana Bill Calc.'!$D$22)</f>
        <v>0</v>
      </c>
      <c r="E1266" s="103" t="b">
        <f>IF(AND('AES Indiana Bill Calc.'!$D$17="HL4",'AES Indiana Bill Calc.'!$D$18="Yes 25%",'AES Indiana Bill Calc.'!$D$20="Yes 2023"),'AES Indiana Bill Calc.'!$D$21)</f>
        <v>0</v>
      </c>
      <c r="F1266" s="36" t="s">
        <v>261</v>
      </c>
      <c r="G1266" s="92" t="e">
        <f>SUM(J1266:M1266,R1266:AA1266)</f>
        <v>#N/A</v>
      </c>
      <c r="H1266" s="19" t="e">
        <f>IF(ISBLANK(B1266),0,+#REF!/B1266)</f>
        <v>#REF!</v>
      </c>
      <c r="J1266" s="51">
        <f>IF(ISBLANK(B1266),0,+J$1071)</f>
        <v>500</v>
      </c>
      <c r="K1266" s="17">
        <f>ROUND($B1266*K$1187,2)</f>
        <v>-0.06</v>
      </c>
      <c r="L1266" s="17">
        <f>IF(ISBLANK($C1266),0,IF($C1266&lt;$C$1072,ROUND($C$1072*$L$1187,2),IF($C1266&gt;L$1188,ROUND(L$1188*L$1187,2),ROUND($C1266*L$1187,2))))</f>
        <v>30120</v>
      </c>
      <c r="M1266" s="17">
        <f>IF($C1266&gt;L$957,ROUND(($C1266-L$957)*M$956,2),0)</f>
        <v>0</v>
      </c>
      <c r="N1266" s="17">
        <f>K1266</f>
        <v>-0.06</v>
      </c>
      <c r="O1266" s="17"/>
      <c r="P1266" s="17"/>
      <c r="Q1266" s="17">
        <f>SUM(L1266:M1266)</f>
        <v>30120</v>
      </c>
      <c r="R1266" s="16" t="e">
        <f>ROUND(SUM(K1266:M1266)*(R1265-1),2)</f>
        <v>#N/A</v>
      </c>
      <c r="S1266" s="17">
        <f>ROUND($B1266*S$1071*S1265,2)</f>
        <v>0</v>
      </c>
      <c r="T1266" s="17">
        <f>ROUND($B1266*T$1187,2)</f>
        <v>0</v>
      </c>
      <c r="U1266" s="17">
        <f>ROUND($B1266*U$1187,2)</f>
        <v>0</v>
      </c>
      <c r="V1266" s="17">
        <f>ROUND($B1266*V$1067,2)</f>
        <v>0</v>
      </c>
      <c r="W1266" s="17">
        <f>ROUND($B1266*W$1187,2)</f>
        <v>0</v>
      </c>
      <c r="X1266" s="17">
        <f>ROUND($B1266*X$1187,2)</f>
        <v>-0.01</v>
      </c>
      <c r="Y1266" s="17">
        <f>ROUND($B1266*Y$1187,2)</f>
        <v>0</v>
      </c>
      <c r="Z1266" s="17">
        <f>ROUND($B1266*Z$1187,2)</f>
        <v>0</v>
      </c>
      <c r="AA1266" s="17">
        <f>ROUND($B1266*AA$1187,2)</f>
        <v>0</v>
      </c>
      <c r="AB1266" s="19">
        <f>SUM(V1229:AA1229)</f>
        <v>0</v>
      </c>
      <c r="AC1266" s="67" t="str">
        <f>+F1266</f>
        <v>HL43</v>
      </c>
    </row>
    <row r="1267" spans="1:29" x14ac:dyDescent="0.2">
      <c r="A1267" s="9"/>
      <c r="B1267" s="103">
        <v>-1</v>
      </c>
      <c r="D1267" s="8"/>
      <c r="E1267" s="9"/>
      <c r="F1267" s="36"/>
      <c r="G1267" s="17"/>
      <c r="H1267" s="19"/>
      <c r="J1267" s="8"/>
      <c r="K1267" s="17"/>
      <c r="L1267" s="17"/>
      <c r="M1267" s="17"/>
      <c r="N1267" s="17"/>
      <c r="O1267" s="17"/>
      <c r="P1267" s="17"/>
      <c r="Q1267" s="17"/>
      <c r="R1267" s="38" t="e">
        <f>VLOOKUP((D1268),'Pwr Factor'!$A$1:$B$52,2)</f>
        <v>#N/A</v>
      </c>
      <c r="S1267" s="50">
        <v>0.1</v>
      </c>
      <c r="T1267" s="17"/>
      <c r="U1267" s="17"/>
      <c r="V1267" s="17"/>
      <c r="W1267" s="17"/>
      <c r="X1267" s="17"/>
      <c r="Y1267" s="17"/>
      <c r="Z1267" s="17"/>
      <c r="AA1267" s="17"/>
    </row>
    <row r="1268" spans="1:29" x14ac:dyDescent="0.2">
      <c r="A1268" s="1" t="s">
        <v>164</v>
      </c>
      <c r="B1268" s="103">
        <f>IF(AND('AES Indiana Bill Calc.'!$D$17="HL4",'AES Indiana Bill Calc.'!$D$18="Yes 10%",'AES Indiana Bill Calc.'!$D$20="Yes 2023"),'AES Indiana Bill Calc.'!$D$19,-1)</f>
        <v>-1</v>
      </c>
      <c r="C1268" s="103">
        <f>MAX(E1268,$C$837)</f>
        <v>2000</v>
      </c>
      <c r="D1268" s="103" t="b">
        <f>IF(AND('AES Indiana Bill Calc.'!$D$17="HL4",'AES Indiana Bill Calc.'!$D$18="Yes 10%",'AES Indiana Bill Calc.'!$D$20="Yes 2023"),'AES Indiana Bill Calc.'!$D$22)</f>
        <v>0</v>
      </c>
      <c r="E1268" s="103" t="b">
        <f>IF(AND('AES Indiana Bill Calc.'!$D$17="HL4",'AES Indiana Bill Calc.'!$D$18="Yes 10%",'AES Indiana Bill Calc.'!$D$20="Yes 2023"),'AES Indiana Bill Calc.'!$D$21)</f>
        <v>0</v>
      </c>
      <c r="F1268" s="36" t="s">
        <v>261</v>
      </c>
      <c r="G1268" s="92" t="e">
        <f>SUM(J1268:M1268,R1268:AA1268)</f>
        <v>#N/A</v>
      </c>
      <c r="H1268" s="19" t="e">
        <f>IF(ISBLANK(B1268),0,+#REF!/B1268)</f>
        <v>#REF!</v>
      </c>
      <c r="J1268" s="51">
        <f>IF(ISBLANK(B1268),0,+J$1071)</f>
        <v>500</v>
      </c>
      <c r="K1268" s="17">
        <f>ROUND($B1268*K$1187,2)</f>
        <v>-0.06</v>
      </c>
      <c r="L1268" s="17">
        <f>IF(ISBLANK($C1268),0,IF($C1268&lt;$C$1072,ROUND($C$1072*$L$1187,2),IF($C1268&gt;L$1188,ROUND(L$1188*L$1187,2),ROUND($C1268*L$1187,2))))</f>
        <v>30120</v>
      </c>
      <c r="M1268" s="17">
        <f>IF($C1268&gt;L$957,ROUND(($C1268-L$957)*M$956,2),0)</f>
        <v>0</v>
      </c>
      <c r="N1268" s="17">
        <f>K1268</f>
        <v>-0.06</v>
      </c>
      <c r="O1268" s="17"/>
      <c r="P1268" s="17"/>
      <c r="Q1268" s="17">
        <f>SUM(L1268:M1268)</f>
        <v>30120</v>
      </c>
      <c r="R1268" s="16" t="e">
        <f>ROUND(SUM(K1268:M1268)*(R1267-1),2)</f>
        <v>#N/A</v>
      </c>
      <c r="S1268" s="17">
        <f>ROUND($B1268*S$1071*S1267,2)</f>
        <v>0</v>
      </c>
      <c r="T1268" s="17">
        <f>ROUND($B1268*T$1187,2)</f>
        <v>0</v>
      </c>
      <c r="U1268" s="17">
        <f>ROUND($B1268*U$1187,2)</f>
        <v>0</v>
      </c>
      <c r="V1268" s="17">
        <f>ROUND($B1268*V$1067,2)</f>
        <v>0</v>
      </c>
      <c r="W1268" s="17">
        <f>ROUND($B1268*W$1187,2)</f>
        <v>0</v>
      </c>
      <c r="X1268" s="17">
        <f>ROUND($B1268*X$1187,2)</f>
        <v>-0.01</v>
      </c>
      <c r="Y1268" s="17">
        <f>ROUND($B1268*Y$1187,2)</f>
        <v>0</v>
      </c>
      <c r="Z1268" s="17">
        <f>ROUND($B1268*Z$1187,2)</f>
        <v>0</v>
      </c>
      <c r="AA1268" s="17">
        <f>ROUND($B1268*AA$1187,2)</f>
        <v>0</v>
      </c>
      <c r="AB1268" s="19">
        <f>SUM(V1231:AA1231)</f>
        <v>0</v>
      </c>
      <c r="AC1268" s="67" t="str">
        <f>+F1268</f>
        <v>HL43</v>
      </c>
    </row>
    <row r="1269" spans="1:29" x14ac:dyDescent="0.2">
      <c r="A1269" s="9"/>
      <c r="B1269" s="103">
        <v>-1</v>
      </c>
      <c r="D1269" s="8"/>
      <c r="E1269" s="9"/>
      <c r="F1269" s="36"/>
      <c r="G1269" s="17"/>
      <c r="H1269" s="19"/>
      <c r="J1269" s="8"/>
      <c r="K1269" s="17"/>
      <c r="L1269" s="17"/>
      <c r="M1269" s="17"/>
      <c r="N1269" s="17"/>
      <c r="O1269" s="17"/>
      <c r="P1269" s="17"/>
      <c r="Q1269" s="17"/>
      <c r="R1269" s="38" t="e">
        <f>VLOOKUP((D1270),'Pwr Factor'!$A$1:$B$52,2)</f>
        <v>#N/A</v>
      </c>
      <c r="S1269" s="50">
        <v>0</v>
      </c>
      <c r="T1269" s="17"/>
      <c r="U1269" s="17"/>
      <c r="V1269" s="17"/>
      <c r="W1269" s="17"/>
      <c r="X1269" s="17"/>
      <c r="Y1269" s="17"/>
      <c r="Z1269" s="17"/>
      <c r="AA1269" s="17"/>
    </row>
    <row r="1270" spans="1:29" x14ac:dyDescent="0.2">
      <c r="A1270" s="1" t="s">
        <v>147</v>
      </c>
      <c r="B1270" s="103">
        <f>IF(AND('AES Indiana Bill Calc.'!$D$17="HL4",'AES Indiana Bill Calc.'!$D$18="No",'AES Indiana Bill Calc.'!$D$20="Yes 2023"),'AES Indiana Bill Calc.'!$D$19,-1)</f>
        <v>-1</v>
      </c>
      <c r="C1270" s="103">
        <f>MAX(E1270,$C$837)</f>
        <v>2000</v>
      </c>
      <c r="D1270" s="103" t="b">
        <f>IF(AND('AES Indiana Bill Calc.'!$D$17="HL4",'AES Indiana Bill Calc.'!$D$18="No",'AES Indiana Bill Calc.'!$D$20="Yes 2023"),'AES Indiana Bill Calc.'!$D$22)</f>
        <v>0</v>
      </c>
      <c r="E1270" s="103" t="b">
        <f>IF(AND('AES Indiana Bill Calc.'!$D$17="HL4",'AES Indiana Bill Calc.'!$D$18="No",'AES Indiana Bill Calc.'!$D$20="Yes 2023"),'AES Indiana Bill Calc.'!$D$21)</f>
        <v>0</v>
      </c>
      <c r="F1270" s="36" t="s">
        <v>261</v>
      </c>
      <c r="G1270" s="92" t="e">
        <f>SUM(J1270:M1270,R1270:AA1270)</f>
        <v>#N/A</v>
      </c>
      <c r="H1270" s="19" t="e">
        <f>IF(ISBLANK(B1270),0,+#REF!/B1270)</f>
        <v>#REF!</v>
      </c>
      <c r="J1270" s="51">
        <f>IF(ISBLANK(B1270),0,+J$1071)</f>
        <v>500</v>
      </c>
      <c r="K1270" s="17">
        <f>ROUND($B1270*K$1187,2)</f>
        <v>-0.06</v>
      </c>
      <c r="L1270" s="17">
        <f>IF(ISBLANK($C1270),0,IF($C1270&lt;$C$1072,ROUND($C$1072*$L$1187,2),IF($C1270&gt;L$1188,ROUND(L$1188*L$1187,2),ROUND($C1270*L$1187,2))))</f>
        <v>30120</v>
      </c>
      <c r="M1270" s="17">
        <f>IF($C1270&gt;L$957,ROUND(($C1270-L$957)*M$956,2),0)</f>
        <v>0</v>
      </c>
      <c r="N1270" s="17">
        <f>K1270</f>
        <v>-0.06</v>
      </c>
      <c r="O1270" s="17"/>
      <c r="P1270" s="17"/>
      <c r="Q1270" s="17">
        <f>SUM(L1270:M1270)</f>
        <v>30120</v>
      </c>
      <c r="R1270" s="16" t="e">
        <f>ROUND(SUM(K1270:M1270)*(R1269-1),2)</f>
        <v>#N/A</v>
      </c>
      <c r="S1270" s="17">
        <f>ROUND($B1270*S$1071*S1269,2)</f>
        <v>0</v>
      </c>
      <c r="T1270" s="17">
        <f>ROUND($B1270*T$1187,2)</f>
        <v>0</v>
      </c>
      <c r="U1270" s="17">
        <f>ROUND($B1270*U$1187,2)</f>
        <v>0</v>
      </c>
      <c r="V1270" s="17">
        <f>ROUND($B1270*V$1067,2)</f>
        <v>0</v>
      </c>
      <c r="W1270" s="17">
        <f>ROUND($B1270*W$1187,2)</f>
        <v>0</v>
      </c>
      <c r="X1270" s="17">
        <f>ROUND($B1270*X$1187,2)</f>
        <v>-0.01</v>
      </c>
      <c r="Y1270" s="17">
        <f>ROUND($B1270*Y$1187,2)</f>
        <v>0</v>
      </c>
      <c r="Z1270" s="17">
        <f>ROUND($B1270*Z$1187,2)</f>
        <v>0</v>
      </c>
      <c r="AA1270" s="17">
        <f>ROUND($B1270*AA$1187,2)</f>
        <v>0</v>
      </c>
      <c r="AB1270" s="19">
        <f>SUM(V1233:AA1233)</f>
        <v>0</v>
      </c>
      <c r="AC1270" s="67" t="str">
        <f>+F1270</f>
        <v>HL43</v>
      </c>
    </row>
    <row r="1271" spans="1:29" ht="13.5" thickBot="1" x14ac:dyDescent="0.25">
      <c r="A1271" s="21"/>
      <c r="B1271" s="106">
        <v>-1</v>
      </c>
      <c r="C1271" s="106"/>
      <c r="D1271" s="111"/>
      <c r="E1271" s="21"/>
      <c r="F1271" s="21"/>
      <c r="G1271" s="95"/>
      <c r="H1271" s="25"/>
      <c r="I1271" s="21"/>
      <c r="J1271" s="112"/>
      <c r="K1271" s="95"/>
      <c r="L1271" s="95"/>
      <c r="M1271" s="95"/>
      <c r="N1271" s="95"/>
      <c r="O1271" s="95"/>
      <c r="P1271" s="95"/>
      <c r="Q1271" s="95"/>
      <c r="R1271" s="113"/>
      <c r="S1271" s="95"/>
      <c r="T1271" s="95"/>
      <c r="U1271" s="95"/>
      <c r="V1271" s="95"/>
      <c r="W1271" s="95"/>
      <c r="X1271" s="95"/>
      <c r="Y1271" s="95"/>
      <c r="Z1271" s="95"/>
      <c r="AA1271" s="95"/>
      <c r="AB1271" s="25"/>
      <c r="AC1271" s="114"/>
    </row>
    <row r="1272" spans="1:29" x14ac:dyDescent="0.2">
      <c r="B1272" s="103">
        <v>-1</v>
      </c>
      <c r="D1272" s="8"/>
      <c r="E1272" s="9"/>
      <c r="F1272" s="36"/>
      <c r="G1272" s="17"/>
      <c r="H1272" s="19"/>
      <c r="J1272" s="8"/>
      <c r="K1272" s="17"/>
      <c r="L1272" s="17"/>
      <c r="M1272" s="17"/>
      <c r="N1272" s="17"/>
      <c r="O1272" s="17"/>
      <c r="P1272" s="17"/>
      <c r="Q1272" s="17"/>
      <c r="R1272" s="38" t="e">
        <f>VLOOKUP((D1273),'Pwr Factor'!$A$1:$B$52,2)</f>
        <v>#N/A</v>
      </c>
      <c r="S1272" s="50">
        <v>1</v>
      </c>
      <c r="T1272" s="17"/>
      <c r="U1272" s="17"/>
      <c r="V1272" s="17"/>
      <c r="W1272" s="17"/>
      <c r="X1272" s="17"/>
      <c r="Y1272" s="17"/>
      <c r="Z1272" s="17"/>
      <c r="AA1272" s="17"/>
    </row>
    <row r="1273" spans="1:29" x14ac:dyDescent="0.2">
      <c r="A1273" s="1" t="s">
        <v>148</v>
      </c>
      <c r="B1273" s="103">
        <f>IF(AND('AES Indiana Bill Calc.'!$D$17="HL4",'AES Indiana Bill Calc.'!$D$18="Yes 100%",'AES Indiana Bill Calc.'!$D$20="Yes 2024"),'AES Indiana Bill Calc.'!$D$19,-1)</f>
        <v>-1</v>
      </c>
      <c r="C1273" s="103">
        <f>MAX(E1273,$C$837)</f>
        <v>2000</v>
      </c>
      <c r="D1273" s="103" t="b">
        <f>IF(AND('AES Indiana Bill Calc.'!$D$17="HL4",'AES Indiana Bill Calc.'!$D$18="Yes 100%",'AES Indiana Bill Calc.'!$D$20="Yes 2024"),'AES Indiana Bill Calc.'!$D$22)</f>
        <v>0</v>
      </c>
      <c r="E1273" s="103" t="b">
        <f>IF(AND('AES Indiana Bill Calc.'!$D$17="HL4",'AES Indiana Bill Calc.'!$D$18="Yes 100%",'AES Indiana Bill Calc.'!$D$20="Yes 2024"),'AES Indiana Bill Calc.'!$D$21)</f>
        <v>0</v>
      </c>
      <c r="F1273" s="36" t="s">
        <v>294</v>
      </c>
      <c r="G1273" s="92" t="e">
        <f>SUM(J1273:M1273,R1273:AA1273)</f>
        <v>#N/A</v>
      </c>
      <c r="H1273" s="19" t="e">
        <f>IF(ISBLANK(B1273),0,+#REF!/B1273)</f>
        <v>#REF!</v>
      </c>
      <c r="J1273" s="51">
        <f>IF(ISBLANK(B1273),0,+J$1071)</f>
        <v>500</v>
      </c>
      <c r="K1273" s="17">
        <f>ROUND($B1273*K$1187,2)</f>
        <v>-0.06</v>
      </c>
      <c r="L1273" s="17">
        <f>IF(ISBLANK($C1273),0,IF($C1273&lt;$C$1072,ROUND($C$1072*$L$1187,2),IF($C1273&gt;L$1188,ROUND(L$1188*L$1187,2),ROUND($C1273*L$1187,2))))</f>
        <v>30120</v>
      </c>
      <c r="M1273" s="17">
        <f>IF($C1273&gt;L$957,ROUND(($C1273-L$957)*M$956,2),0)</f>
        <v>0</v>
      </c>
      <c r="N1273" s="17">
        <f>K1273</f>
        <v>-0.06</v>
      </c>
      <c r="O1273" s="17"/>
      <c r="P1273" s="17"/>
      <c r="Q1273" s="17">
        <f>SUM(L1273:M1273)</f>
        <v>30120</v>
      </c>
      <c r="R1273" s="16" t="e">
        <f>ROUND(SUM(K1273:M1273)*(R1272-1),2)</f>
        <v>#N/A</v>
      </c>
      <c r="S1273" s="17">
        <f>ROUND($B1273*S$1071*S1272,2)</f>
        <v>0</v>
      </c>
      <c r="T1273" s="17">
        <f>ROUND($B1273*T$1187,2)</f>
        <v>0</v>
      </c>
      <c r="U1273" s="17">
        <f>ROUND($B1273*U$1187,2)</f>
        <v>0</v>
      </c>
      <c r="V1273" s="17">
        <f>ROUND($B1273*V$1069,2)</f>
        <v>-0.01</v>
      </c>
      <c r="W1273" s="17">
        <f>ROUND($B1273*W$1187,2)</f>
        <v>0</v>
      </c>
      <c r="X1273" s="17">
        <f>ROUND($B1273*X$1187,2)</f>
        <v>-0.01</v>
      </c>
      <c r="Y1273" s="17">
        <f>ROUND($B1273*Y$1187,2)</f>
        <v>0</v>
      </c>
      <c r="Z1273" s="17">
        <f>ROUND($B1273*Z$1187,2)</f>
        <v>0</v>
      </c>
      <c r="AA1273" s="17">
        <f>ROUND($B1273*AA$1187,2)</f>
        <v>0</v>
      </c>
      <c r="AB1273" s="19">
        <f>SUM(V1236:AA1236)</f>
        <v>-0.01</v>
      </c>
      <c r="AC1273" s="67" t="str">
        <f>+F1273</f>
        <v>HL44</v>
      </c>
    </row>
    <row r="1274" spans="1:29" x14ac:dyDescent="0.2">
      <c r="A1274" s="48"/>
      <c r="B1274" s="103">
        <v>-1</v>
      </c>
      <c r="D1274" s="8"/>
      <c r="E1274" s="9"/>
      <c r="F1274" s="36"/>
      <c r="G1274" s="17"/>
      <c r="H1274" s="19"/>
      <c r="J1274" s="8"/>
      <c r="K1274" s="17"/>
      <c r="L1274" s="17"/>
      <c r="M1274" s="17"/>
      <c r="N1274" s="17"/>
      <c r="O1274" s="17"/>
      <c r="P1274" s="17"/>
      <c r="Q1274" s="17"/>
      <c r="R1274" s="38" t="e">
        <f>VLOOKUP((D1275),'Pwr Factor'!$A$1:$B$52,2)</f>
        <v>#N/A</v>
      </c>
      <c r="S1274" s="50">
        <v>0.5</v>
      </c>
      <c r="T1274" s="17"/>
      <c r="U1274" s="17"/>
      <c r="V1274" s="17"/>
      <c r="W1274" s="17"/>
      <c r="X1274" s="17"/>
      <c r="Y1274" s="17"/>
      <c r="Z1274" s="17"/>
      <c r="AA1274" s="17"/>
    </row>
    <row r="1275" spans="1:29" x14ac:dyDescent="0.2">
      <c r="A1275" s="1" t="s">
        <v>149</v>
      </c>
      <c r="B1275" s="103">
        <f>IF(AND('AES Indiana Bill Calc.'!$D$17="HL4",'AES Indiana Bill Calc.'!$D$18="Yes 50%",'AES Indiana Bill Calc.'!$D$20="Yes 2024"),'AES Indiana Bill Calc.'!$D$19,-1)</f>
        <v>-1</v>
      </c>
      <c r="C1275" s="103">
        <f>MAX(E1275,$C$837)</f>
        <v>2000</v>
      </c>
      <c r="D1275" s="103" t="b">
        <f>IF(AND('AES Indiana Bill Calc.'!$D$17="HL4",'AES Indiana Bill Calc.'!$D$18="Yes 50%",'AES Indiana Bill Calc.'!$D$20="Yes 2024"),'AES Indiana Bill Calc.'!$D$22)</f>
        <v>0</v>
      </c>
      <c r="E1275" s="103" t="b">
        <f>IF(AND('AES Indiana Bill Calc.'!$D$17="HL4",'AES Indiana Bill Calc.'!$D$18="Yes 50%",'AES Indiana Bill Calc.'!$D$20="Yes 2024"),'AES Indiana Bill Calc.'!$D$21)</f>
        <v>0</v>
      </c>
      <c r="F1275" s="36" t="s">
        <v>294</v>
      </c>
      <c r="G1275" s="92" t="e">
        <f>SUM(J1275:M1275,R1275:AA1275)</f>
        <v>#N/A</v>
      </c>
      <c r="H1275" s="19" t="e">
        <f>IF(ISBLANK(B1275),0,+#REF!/B1275)</f>
        <v>#REF!</v>
      </c>
      <c r="J1275" s="51">
        <f>IF(ISBLANK(B1275),0,+J$1071)</f>
        <v>500</v>
      </c>
      <c r="K1275" s="17">
        <f>ROUND($B1275*K$1187,2)</f>
        <v>-0.06</v>
      </c>
      <c r="L1275" s="17">
        <f>IF(ISBLANK($C1275),0,IF($C1275&lt;$C$1072,ROUND($C$1072*$L$1187,2),IF($C1275&gt;L$1188,ROUND(L$1188*L$1187,2),ROUND($C1275*L$1187,2))))</f>
        <v>30120</v>
      </c>
      <c r="M1275" s="17">
        <f>IF($C1275&gt;L$957,ROUND(($C1275-L$957)*M$956,2),0)</f>
        <v>0</v>
      </c>
      <c r="N1275" s="17">
        <f>K1275</f>
        <v>-0.06</v>
      </c>
      <c r="O1275" s="17"/>
      <c r="P1275" s="17"/>
      <c r="Q1275" s="17">
        <f>SUM(L1275:M1275)</f>
        <v>30120</v>
      </c>
      <c r="R1275" s="16" t="e">
        <f>ROUND(SUM(K1275:M1275)*(R1274-1),2)</f>
        <v>#N/A</v>
      </c>
      <c r="S1275" s="17">
        <f>ROUND($B1275*S$1071*S1274,2)</f>
        <v>0</v>
      </c>
      <c r="T1275" s="17">
        <f>ROUND($B1275*T$1187,2)</f>
        <v>0</v>
      </c>
      <c r="U1275" s="17">
        <f>ROUND($B1275*U$1187,2)</f>
        <v>0</v>
      </c>
      <c r="V1275" s="17">
        <f>ROUND($B1275*V$1069,2)</f>
        <v>-0.01</v>
      </c>
      <c r="W1275" s="17">
        <f>ROUND($B1275*W$1187,2)</f>
        <v>0</v>
      </c>
      <c r="X1275" s="17">
        <f>ROUND($B1275*X$1187,2)</f>
        <v>-0.01</v>
      </c>
      <c r="Y1275" s="17">
        <f>ROUND($B1275*Y$1187,2)</f>
        <v>0</v>
      </c>
      <c r="Z1275" s="17">
        <f>ROUND($B1275*Z$1187,2)</f>
        <v>0</v>
      </c>
      <c r="AA1275" s="17">
        <f>ROUND($B1275*AA$1187,2)</f>
        <v>0</v>
      </c>
      <c r="AB1275" s="19">
        <f>SUM(V1238:AA1238)</f>
        <v>-0.01</v>
      </c>
      <c r="AC1275" s="67" t="str">
        <f>+F1275</f>
        <v>HL44</v>
      </c>
    </row>
    <row r="1276" spans="1:29" x14ac:dyDescent="0.2">
      <c r="A1276" s="9"/>
      <c r="B1276" s="103">
        <v>-1</v>
      </c>
      <c r="D1276" s="8"/>
      <c r="E1276" s="9"/>
      <c r="F1276" s="36"/>
      <c r="G1276" s="17"/>
      <c r="H1276" s="19"/>
      <c r="J1276" s="8"/>
      <c r="K1276" s="17"/>
      <c r="L1276" s="17"/>
      <c r="M1276" s="17"/>
      <c r="N1276" s="17"/>
      <c r="O1276" s="17"/>
      <c r="P1276" s="17"/>
      <c r="Q1276" s="17"/>
      <c r="R1276" s="38" t="e">
        <f>VLOOKUP((D1277),'Pwr Factor'!$A$1:$B$52,2)</f>
        <v>#N/A</v>
      </c>
      <c r="S1276" s="50">
        <v>0.25</v>
      </c>
      <c r="T1276" s="17"/>
      <c r="U1276" s="17"/>
      <c r="V1276" s="17"/>
      <c r="W1276" s="17"/>
      <c r="X1276" s="17"/>
      <c r="Y1276" s="17"/>
      <c r="Z1276" s="17"/>
      <c r="AA1276" s="17"/>
    </row>
    <row r="1277" spans="1:29" x14ac:dyDescent="0.2">
      <c r="A1277" s="1" t="s">
        <v>150</v>
      </c>
      <c r="B1277" s="103">
        <f>IF(AND('AES Indiana Bill Calc.'!$D$17="HL4",'AES Indiana Bill Calc.'!$D$18="Yes 25%",'AES Indiana Bill Calc.'!$D$20="Yes 2024"),'AES Indiana Bill Calc.'!$D$19,-1)</f>
        <v>-1</v>
      </c>
      <c r="C1277" s="103">
        <f>MAX(E1277,$C$837)</f>
        <v>2000</v>
      </c>
      <c r="D1277" s="103" t="b">
        <f>IF(AND('AES Indiana Bill Calc.'!$D$17="HL4",'AES Indiana Bill Calc.'!$D$18="Yes 25%",'AES Indiana Bill Calc.'!$D$20="Yes 2024"),'AES Indiana Bill Calc.'!$D$22)</f>
        <v>0</v>
      </c>
      <c r="E1277" s="103" t="b">
        <f>IF(AND('AES Indiana Bill Calc.'!$D$17="HL4",'AES Indiana Bill Calc.'!$D$18="Yes 25%",'AES Indiana Bill Calc.'!$D$20="Yes 2024"),'AES Indiana Bill Calc.'!$D$21)</f>
        <v>0</v>
      </c>
      <c r="F1277" s="36" t="s">
        <v>294</v>
      </c>
      <c r="G1277" s="92" t="e">
        <f>SUM(J1277:M1277,R1277:AA1277)</f>
        <v>#N/A</v>
      </c>
      <c r="H1277" s="19" t="e">
        <f>IF(ISBLANK(B1277),0,+#REF!/B1277)</f>
        <v>#REF!</v>
      </c>
      <c r="J1277" s="51">
        <f>IF(ISBLANK(B1277),0,+J$1071)</f>
        <v>500</v>
      </c>
      <c r="K1277" s="17">
        <f>ROUND($B1277*K$1187,2)</f>
        <v>-0.06</v>
      </c>
      <c r="L1277" s="17">
        <f>IF(ISBLANK($C1277),0,IF($C1277&lt;$C$1072,ROUND($C$1072*$L$1187,2),IF($C1277&gt;L$1188,ROUND(L$1188*L$1187,2),ROUND($C1277*L$1187,2))))</f>
        <v>30120</v>
      </c>
      <c r="M1277" s="17">
        <f>IF($C1277&gt;L$957,ROUND(($C1277-L$957)*M$956,2),0)</f>
        <v>0</v>
      </c>
      <c r="N1277" s="17">
        <f>K1277</f>
        <v>-0.06</v>
      </c>
      <c r="O1277" s="17"/>
      <c r="P1277" s="17"/>
      <c r="Q1277" s="17">
        <f>SUM(L1277:M1277)</f>
        <v>30120</v>
      </c>
      <c r="R1277" s="16" t="e">
        <f>ROUND(SUM(K1277:M1277)*(R1276-1),2)</f>
        <v>#N/A</v>
      </c>
      <c r="S1277" s="17">
        <f>ROUND($B1277*S$1071*S1276,2)</f>
        <v>0</v>
      </c>
      <c r="T1277" s="17">
        <f>ROUND($B1277*T$1187,2)</f>
        <v>0</v>
      </c>
      <c r="U1277" s="17">
        <f>ROUND($B1277*U$1187,2)</f>
        <v>0</v>
      </c>
      <c r="V1277" s="17">
        <f>ROUND($B1277*V$1069,2)</f>
        <v>-0.01</v>
      </c>
      <c r="W1277" s="17">
        <f>ROUND($B1277*W$1187,2)</f>
        <v>0</v>
      </c>
      <c r="X1277" s="17">
        <f>ROUND($B1277*X$1187,2)</f>
        <v>-0.01</v>
      </c>
      <c r="Y1277" s="17">
        <f>ROUND($B1277*Y$1187,2)</f>
        <v>0</v>
      </c>
      <c r="Z1277" s="17">
        <f>ROUND($B1277*Z$1187,2)</f>
        <v>0</v>
      </c>
      <c r="AA1277" s="17">
        <f>ROUND($B1277*AA$1187,2)</f>
        <v>0</v>
      </c>
      <c r="AB1277" s="19">
        <f>SUM(V1240:AA1240)</f>
        <v>-0.01</v>
      </c>
      <c r="AC1277" s="67" t="str">
        <f>+F1277</f>
        <v>HL44</v>
      </c>
    </row>
    <row r="1278" spans="1:29" x14ac:dyDescent="0.2">
      <c r="A1278" s="9"/>
      <c r="B1278" s="103">
        <v>-1</v>
      </c>
      <c r="D1278" s="8"/>
      <c r="E1278" s="9"/>
      <c r="F1278" s="36"/>
      <c r="G1278" s="17"/>
      <c r="H1278" s="19"/>
      <c r="J1278" s="8"/>
      <c r="K1278" s="17"/>
      <c r="L1278" s="17"/>
      <c r="M1278" s="17"/>
      <c r="N1278" s="17"/>
      <c r="O1278" s="17"/>
      <c r="P1278" s="17"/>
      <c r="Q1278" s="17"/>
      <c r="R1278" s="38" t="e">
        <f>VLOOKUP((D1279),'Pwr Factor'!$A$1:$B$52,2)</f>
        <v>#N/A</v>
      </c>
      <c r="S1278" s="50">
        <v>0.1</v>
      </c>
      <c r="T1278" s="17"/>
      <c r="U1278" s="17"/>
      <c r="V1278" s="17"/>
      <c r="W1278" s="17"/>
      <c r="X1278" s="17"/>
      <c r="Y1278" s="17"/>
      <c r="Z1278" s="17"/>
      <c r="AA1278" s="17"/>
    </row>
    <row r="1279" spans="1:29" x14ac:dyDescent="0.2">
      <c r="A1279" s="1" t="s">
        <v>164</v>
      </c>
      <c r="B1279" s="103">
        <f>IF(AND('AES Indiana Bill Calc.'!$D$17="HL4",'AES Indiana Bill Calc.'!$D$18="Yes 10%",'AES Indiana Bill Calc.'!$D$20="Yes 2024"),'AES Indiana Bill Calc.'!$D$19,-1)</f>
        <v>-1</v>
      </c>
      <c r="C1279" s="103">
        <f>MAX(E1279,$C$837)</f>
        <v>2000</v>
      </c>
      <c r="D1279" s="103" t="b">
        <f>IF(AND('AES Indiana Bill Calc.'!$D$17="HL4",'AES Indiana Bill Calc.'!$D$18="Yes 10%",'AES Indiana Bill Calc.'!$D$20="Yes 2024"),'AES Indiana Bill Calc.'!$D$22)</f>
        <v>0</v>
      </c>
      <c r="E1279" s="103" t="b">
        <f>IF(AND('AES Indiana Bill Calc.'!$D$17="HL4",'AES Indiana Bill Calc.'!$D$18="Yes 10%",'AES Indiana Bill Calc.'!$D$20="Yes 2024"),'AES Indiana Bill Calc.'!$D$21)</f>
        <v>0</v>
      </c>
      <c r="F1279" s="36" t="s">
        <v>294</v>
      </c>
      <c r="G1279" s="92" t="e">
        <f>SUM(J1279:M1279,R1279:AA1279)</f>
        <v>#N/A</v>
      </c>
      <c r="H1279" s="19" t="e">
        <f>IF(ISBLANK(B1279),0,+#REF!/B1279)</f>
        <v>#REF!</v>
      </c>
      <c r="J1279" s="51">
        <f>IF(ISBLANK(B1279),0,+J$1071)</f>
        <v>500</v>
      </c>
      <c r="K1279" s="17">
        <f>ROUND($B1279*K$1187,2)</f>
        <v>-0.06</v>
      </c>
      <c r="L1279" s="17">
        <f>IF(ISBLANK($C1279),0,IF($C1279&lt;$C$1072,ROUND($C$1072*$L$1187,2),IF($C1279&gt;L$1188,ROUND(L$1188*L$1187,2),ROUND($C1279*L$1187,2))))</f>
        <v>30120</v>
      </c>
      <c r="M1279" s="17">
        <f>IF($C1279&gt;L$957,ROUND(($C1279-L$957)*M$956,2),0)</f>
        <v>0</v>
      </c>
      <c r="N1279" s="17">
        <f>K1279</f>
        <v>-0.06</v>
      </c>
      <c r="O1279" s="17"/>
      <c r="P1279" s="17"/>
      <c r="Q1279" s="17">
        <f>SUM(L1279:M1279)</f>
        <v>30120</v>
      </c>
      <c r="R1279" s="16" t="e">
        <f>ROUND(SUM(K1279:M1279)*(R1278-1),2)</f>
        <v>#N/A</v>
      </c>
      <c r="S1279" s="17">
        <f>ROUND($B1279*S$1071*S1278,2)</f>
        <v>0</v>
      </c>
      <c r="T1279" s="17">
        <f>ROUND($B1279*T$1187,2)</f>
        <v>0</v>
      </c>
      <c r="U1279" s="17">
        <f>ROUND($B1279*U$1187,2)</f>
        <v>0</v>
      </c>
      <c r="V1279" s="17">
        <f>ROUND($B1279*V$1069,2)</f>
        <v>-0.01</v>
      </c>
      <c r="W1279" s="17">
        <f>ROUND($B1279*W$1187,2)</f>
        <v>0</v>
      </c>
      <c r="X1279" s="17">
        <f>ROUND($B1279*X$1187,2)</f>
        <v>-0.01</v>
      </c>
      <c r="Y1279" s="17">
        <f>ROUND($B1279*Y$1187,2)</f>
        <v>0</v>
      </c>
      <c r="Z1279" s="17">
        <f>ROUND($B1279*Z$1187,2)</f>
        <v>0</v>
      </c>
      <c r="AA1279" s="17">
        <f>ROUND($B1279*AA$1187,2)</f>
        <v>0</v>
      </c>
      <c r="AB1279" s="19">
        <f>SUM(V1242:AA1242)</f>
        <v>-0.01</v>
      </c>
      <c r="AC1279" s="67" t="str">
        <f>+F1279</f>
        <v>HL44</v>
      </c>
    </row>
    <row r="1280" spans="1:29" x14ac:dyDescent="0.2">
      <c r="A1280" s="9"/>
      <c r="B1280" s="103">
        <v>-1</v>
      </c>
      <c r="D1280" s="8"/>
      <c r="E1280" s="9"/>
      <c r="F1280" s="36"/>
      <c r="G1280" s="17"/>
      <c r="H1280" s="19"/>
      <c r="J1280" s="8"/>
      <c r="K1280" s="17"/>
      <c r="L1280" s="17"/>
      <c r="M1280" s="17"/>
      <c r="N1280" s="17"/>
      <c r="O1280" s="17"/>
      <c r="P1280" s="17"/>
      <c r="Q1280" s="17"/>
      <c r="R1280" s="38" t="e">
        <f>VLOOKUP((D1281),'Pwr Factor'!$A$1:$B$52,2)</f>
        <v>#N/A</v>
      </c>
      <c r="S1280" s="50">
        <v>0</v>
      </c>
      <c r="T1280" s="17"/>
      <c r="U1280" s="17"/>
      <c r="V1280" s="17"/>
      <c r="W1280" s="17"/>
      <c r="X1280" s="17"/>
      <c r="Y1280" s="17"/>
      <c r="Z1280" s="17"/>
      <c r="AA1280" s="17"/>
    </row>
    <row r="1281" spans="1:29" x14ac:dyDescent="0.2">
      <c r="A1281" s="1" t="s">
        <v>147</v>
      </c>
      <c r="B1281" s="103">
        <f>IF(AND('AES Indiana Bill Calc.'!$D$17="HL4",'AES Indiana Bill Calc.'!$D$18="No",'AES Indiana Bill Calc.'!$D$20="Yes 2024"),'AES Indiana Bill Calc.'!$D$19,-1)</f>
        <v>-1</v>
      </c>
      <c r="C1281" s="103">
        <f>MAX(E1281,$C$837)</f>
        <v>2000</v>
      </c>
      <c r="D1281" s="103" t="b">
        <f>IF(AND('AES Indiana Bill Calc.'!$D$17="HL4",'AES Indiana Bill Calc.'!$D$18="No",'AES Indiana Bill Calc.'!$D$20="Yes 2024"),'AES Indiana Bill Calc.'!$D$22)</f>
        <v>0</v>
      </c>
      <c r="E1281" s="103" t="b">
        <f>IF(AND('AES Indiana Bill Calc.'!$D$17="HL4",'AES Indiana Bill Calc.'!$D$18="No",'AES Indiana Bill Calc.'!$D$20="Yes 2024"),'AES Indiana Bill Calc.'!$D$21)</f>
        <v>0</v>
      </c>
      <c r="F1281" s="36" t="s">
        <v>294</v>
      </c>
      <c r="G1281" s="92" t="e">
        <f>SUM(J1281:M1281,R1281:AA1281)</f>
        <v>#N/A</v>
      </c>
      <c r="H1281" s="19" t="e">
        <f>IF(ISBLANK(B1281),0,+#REF!/B1281)</f>
        <v>#REF!</v>
      </c>
      <c r="J1281" s="51">
        <f>IF(ISBLANK(B1281),0,+J$1071)</f>
        <v>500</v>
      </c>
      <c r="K1281" s="17">
        <f>ROUND($B1281*K$1187,2)</f>
        <v>-0.06</v>
      </c>
      <c r="L1281" s="17">
        <f>IF(ISBLANK($C1281),0,IF($C1281&lt;$C$1072,ROUND($C$1072*$L$1187,2),IF($C1281&gt;L$1188,ROUND(L$1188*L$1187,2),ROUND($C1281*L$1187,2))))</f>
        <v>30120</v>
      </c>
      <c r="M1281" s="17">
        <f>IF($C1281&gt;L$957,ROUND(($C1281-L$957)*M$956,2),0)</f>
        <v>0</v>
      </c>
      <c r="N1281" s="17">
        <f>K1281</f>
        <v>-0.06</v>
      </c>
      <c r="O1281" s="17"/>
      <c r="P1281" s="17"/>
      <c r="Q1281" s="17">
        <f>SUM(L1281:M1281)</f>
        <v>30120</v>
      </c>
      <c r="R1281" s="16" t="e">
        <f>ROUND(SUM(K1281:M1281)*(R1280-1),2)</f>
        <v>#N/A</v>
      </c>
      <c r="S1281" s="17">
        <f>ROUND($B1281*S$1071*S1280,2)</f>
        <v>0</v>
      </c>
      <c r="T1281" s="17">
        <f>ROUND($B1281*T$1187,2)</f>
        <v>0</v>
      </c>
      <c r="U1281" s="17">
        <f>ROUND($B1281*U$1187,2)</f>
        <v>0</v>
      </c>
      <c r="V1281" s="17">
        <f>ROUND($B1281*V$1069,2)</f>
        <v>-0.01</v>
      </c>
      <c r="W1281" s="17">
        <f>ROUND($B1281*W$1187,2)</f>
        <v>0</v>
      </c>
      <c r="X1281" s="17">
        <f>ROUND($B1281*X$1187,2)</f>
        <v>-0.01</v>
      </c>
      <c r="Y1281" s="17">
        <f>ROUND($B1281*Y$1187,2)</f>
        <v>0</v>
      </c>
      <c r="Z1281" s="17">
        <f>ROUND($B1281*Z$1187,2)</f>
        <v>0</v>
      </c>
      <c r="AA1281" s="17">
        <f>ROUND($B1281*AA$1187,2)</f>
        <v>0</v>
      </c>
      <c r="AB1281" s="19">
        <f>SUM(V1244:AA1244)</f>
        <v>-0.01</v>
      </c>
      <c r="AC1281" s="67" t="str">
        <f>+F1281</f>
        <v>HL44</v>
      </c>
    </row>
    <row r="1282" spans="1:29" x14ac:dyDescent="0.2">
      <c r="B1282" s="103">
        <v>-1</v>
      </c>
      <c r="D1282" s="8"/>
      <c r="E1282" s="9"/>
      <c r="F1282" s="36"/>
      <c r="G1282" s="17"/>
      <c r="H1282" s="19"/>
      <c r="J1282" s="8"/>
      <c r="K1282" s="17"/>
      <c r="L1282" s="17"/>
      <c r="M1282" s="17"/>
      <c r="N1282" s="17"/>
      <c r="O1282" s="17"/>
      <c r="P1282" s="17"/>
      <c r="Q1282" s="17"/>
      <c r="R1282" s="38" t="e">
        <f>VLOOKUP((D1283),'Pwr Factor'!$A$1:$B$52,2)</f>
        <v>#N/A</v>
      </c>
      <c r="S1282" s="50">
        <v>1</v>
      </c>
      <c r="T1282" s="17"/>
      <c r="U1282" s="17"/>
      <c r="V1282" s="17"/>
      <c r="W1282" s="17"/>
      <c r="X1282" s="17"/>
      <c r="Y1282" s="17"/>
      <c r="Z1282" s="17"/>
      <c r="AA1282" s="17"/>
    </row>
    <row r="1283" spans="1:29" x14ac:dyDescent="0.2">
      <c r="A1283" s="1" t="s">
        <v>148</v>
      </c>
      <c r="B1283" s="103">
        <f>IF(AND('AES Indiana Bill Calc.'!$D$17="HL4",'AES Indiana Bill Calc.'!$D$18="Yes 100%",'AES Indiana Bill Calc.'!$D$20="Yes 2025"),'AES Indiana Bill Calc.'!$D$19,-1)</f>
        <v>-1</v>
      </c>
      <c r="C1283" s="103">
        <f>MAX(E1283,$C$837)</f>
        <v>2000</v>
      </c>
      <c r="D1283" s="103" t="b">
        <f>IF(AND('AES Indiana Bill Calc.'!$D$17="HL4",'AES Indiana Bill Calc.'!$D$18="Yes 100%",'AES Indiana Bill Calc.'!$D$20="Yes 2025"),'AES Indiana Bill Calc.'!$D$22)</f>
        <v>0</v>
      </c>
      <c r="E1283" s="103" t="b">
        <f>IF(AND('AES Indiana Bill Calc.'!$D$17="HL4",'AES Indiana Bill Calc.'!$D$18="Yes 100%",'AES Indiana Bill Calc.'!$D$20="Yes 2025"),'AES Indiana Bill Calc.'!$D$21)</f>
        <v>0</v>
      </c>
      <c r="F1283" s="36" t="s">
        <v>335</v>
      </c>
      <c r="G1283" s="92" t="e">
        <f>SUM(J1283:M1283,R1283:AA1283)</f>
        <v>#N/A</v>
      </c>
      <c r="H1283" s="19" t="e">
        <f>IF(ISBLANK(B1283),0,+#REF!/B1283)</f>
        <v>#REF!</v>
      </c>
      <c r="J1283" s="51">
        <f>IF(ISBLANK(B1283),0,+J$1071)</f>
        <v>500</v>
      </c>
      <c r="K1283" s="17">
        <f>ROUND($B1283*K$1187,2)</f>
        <v>-0.06</v>
      </c>
      <c r="L1283" s="17">
        <f>IF(ISBLANK($C1283),0,IF($C1283&lt;$C$1072,ROUND($C$1072*$L$1187,2),IF($C1283&gt;L$1188,ROUND(L$1188*L$1187,2),ROUND($C1283*L$1187,2))))</f>
        <v>30120</v>
      </c>
      <c r="M1283" s="17">
        <f>IF($C1283&gt;L$957,ROUND(($C1283-L$957)*M$956,2),0)</f>
        <v>0</v>
      </c>
      <c r="N1283" s="17">
        <f>K1283</f>
        <v>-0.06</v>
      </c>
      <c r="O1283" s="17"/>
      <c r="P1283" s="17"/>
      <c r="Q1283" s="17">
        <f>SUM(L1283:M1283)</f>
        <v>30120</v>
      </c>
      <c r="R1283" s="16" t="e">
        <f>ROUND(SUM(K1283:M1283)*(R1282-1),2)</f>
        <v>#N/A</v>
      </c>
      <c r="S1283" s="17">
        <f>ROUND($B1283*S$1071*S1282,2)</f>
        <v>0</v>
      </c>
      <c r="T1283" s="17">
        <f>ROUND($B1283*T$1187,2)</f>
        <v>0</v>
      </c>
      <c r="U1283" s="17">
        <f>ROUND($B1283*U$1187,2)</f>
        <v>0</v>
      </c>
      <c r="V1283" s="17">
        <f>ROUND($B1283*V$1070,2)</f>
        <v>-0.01</v>
      </c>
      <c r="W1283" s="17">
        <f>ROUND($B1283*W$1187,2)</f>
        <v>0</v>
      </c>
      <c r="X1283" s="17">
        <f>ROUND($B1283*X$1187,2)</f>
        <v>-0.01</v>
      </c>
      <c r="Y1283" s="17">
        <f>ROUND($B1283*Y$1187,2)</f>
        <v>0</v>
      </c>
      <c r="Z1283" s="17">
        <f>ROUND($B1283*Z$1187,2)</f>
        <v>0</v>
      </c>
      <c r="AA1283" s="17">
        <f>ROUND($B1283*AA$1187,2)</f>
        <v>0</v>
      </c>
      <c r="AB1283" s="19">
        <f>SUM(V1246:AA1246)</f>
        <v>-0.01</v>
      </c>
      <c r="AC1283" s="67" t="str">
        <f>+F1283</f>
        <v>HL45</v>
      </c>
    </row>
    <row r="1284" spans="1:29" x14ac:dyDescent="0.2">
      <c r="A1284" s="48"/>
      <c r="B1284" s="103">
        <v>-1</v>
      </c>
      <c r="D1284" s="8"/>
      <c r="E1284" s="9"/>
      <c r="F1284" s="36"/>
      <c r="G1284" s="17"/>
      <c r="H1284" s="19"/>
      <c r="J1284" s="8"/>
      <c r="K1284" s="17"/>
      <c r="L1284" s="17"/>
      <c r="M1284" s="17"/>
      <c r="N1284" s="17"/>
      <c r="O1284" s="17"/>
      <c r="P1284" s="17"/>
      <c r="Q1284" s="17"/>
      <c r="R1284" s="38" t="e">
        <f>VLOOKUP((D1285),'Pwr Factor'!$A$1:$B$52,2)</f>
        <v>#N/A</v>
      </c>
      <c r="S1284" s="50">
        <v>0.5</v>
      </c>
      <c r="T1284" s="17"/>
      <c r="U1284" s="17"/>
      <c r="V1284" s="17"/>
      <c r="W1284" s="17"/>
      <c r="X1284" s="17"/>
      <c r="Y1284" s="17"/>
      <c r="Z1284" s="17"/>
      <c r="AA1284" s="17"/>
    </row>
    <row r="1285" spans="1:29" x14ac:dyDescent="0.2">
      <c r="A1285" s="1" t="s">
        <v>149</v>
      </c>
      <c r="B1285" s="103">
        <f>IF(AND('AES Indiana Bill Calc.'!$D$17="HL4",'AES Indiana Bill Calc.'!$D$18="Yes 50%",'AES Indiana Bill Calc.'!$D$20="Yes 2025"),'AES Indiana Bill Calc.'!$D$19,-1)</f>
        <v>-1</v>
      </c>
      <c r="C1285" s="103">
        <f>MAX(E1285,$C$837)</f>
        <v>2000</v>
      </c>
      <c r="D1285" s="103" t="b">
        <f>IF(AND('AES Indiana Bill Calc.'!$D$17="HL4",'AES Indiana Bill Calc.'!$D$18="Yes 50%",'AES Indiana Bill Calc.'!$D$20="Yes 2025"),'AES Indiana Bill Calc.'!$D$22)</f>
        <v>0</v>
      </c>
      <c r="E1285" s="103" t="b">
        <f>IF(AND('AES Indiana Bill Calc.'!$D$17="HL4",'AES Indiana Bill Calc.'!$D$18="Yes 50%",'AES Indiana Bill Calc.'!$D$20="Yes 2025"),'AES Indiana Bill Calc.'!$D$21)</f>
        <v>0</v>
      </c>
      <c r="F1285" s="36" t="s">
        <v>335</v>
      </c>
      <c r="G1285" s="92" t="e">
        <f>SUM(J1285:M1285,R1285:AA1285)</f>
        <v>#N/A</v>
      </c>
      <c r="H1285" s="19" t="e">
        <f>IF(ISBLANK(B1285),0,+#REF!/B1285)</f>
        <v>#REF!</v>
      </c>
      <c r="J1285" s="51">
        <f>IF(ISBLANK(B1285),0,+J$1071)</f>
        <v>500</v>
      </c>
      <c r="K1285" s="17">
        <f>ROUND($B1285*K$1187,2)</f>
        <v>-0.06</v>
      </c>
      <c r="L1285" s="17">
        <f>IF(ISBLANK($C1285),0,IF($C1285&lt;$C$1072,ROUND($C$1072*$L$1187,2),IF($C1285&gt;L$1188,ROUND(L$1188*L$1187,2),ROUND($C1285*L$1187,2))))</f>
        <v>30120</v>
      </c>
      <c r="M1285" s="17">
        <f>IF($C1285&gt;L$957,ROUND(($C1285-L$957)*M$956,2),0)</f>
        <v>0</v>
      </c>
      <c r="N1285" s="17">
        <f>K1285</f>
        <v>-0.06</v>
      </c>
      <c r="O1285" s="17"/>
      <c r="P1285" s="17"/>
      <c r="Q1285" s="17">
        <f>SUM(L1285:M1285)</f>
        <v>30120</v>
      </c>
      <c r="R1285" s="16" t="e">
        <f>ROUND(SUM(K1285:M1285)*(R1284-1),2)</f>
        <v>#N/A</v>
      </c>
      <c r="S1285" s="17">
        <f>ROUND($B1285*S$1071*S1284,2)</f>
        <v>0</v>
      </c>
      <c r="T1285" s="17">
        <f>ROUND($B1285*T$1187,2)</f>
        <v>0</v>
      </c>
      <c r="U1285" s="17">
        <f>ROUND($B1285*U$1187,2)</f>
        <v>0</v>
      </c>
      <c r="V1285" s="17">
        <f>ROUND($B1285*V$1070,2)</f>
        <v>-0.01</v>
      </c>
      <c r="W1285" s="17">
        <f>ROUND($B1285*W$1187,2)</f>
        <v>0</v>
      </c>
      <c r="X1285" s="17">
        <f>ROUND($B1285*X$1187,2)</f>
        <v>-0.01</v>
      </c>
      <c r="Y1285" s="17">
        <f>ROUND($B1285*Y$1187,2)</f>
        <v>0</v>
      </c>
      <c r="Z1285" s="17">
        <f>ROUND($B1285*Z$1187,2)</f>
        <v>0</v>
      </c>
      <c r="AA1285" s="17">
        <f>ROUND($B1285*AA$1187,2)</f>
        <v>0</v>
      </c>
      <c r="AB1285" s="19">
        <f>SUM(V1248:AA1248)</f>
        <v>-0.01</v>
      </c>
      <c r="AC1285" s="67" t="str">
        <f>+F1285</f>
        <v>HL45</v>
      </c>
    </row>
    <row r="1286" spans="1:29" x14ac:dyDescent="0.2">
      <c r="A1286" s="9"/>
      <c r="B1286" s="103">
        <v>-1</v>
      </c>
      <c r="D1286" s="8"/>
      <c r="E1286" s="9"/>
      <c r="F1286" s="36"/>
      <c r="G1286" s="17"/>
      <c r="H1286" s="19"/>
      <c r="J1286" s="8"/>
      <c r="K1286" s="17"/>
      <c r="L1286" s="17"/>
      <c r="M1286" s="17"/>
      <c r="N1286" s="17"/>
      <c r="O1286" s="17"/>
      <c r="P1286" s="17"/>
      <c r="Q1286" s="17"/>
      <c r="R1286" s="38" t="e">
        <f>VLOOKUP((D1287),'Pwr Factor'!$A$1:$B$52,2)</f>
        <v>#N/A</v>
      </c>
      <c r="S1286" s="50">
        <v>0.25</v>
      </c>
      <c r="T1286" s="17"/>
      <c r="U1286" s="17"/>
      <c r="V1286" s="17"/>
      <c r="W1286" s="17"/>
      <c r="X1286" s="17"/>
      <c r="Y1286" s="17"/>
      <c r="Z1286" s="17"/>
      <c r="AA1286" s="17"/>
    </row>
    <row r="1287" spans="1:29" x14ac:dyDescent="0.2">
      <c r="A1287" s="1" t="s">
        <v>150</v>
      </c>
      <c r="B1287" s="103">
        <f>IF(AND('AES Indiana Bill Calc.'!$D$17="HL4",'AES Indiana Bill Calc.'!$D$18="Yes 25%",'AES Indiana Bill Calc.'!$D$20="Yes 2025"),'AES Indiana Bill Calc.'!$D$19,-1)</f>
        <v>-1</v>
      </c>
      <c r="C1287" s="103">
        <f>MAX(E1287,$C$837)</f>
        <v>2000</v>
      </c>
      <c r="D1287" s="103" t="b">
        <f>IF(AND('AES Indiana Bill Calc.'!$D$17="HL4",'AES Indiana Bill Calc.'!$D$18="Yes 25%",'AES Indiana Bill Calc.'!$D$20="Yes 2025"),'AES Indiana Bill Calc.'!$D$22)</f>
        <v>0</v>
      </c>
      <c r="E1287" s="103" t="b">
        <f>IF(AND('AES Indiana Bill Calc.'!$D$17="HL4",'AES Indiana Bill Calc.'!$D$18="Yes 25%",'AES Indiana Bill Calc.'!$D$20="Yes 2025"),'AES Indiana Bill Calc.'!$D$21)</f>
        <v>0</v>
      </c>
      <c r="F1287" s="36" t="s">
        <v>335</v>
      </c>
      <c r="G1287" s="92" t="e">
        <f>SUM(J1287:M1287,R1287:AA1287)</f>
        <v>#N/A</v>
      </c>
      <c r="H1287" s="19" t="e">
        <f>IF(ISBLANK(B1287),0,+#REF!/B1287)</f>
        <v>#REF!</v>
      </c>
      <c r="J1287" s="51">
        <f>IF(ISBLANK(B1287),0,+J$1071)</f>
        <v>500</v>
      </c>
      <c r="K1287" s="17">
        <f>ROUND($B1287*K$1187,2)</f>
        <v>-0.06</v>
      </c>
      <c r="L1287" s="17">
        <f>IF(ISBLANK($C1287),0,IF($C1287&lt;$C$1072,ROUND($C$1072*$L$1187,2),IF($C1287&gt;L$1188,ROUND(L$1188*L$1187,2),ROUND($C1287*L$1187,2))))</f>
        <v>30120</v>
      </c>
      <c r="M1287" s="17">
        <f>IF($C1287&gt;L$957,ROUND(($C1287-L$957)*M$956,2),0)</f>
        <v>0</v>
      </c>
      <c r="N1287" s="17">
        <f>K1287</f>
        <v>-0.06</v>
      </c>
      <c r="O1287" s="17"/>
      <c r="P1287" s="17"/>
      <c r="Q1287" s="17">
        <f>SUM(L1287:M1287)</f>
        <v>30120</v>
      </c>
      <c r="R1287" s="16" t="e">
        <f>ROUND(SUM(K1287:M1287)*(R1286-1),2)</f>
        <v>#N/A</v>
      </c>
      <c r="S1287" s="17">
        <f>ROUND($B1287*S$1071*S1286,2)</f>
        <v>0</v>
      </c>
      <c r="T1287" s="17">
        <f>ROUND($B1287*T$1187,2)</f>
        <v>0</v>
      </c>
      <c r="U1287" s="17">
        <f>ROUND($B1287*U$1187,2)</f>
        <v>0</v>
      </c>
      <c r="V1287" s="17">
        <f>ROUND($B1287*V$1070,2)</f>
        <v>-0.01</v>
      </c>
      <c r="W1287" s="17">
        <f>ROUND($B1287*W$1187,2)</f>
        <v>0</v>
      </c>
      <c r="X1287" s="17">
        <f>ROUND($B1287*X$1187,2)</f>
        <v>-0.01</v>
      </c>
      <c r="Y1287" s="17">
        <f>ROUND($B1287*Y$1187,2)</f>
        <v>0</v>
      </c>
      <c r="Z1287" s="17">
        <f>ROUND($B1287*Z$1187,2)</f>
        <v>0</v>
      </c>
      <c r="AA1287" s="17">
        <f>ROUND($B1287*AA$1187,2)</f>
        <v>0</v>
      </c>
      <c r="AB1287" s="19">
        <f>SUM(V1250:AA1250)</f>
        <v>-0.01</v>
      </c>
      <c r="AC1287" s="67" t="str">
        <f>+F1287</f>
        <v>HL45</v>
      </c>
    </row>
    <row r="1288" spans="1:29" x14ac:dyDescent="0.2">
      <c r="A1288" s="9"/>
      <c r="B1288" s="103">
        <v>-1</v>
      </c>
      <c r="D1288" s="8"/>
      <c r="E1288" s="9"/>
      <c r="F1288" s="36"/>
      <c r="G1288" s="17"/>
      <c r="H1288" s="19"/>
      <c r="J1288" s="8"/>
      <c r="K1288" s="17"/>
      <c r="L1288" s="17"/>
      <c r="M1288" s="17"/>
      <c r="N1288" s="17"/>
      <c r="O1288" s="17"/>
      <c r="P1288" s="17"/>
      <c r="Q1288" s="17"/>
      <c r="R1288" s="38" t="e">
        <f>VLOOKUP((D1289),'Pwr Factor'!$A$1:$B$52,2)</f>
        <v>#N/A</v>
      </c>
      <c r="S1288" s="50">
        <v>0.1</v>
      </c>
      <c r="T1288" s="17"/>
      <c r="U1288" s="17"/>
      <c r="V1288" s="17"/>
      <c r="W1288" s="17"/>
      <c r="X1288" s="17"/>
      <c r="Y1288" s="17"/>
      <c r="Z1288" s="17"/>
      <c r="AA1288" s="17"/>
    </row>
    <row r="1289" spans="1:29" x14ac:dyDescent="0.2">
      <c r="A1289" s="1" t="s">
        <v>164</v>
      </c>
      <c r="B1289" s="103">
        <f>IF(AND('AES Indiana Bill Calc.'!$D$17="HL4",'AES Indiana Bill Calc.'!$D$18="Yes 10%",'AES Indiana Bill Calc.'!$D$20="Yes 2025"),'AES Indiana Bill Calc.'!$D$19,-1)</f>
        <v>-1</v>
      </c>
      <c r="C1289" s="103">
        <f>MAX(E1289,$C$837)</f>
        <v>2000</v>
      </c>
      <c r="D1289" s="103" t="b">
        <f>IF(AND('AES Indiana Bill Calc.'!$D$17="HL4",'AES Indiana Bill Calc.'!$D$18="Yes 10%",'AES Indiana Bill Calc.'!$D$20="Yes 2025"),'AES Indiana Bill Calc.'!$D$22)</f>
        <v>0</v>
      </c>
      <c r="E1289" s="103" t="b">
        <f>IF(AND('AES Indiana Bill Calc.'!$D$17="HL4",'AES Indiana Bill Calc.'!$D$18="Yes 10%",'AES Indiana Bill Calc.'!$D$20="Yes 2025"),'AES Indiana Bill Calc.'!$D$21)</f>
        <v>0</v>
      </c>
      <c r="F1289" s="36" t="s">
        <v>335</v>
      </c>
      <c r="G1289" s="92" t="e">
        <f>SUM(J1289:M1289,R1289:AA1289)</f>
        <v>#N/A</v>
      </c>
      <c r="H1289" s="19" t="e">
        <f>IF(ISBLANK(B1289),0,+#REF!/B1289)</f>
        <v>#REF!</v>
      </c>
      <c r="J1289" s="51">
        <f>IF(ISBLANK(B1289),0,+J$1071)</f>
        <v>500</v>
      </c>
      <c r="K1289" s="17">
        <f>ROUND($B1289*K$1187,2)</f>
        <v>-0.06</v>
      </c>
      <c r="L1289" s="17">
        <f>IF(ISBLANK($C1289),0,IF($C1289&lt;$C$1072,ROUND($C$1072*$L$1187,2),IF($C1289&gt;L$1188,ROUND(L$1188*L$1187,2),ROUND($C1289*L$1187,2))))</f>
        <v>30120</v>
      </c>
      <c r="M1289" s="17">
        <f>IF($C1289&gt;L$957,ROUND(($C1289-L$957)*M$956,2),0)</f>
        <v>0</v>
      </c>
      <c r="N1289" s="17">
        <f>K1289</f>
        <v>-0.06</v>
      </c>
      <c r="O1289" s="17"/>
      <c r="P1289" s="17"/>
      <c r="Q1289" s="17">
        <f>SUM(L1289:M1289)</f>
        <v>30120</v>
      </c>
      <c r="R1289" s="16" t="e">
        <f>ROUND(SUM(K1289:M1289)*(R1288-1),2)</f>
        <v>#N/A</v>
      </c>
      <c r="S1289" s="17">
        <f>ROUND($B1289*S$1071*S1288,2)</f>
        <v>0</v>
      </c>
      <c r="T1289" s="17">
        <f>ROUND($B1289*T$1187,2)</f>
        <v>0</v>
      </c>
      <c r="U1289" s="17">
        <f>ROUND($B1289*U$1187,2)</f>
        <v>0</v>
      </c>
      <c r="V1289" s="17">
        <f>ROUND($B1289*V$1070,2)</f>
        <v>-0.01</v>
      </c>
      <c r="W1289" s="17">
        <f>ROUND($B1289*W$1187,2)</f>
        <v>0</v>
      </c>
      <c r="X1289" s="17">
        <f>ROUND($B1289*X$1187,2)</f>
        <v>-0.01</v>
      </c>
      <c r="Y1289" s="17">
        <f>ROUND($B1289*Y$1187,2)</f>
        <v>0</v>
      </c>
      <c r="Z1289" s="17">
        <f>ROUND($B1289*Z$1187,2)</f>
        <v>0</v>
      </c>
      <c r="AA1289" s="17">
        <f>ROUND($B1289*AA$1187,2)</f>
        <v>0</v>
      </c>
      <c r="AB1289" s="19">
        <f>SUM(V1252:AA1252)</f>
        <v>-0.01</v>
      </c>
      <c r="AC1289" s="67" t="str">
        <f>+F1289</f>
        <v>HL45</v>
      </c>
    </row>
    <row r="1290" spans="1:29" x14ac:dyDescent="0.2">
      <c r="A1290" s="9"/>
      <c r="B1290" s="103">
        <v>-1</v>
      </c>
      <c r="D1290" s="8"/>
      <c r="E1290" s="9"/>
      <c r="F1290" s="36"/>
      <c r="G1290" s="17"/>
      <c r="H1290" s="19"/>
      <c r="J1290" s="8"/>
      <c r="K1290" s="17"/>
      <c r="L1290" s="17"/>
      <c r="M1290" s="17"/>
      <c r="N1290" s="17"/>
      <c r="O1290" s="17"/>
      <c r="P1290" s="17"/>
      <c r="Q1290" s="17"/>
      <c r="R1290" s="38" t="e">
        <f>VLOOKUP((D1291),'Pwr Factor'!$A$1:$B$52,2)</f>
        <v>#N/A</v>
      </c>
      <c r="S1290" s="50">
        <v>0</v>
      </c>
      <c r="T1290" s="17"/>
      <c r="U1290" s="17"/>
      <c r="V1290" s="17"/>
      <c r="W1290" s="17"/>
      <c r="X1290" s="17"/>
      <c r="Y1290" s="17"/>
      <c r="Z1290" s="17"/>
      <c r="AA1290" s="17"/>
    </row>
    <row r="1291" spans="1:29" x14ac:dyDescent="0.2">
      <c r="A1291" s="1" t="s">
        <v>147</v>
      </c>
      <c r="B1291" s="103">
        <f>IF(AND('AES Indiana Bill Calc.'!$D$17="HL4",'AES Indiana Bill Calc.'!$D$18="No",'AES Indiana Bill Calc.'!$D$20="Yes 2025"),'AES Indiana Bill Calc.'!$D$19,-1)</f>
        <v>-1</v>
      </c>
      <c r="C1291" s="103">
        <f>MAX(E1291,$C$837)</f>
        <v>2000</v>
      </c>
      <c r="D1291" s="103" t="b">
        <f>IF(AND('AES Indiana Bill Calc.'!$D$17="HL4",'AES Indiana Bill Calc.'!$D$18="No",'AES Indiana Bill Calc.'!$D$20="Yes 2025"),'AES Indiana Bill Calc.'!$D$22)</f>
        <v>0</v>
      </c>
      <c r="E1291" s="103" t="b">
        <f>IF(AND('AES Indiana Bill Calc.'!$D$17="HL4",'AES Indiana Bill Calc.'!$D$18="No",'AES Indiana Bill Calc.'!$D$20="Yes 2025"),'AES Indiana Bill Calc.'!$D$21)</f>
        <v>0</v>
      </c>
      <c r="F1291" s="36" t="s">
        <v>335</v>
      </c>
      <c r="G1291" s="92" t="e">
        <f>SUM(J1291:M1291,R1291:AA1291)</f>
        <v>#N/A</v>
      </c>
      <c r="H1291" s="19" t="e">
        <f>IF(ISBLANK(B1291),0,+#REF!/B1291)</f>
        <v>#REF!</v>
      </c>
      <c r="J1291" s="51">
        <f>IF(ISBLANK(B1291),0,+J$1071)</f>
        <v>500</v>
      </c>
      <c r="K1291" s="17">
        <f>ROUND($B1291*K$1187,2)</f>
        <v>-0.06</v>
      </c>
      <c r="L1291" s="17">
        <f>IF(ISBLANK($C1291),0,IF($C1291&lt;$C$1072,ROUND($C$1072*$L$1187,2),IF($C1291&gt;L$1188,ROUND(L$1188*L$1187,2),ROUND($C1291*L$1187,2))))</f>
        <v>30120</v>
      </c>
      <c r="M1291" s="17">
        <f>IF($C1291&gt;L$957,ROUND(($C1291-L$957)*M$956,2),0)</f>
        <v>0</v>
      </c>
      <c r="N1291" s="17">
        <f>K1291</f>
        <v>-0.06</v>
      </c>
      <c r="O1291" s="17"/>
      <c r="P1291" s="17"/>
      <c r="Q1291" s="17">
        <f>SUM(L1291:M1291)</f>
        <v>30120</v>
      </c>
      <c r="R1291" s="16" t="e">
        <f>ROUND(SUM(K1291:M1291)*(R1290-1),2)</f>
        <v>#N/A</v>
      </c>
      <c r="S1291" s="17">
        <f>ROUND($B1291*S$1071*S1290,2)</f>
        <v>0</v>
      </c>
      <c r="T1291" s="17">
        <f>ROUND($B1291*T$1187,2)</f>
        <v>0</v>
      </c>
      <c r="U1291" s="17">
        <f>ROUND($B1291*U$1187,2)</f>
        <v>0</v>
      </c>
      <c r="V1291" s="17">
        <f>ROUND($B1291*V$1070,2)</f>
        <v>-0.01</v>
      </c>
      <c r="W1291" s="17">
        <f>ROUND($B1291*W$1187,2)</f>
        <v>0</v>
      </c>
      <c r="X1291" s="17">
        <f>ROUND($B1291*X$1187,2)</f>
        <v>-0.01</v>
      </c>
      <c r="Y1291" s="17">
        <f>ROUND($B1291*Y$1187,2)</f>
        <v>0</v>
      </c>
      <c r="Z1291" s="17">
        <f>ROUND($B1291*Z$1187,2)</f>
        <v>0</v>
      </c>
      <c r="AA1291" s="17">
        <f>ROUND($B1291*AA$1187,2)</f>
        <v>0</v>
      </c>
      <c r="AB1291" s="19">
        <f>SUM(V1254:AA1254)</f>
        <v>-0.01</v>
      </c>
      <c r="AC1291" s="67" t="str">
        <f>+F1291</f>
        <v>HL45</v>
      </c>
    </row>
    <row r="1292" spans="1:29" s="165" customFormat="1" ht="13.5" thickBot="1" x14ac:dyDescent="0.25">
      <c r="A1292" s="173"/>
      <c r="B1292" s="106">
        <v>-1</v>
      </c>
      <c r="C1292" s="106"/>
      <c r="D1292" s="111"/>
      <c r="E1292" s="173"/>
      <c r="F1292" s="173"/>
      <c r="G1292" s="95"/>
      <c r="H1292" s="174"/>
      <c r="I1292" s="173"/>
      <c r="J1292" s="112"/>
      <c r="K1292" s="95"/>
      <c r="L1292" s="95"/>
      <c r="M1292" s="95"/>
      <c r="N1292" s="95"/>
      <c r="O1292" s="95"/>
      <c r="P1292" s="95"/>
      <c r="Q1292" s="95"/>
      <c r="R1292" s="113"/>
      <c r="S1292" s="95"/>
      <c r="T1292" s="95"/>
      <c r="U1292" s="95"/>
      <c r="V1292" s="95"/>
      <c r="W1292" s="95"/>
      <c r="X1292" s="95"/>
      <c r="Y1292" s="95"/>
      <c r="Z1292" s="95"/>
      <c r="AA1292" s="95"/>
      <c r="AB1292" s="174"/>
      <c r="AC1292" s="114"/>
    </row>
    <row r="1293" spans="1:29" x14ac:dyDescent="0.2">
      <c r="B1293" s="103"/>
    </row>
    <row r="1294" spans="1:29" x14ac:dyDescent="0.2">
      <c r="B1294" s="103"/>
    </row>
    <row r="1295" spans="1:29" x14ac:dyDescent="0.2">
      <c r="A1295" s="12"/>
      <c r="B1295" s="151"/>
      <c r="C1295" s="12"/>
      <c r="D1295" s="12"/>
      <c r="F1295" s="12"/>
      <c r="G1295" s="12"/>
      <c r="H1295" s="12"/>
      <c r="I1295" s="152"/>
      <c r="J1295" s="12"/>
      <c r="K1295" s="12"/>
      <c r="L1295" s="12"/>
      <c r="M1295" s="12"/>
      <c r="N1295" s="12"/>
      <c r="O1295" s="12"/>
      <c r="P1295" s="12"/>
      <c r="Q1295" s="12"/>
      <c r="R1295" s="12"/>
      <c r="S1295" s="12"/>
      <c r="T1295" s="12"/>
      <c r="U1295" s="142"/>
      <c r="V1295" s="142"/>
      <c r="W1295" s="142"/>
      <c r="X1295" s="263"/>
      <c r="Y1295" s="263"/>
    </row>
    <row r="1296" spans="1:29" x14ac:dyDescent="0.2">
      <c r="A1296" s="12"/>
      <c r="B1296" s="151"/>
      <c r="C1296" s="12"/>
      <c r="D1296" s="12"/>
      <c r="F1296" s="12"/>
      <c r="G1296" s="12"/>
      <c r="J1296" s="12"/>
      <c r="K1296" s="12"/>
      <c r="L1296" s="12"/>
      <c r="M1296" s="12"/>
      <c r="N1296" s="12"/>
      <c r="O1296" s="12"/>
      <c r="P1296" s="12"/>
      <c r="Q1296" s="12"/>
      <c r="R1296" s="12"/>
      <c r="S1296" s="12"/>
      <c r="T1296" s="12"/>
      <c r="U1296" s="12"/>
      <c r="V1296" s="12"/>
      <c r="W1296" s="12"/>
      <c r="X1296" s="81"/>
      <c r="Y1296" s="81"/>
    </row>
    <row r="1297" spans="1:25" x14ac:dyDescent="0.2">
      <c r="A1297" s="153"/>
      <c r="B1297" s="154"/>
      <c r="C1297" s="36"/>
      <c r="D1297" s="42"/>
      <c r="F1297" s="18"/>
      <c r="G1297" s="41"/>
      <c r="H1297" s="155"/>
      <c r="I1297" s="80"/>
      <c r="J1297" s="18"/>
      <c r="K1297" s="18"/>
      <c r="L1297" s="18"/>
      <c r="M1297" s="18"/>
      <c r="N1297" s="18"/>
      <c r="O1297" s="18"/>
      <c r="P1297" s="18"/>
      <c r="Q1297" s="18"/>
      <c r="R1297" s="18"/>
      <c r="S1297" s="18"/>
      <c r="T1297" s="18"/>
      <c r="U1297" s="18"/>
      <c r="V1297" s="18"/>
      <c r="W1297" s="18"/>
      <c r="X1297" s="264"/>
      <c r="Y1297" s="264"/>
    </row>
    <row r="1298" spans="1:25" x14ac:dyDescent="0.2">
      <c r="A1298" s="153"/>
      <c r="B1298" s="154"/>
      <c r="C1298" s="36"/>
      <c r="D1298" s="42"/>
      <c r="F1298" s="18"/>
      <c r="G1298" s="41"/>
      <c r="H1298" s="155"/>
      <c r="I1298" s="80"/>
      <c r="J1298" s="18"/>
      <c r="K1298" s="18"/>
      <c r="L1298" s="18"/>
      <c r="M1298" s="18"/>
      <c r="N1298" s="18"/>
      <c r="O1298" s="18"/>
      <c r="P1298" s="18"/>
      <c r="Q1298" s="18"/>
      <c r="R1298" s="18"/>
      <c r="S1298" s="18"/>
      <c r="T1298" s="18"/>
      <c r="U1298" s="18"/>
      <c r="V1298" s="18"/>
      <c r="W1298" s="18"/>
      <c r="X1298" s="83"/>
      <c r="Y1298" s="83"/>
    </row>
    <row r="1299" spans="1:25" x14ac:dyDescent="0.2">
      <c r="A1299" s="153"/>
      <c r="B1299" s="154"/>
      <c r="C1299" s="36"/>
      <c r="D1299" s="42"/>
      <c r="F1299" s="18"/>
      <c r="G1299" s="41"/>
      <c r="H1299" s="155"/>
      <c r="I1299" s="80"/>
      <c r="J1299" s="18"/>
      <c r="K1299" s="18"/>
      <c r="L1299" s="18"/>
      <c r="M1299" s="18"/>
      <c r="N1299" s="18"/>
      <c r="O1299" s="18"/>
      <c r="P1299" s="18"/>
      <c r="Q1299" s="18"/>
      <c r="R1299" s="18"/>
      <c r="S1299" s="18"/>
      <c r="T1299" s="18"/>
      <c r="U1299" s="18"/>
      <c r="V1299" s="18"/>
      <c r="W1299" s="18"/>
      <c r="X1299" s="83"/>
      <c r="Y1299" s="83"/>
    </row>
    <row r="1300" spans="1:25" x14ac:dyDescent="0.2">
      <c r="B1300" s="40"/>
      <c r="C1300" s="40"/>
      <c r="X1300" s="262"/>
      <c r="Y1300" s="262"/>
    </row>
    <row r="1301" spans="1:25" x14ac:dyDescent="0.2">
      <c r="B1301" s="40"/>
      <c r="C1301" s="40"/>
    </row>
  </sheetData>
  <mergeCells count="19">
    <mergeCell ref="X1300:Y1300"/>
    <mergeCell ref="L842:M842"/>
    <mergeCell ref="L958:M958"/>
    <mergeCell ref="L1073:M1073"/>
    <mergeCell ref="L1189:M1189"/>
    <mergeCell ref="X1295:Y1295"/>
    <mergeCell ref="X1297:Y1297"/>
    <mergeCell ref="K726:L726"/>
    <mergeCell ref="B2:E2"/>
    <mergeCell ref="K44:L44"/>
    <mergeCell ref="K60:M60"/>
    <mergeCell ref="K74:M74"/>
    <mergeCell ref="K98:L98"/>
    <mergeCell ref="K215:L215"/>
    <mergeCell ref="K331:L331"/>
    <mergeCell ref="K438:L438"/>
    <mergeCell ref="K456:L456"/>
    <mergeCell ref="K472:L472"/>
    <mergeCell ref="L612:M612"/>
  </mergeCells>
  <phoneticPr fontId="5" type="noConversion"/>
  <pageMargins left="0.5" right="0.5" top="0.5" bottom="0.5" header="0.5" footer="0.5"/>
  <pageSetup scale="32" fitToHeight="0" orientation="landscape" r:id="rId1"/>
  <headerFooter alignWithMargins="0">
    <oddFooter>Page &amp;P of &amp;N</oddFooter>
  </headerFooter>
  <rowBreaks count="2" manualBreakCount="2">
    <brk id="318" max="16383" man="1"/>
    <brk id="56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310AF41-3C76-4942-9C06-736638C1055E}">
          <x14:formula1>
            <xm:f>Inputs!$C$5:$C$16</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2"/>
  <sheetViews>
    <sheetView workbookViewId="0">
      <selection activeCell="G70" sqref="G70"/>
    </sheetView>
  </sheetViews>
  <sheetFormatPr defaultRowHeight="12.75" x14ac:dyDescent="0.2"/>
  <cols>
    <col min="1" max="1" width="12" bestFit="1" customWidth="1"/>
    <col min="2" max="2" width="9.5703125" bestFit="1" customWidth="1"/>
  </cols>
  <sheetData>
    <row r="1" spans="1:2" x14ac:dyDescent="0.2">
      <c r="A1" t="s">
        <v>31</v>
      </c>
      <c r="B1" s="1" t="s">
        <v>195</v>
      </c>
    </row>
    <row r="2" spans="1:2" x14ac:dyDescent="0.2">
      <c r="A2" s="8">
        <v>0.5</v>
      </c>
      <c r="B2" s="5">
        <v>1.3334999999999999</v>
      </c>
    </row>
    <row r="3" spans="1:2" x14ac:dyDescent="0.2">
      <c r="A3" s="8">
        <v>0.51</v>
      </c>
      <c r="B3" s="5">
        <v>1.3136000000000001</v>
      </c>
    </row>
    <row r="4" spans="1:2" x14ac:dyDescent="0.2">
      <c r="A4" s="8">
        <v>0.52</v>
      </c>
      <c r="B4" s="5">
        <v>1.2949999999999999</v>
      </c>
    </row>
    <row r="5" spans="1:2" x14ac:dyDescent="0.2">
      <c r="A5" s="8">
        <v>0.53</v>
      </c>
      <c r="B5" s="5">
        <v>1.2769999999999999</v>
      </c>
    </row>
    <row r="6" spans="1:2" x14ac:dyDescent="0.2">
      <c r="A6" s="8">
        <v>0.54</v>
      </c>
      <c r="B6" s="5">
        <v>1.2606999999999999</v>
      </c>
    </row>
    <row r="7" spans="1:2" x14ac:dyDescent="0.2">
      <c r="A7" s="8">
        <v>0.55000000000000004</v>
      </c>
      <c r="B7" s="5">
        <v>1.2455000000000001</v>
      </c>
    </row>
    <row r="8" spans="1:2" x14ac:dyDescent="0.2">
      <c r="A8" s="8">
        <v>0.56000000000000005</v>
      </c>
      <c r="B8" s="5">
        <v>1.23</v>
      </c>
    </row>
    <row r="9" spans="1:2" x14ac:dyDescent="0.2">
      <c r="A9" s="8">
        <v>0.56999999999999995</v>
      </c>
      <c r="B9" s="5">
        <v>1.2159</v>
      </c>
    </row>
    <row r="10" spans="1:2" x14ac:dyDescent="0.2">
      <c r="A10" s="8">
        <v>0.57999999999999996</v>
      </c>
      <c r="B10" s="5">
        <v>1.2024999999999999</v>
      </c>
    </row>
    <row r="11" spans="1:2" x14ac:dyDescent="0.2">
      <c r="A11" s="8">
        <v>0.59</v>
      </c>
      <c r="B11" s="5">
        <v>1.1897</v>
      </c>
    </row>
    <row r="12" spans="1:2" x14ac:dyDescent="0.2">
      <c r="A12" s="8">
        <v>0.6</v>
      </c>
      <c r="B12" s="5">
        <v>1.1785000000000001</v>
      </c>
    </row>
    <row r="13" spans="1:2" x14ac:dyDescent="0.2">
      <c r="A13" s="8">
        <v>0.61</v>
      </c>
      <c r="B13" s="5">
        <v>1.1660999999999999</v>
      </c>
    </row>
    <row r="14" spans="1:2" x14ac:dyDescent="0.2">
      <c r="A14" s="8">
        <v>0.62</v>
      </c>
      <c r="B14" s="5">
        <v>1.1551</v>
      </c>
    </row>
    <row r="15" spans="1:2" x14ac:dyDescent="0.2">
      <c r="A15" s="8">
        <v>0.63</v>
      </c>
      <c r="B15" s="5">
        <v>1.1447000000000001</v>
      </c>
    </row>
    <row r="16" spans="1:2" x14ac:dyDescent="0.2">
      <c r="A16" s="8">
        <v>0.64</v>
      </c>
      <c r="B16" s="5">
        <v>1.1347</v>
      </c>
    </row>
    <row r="17" spans="1:2" x14ac:dyDescent="0.2">
      <c r="A17" s="8">
        <v>0.65</v>
      </c>
      <c r="B17" s="5">
        <v>1.1254999999999999</v>
      </c>
    </row>
    <row r="18" spans="1:2" x14ac:dyDescent="0.2">
      <c r="A18" s="8">
        <v>0.66</v>
      </c>
      <c r="B18" s="5">
        <v>1.1161000000000001</v>
      </c>
    </row>
    <row r="19" spans="1:2" x14ac:dyDescent="0.2">
      <c r="A19" s="8">
        <v>0.67</v>
      </c>
      <c r="B19" s="5">
        <v>1.1074999999999999</v>
      </c>
    </row>
    <row r="20" spans="1:2" x14ac:dyDescent="0.2">
      <c r="A20" s="8">
        <v>0.68</v>
      </c>
      <c r="B20" s="5">
        <v>1.0992</v>
      </c>
    </row>
    <row r="21" spans="1:2" x14ac:dyDescent="0.2">
      <c r="A21" s="8">
        <v>0.69</v>
      </c>
      <c r="B21" s="5">
        <v>1.0912999999999999</v>
      </c>
    </row>
    <row r="22" spans="1:2" x14ac:dyDescent="0.2">
      <c r="A22" s="8">
        <v>0.7</v>
      </c>
      <c r="B22" s="5">
        <v>1.0834999999999999</v>
      </c>
    </row>
    <row r="23" spans="1:2" x14ac:dyDescent="0.2">
      <c r="A23" s="8">
        <v>0.71</v>
      </c>
      <c r="B23" s="5">
        <v>1.0764</v>
      </c>
    </row>
    <row r="24" spans="1:2" x14ac:dyDescent="0.2">
      <c r="A24" s="8">
        <v>0.72</v>
      </c>
      <c r="B24" s="5">
        <v>1.0693999999999999</v>
      </c>
    </row>
    <row r="25" spans="1:2" x14ac:dyDescent="0.2">
      <c r="A25" s="8">
        <v>0.73</v>
      </c>
      <c r="B25" s="5">
        <v>1.0627</v>
      </c>
    </row>
    <row r="26" spans="1:2" x14ac:dyDescent="0.2">
      <c r="A26" s="8">
        <v>0.74</v>
      </c>
      <c r="B26" s="5">
        <v>1.0563</v>
      </c>
    </row>
    <row r="27" spans="1:2" x14ac:dyDescent="0.2">
      <c r="A27" s="8">
        <v>0.75</v>
      </c>
      <c r="B27" s="5">
        <v>1.05</v>
      </c>
    </row>
    <row r="28" spans="1:2" x14ac:dyDescent="0.2">
      <c r="A28" s="8">
        <v>0.76</v>
      </c>
      <c r="B28" s="5">
        <v>1.0442</v>
      </c>
    </row>
    <row r="29" spans="1:2" x14ac:dyDescent="0.2">
      <c r="A29" s="8">
        <v>0.77</v>
      </c>
      <c r="B29" s="5">
        <v>1.0386</v>
      </c>
    </row>
    <row r="30" spans="1:2" x14ac:dyDescent="0.2">
      <c r="A30" s="8">
        <v>0.78</v>
      </c>
      <c r="B30" s="5">
        <v>1.0329999999999999</v>
      </c>
    </row>
    <row r="31" spans="1:2" x14ac:dyDescent="0.2">
      <c r="A31" s="8">
        <v>0.79</v>
      </c>
      <c r="B31" s="5">
        <v>1.0277000000000001</v>
      </c>
    </row>
    <row r="32" spans="1:2" x14ac:dyDescent="0.2">
      <c r="A32" s="8">
        <v>0.8</v>
      </c>
      <c r="B32" s="5">
        <v>1.0229999999999999</v>
      </c>
    </row>
    <row r="33" spans="1:2" x14ac:dyDescent="0.2">
      <c r="A33" s="8">
        <v>0.81</v>
      </c>
      <c r="B33" s="5">
        <v>1.0178</v>
      </c>
    </row>
    <row r="34" spans="1:2" x14ac:dyDescent="0.2">
      <c r="A34" s="8">
        <v>0.82</v>
      </c>
      <c r="B34" s="5">
        <v>1.0130999999999999</v>
      </c>
    </row>
    <row r="35" spans="1:2" x14ac:dyDescent="0.2">
      <c r="A35" s="8">
        <v>0.83</v>
      </c>
      <c r="B35" s="5">
        <v>1.0085</v>
      </c>
    </row>
    <row r="36" spans="1:2" x14ac:dyDescent="0.2">
      <c r="A36" s="8">
        <v>0.84</v>
      </c>
      <c r="B36" s="5">
        <v>1.0041</v>
      </c>
    </row>
    <row r="37" spans="1:2" x14ac:dyDescent="0.2">
      <c r="A37" s="8">
        <v>0.85</v>
      </c>
      <c r="B37" s="5">
        <v>1</v>
      </c>
    </row>
    <row r="38" spans="1:2" x14ac:dyDescent="0.2">
      <c r="A38" s="8">
        <v>0.86</v>
      </c>
      <c r="B38" s="5">
        <v>0.99580000000000002</v>
      </c>
    </row>
    <row r="39" spans="1:2" x14ac:dyDescent="0.2">
      <c r="A39" s="8">
        <v>0.87</v>
      </c>
      <c r="B39" s="5">
        <v>0.9919</v>
      </c>
    </row>
    <row r="40" spans="1:2" x14ac:dyDescent="0.2">
      <c r="A40" s="8">
        <v>0.88</v>
      </c>
      <c r="B40" s="5">
        <v>0.98809999999999998</v>
      </c>
    </row>
    <row r="41" spans="1:2" x14ac:dyDescent="0.2">
      <c r="A41" s="8">
        <v>0.89</v>
      </c>
      <c r="B41" s="5">
        <v>0.98440000000000005</v>
      </c>
    </row>
    <row r="42" spans="1:2" x14ac:dyDescent="0.2">
      <c r="A42" s="8">
        <v>0.9</v>
      </c>
      <c r="B42" s="5">
        <v>0.98099999999999998</v>
      </c>
    </row>
    <row r="43" spans="1:2" x14ac:dyDescent="0.2">
      <c r="A43" s="8">
        <v>0.91</v>
      </c>
      <c r="B43" s="5">
        <v>0.97740000000000005</v>
      </c>
    </row>
    <row r="44" spans="1:2" x14ac:dyDescent="0.2">
      <c r="A44" s="8">
        <v>0.92</v>
      </c>
      <c r="B44" s="5">
        <v>0.97409999999999997</v>
      </c>
    </row>
    <row r="45" spans="1:2" x14ac:dyDescent="0.2">
      <c r="A45" s="8">
        <v>0.93</v>
      </c>
      <c r="B45" s="5">
        <v>0.97089999999999999</v>
      </c>
    </row>
    <row r="46" spans="1:2" x14ac:dyDescent="0.2">
      <c r="A46" s="8">
        <v>0.94</v>
      </c>
      <c r="B46" s="5">
        <v>0.9677</v>
      </c>
    </row>
    <row r="47" spans="1:2" x14ac:dyDescent="0.2">
      <c r="A47" s="8">
        <v>0.95</v>
      </c>
      <c r="B47" s="5">
        <v>0.96499999999999997</v>
      </c>
    </row>
    <row r="48" spans="1:2" x14ac:dyDescent="0.2">
      <c r="A48" s="8">
        <v>0.96</v>
      </c>
      <c r="B48" s="5">
        <v>0.96179999999999999</v>
      </c>
    </row>
    <row r="49" spans="1:2" x14ac:dyDescent="0.2">
      <c r="A49" s="8">
        <v>0.97</v>
      </c>
      <c r="B49" s="5">
        <v>0.95899999999999996</v>
      </c>
    </row>
    <row r="50" spans="1:2" x14ac:dyDescent="0.2">
      <c r="A50" s="8">
        <v>0.98</v>
      </c>
      <c r="B50" s="5">
        <v>0.95620000000000005</v>
      </c>
    </row>
    <row r="51" spans="1:2" x14ac:dyDescent="0.2">
      <c r="A51" s="8">
        <v>0.99</v>
      </c>
      <c r="B51" s="5">
        <v>0.95350000000000001</v>
      </c>
    </row>
    <row r="52" spans="1:2" x14ac:dyDescent="0.2">
      <c r="A52" s="8">
        <v>1</v>
      </c>
      <c r="B52" s="5">
        <v>0.95099999999999996</v>
      </c>
    </row>
  </sheetData>
  <phoneticPr fontId="5"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Q50"/>
  <sheetViews>
    <sheetView zoomScaleNormal="100" workbookViewId="0">
      <pane xSplit="2" ySplit="3" topLeftCell="EG4" activePane="bottomRight" state="frozen"/>
      <selection activeCell="G70" sqref="G70"/>
      <selection pane="topRight" activeCell="G70" sqref="G70"/>
      <selection pane="bottomLeft" activeCell="G70" sqref="G70"/>
      <selection pane="bottomRight" activeCell="G70" sqref="G70"/>
    </sheetView>
  </sheetViews>
  <sheetFormatPr defaultRowHeight="12.75" x14ac:dyDescent="0.2"/>
  <cols>
    <col min="2" max="2" width="12.28515625" customWidth="1"/>
    <col min="3" max="3" width="11.85546875" bestFit="1" customWidth="1"/>
    <col min="4" max="4" width="9.28515625" bestFit="1" customWidth="1"/>
    <col min="6" max="7" width="9.28515625" bestFit="1" customWidth="1"/>
    <col min="9" max="10" width="9.28515625" bestFit="1" customWidth="1"/>
    <col min="12" max="12" width="12" bestFit="1" customWidth="1"/>
    <col min="13" max="13" width="9.28515625" bestFit="1" customWidth="1"/>
    <col min="15" max="15" width="10.28515625" bestFit="1" customWidth="1"/>
    <col min="16" max="16" width="9.28515625" bestFit="1" customWidth="1"/>
    <col min="18" max="19" width="9.28515625" bestFit="1" customWidth="1"/>
    <col min="24" max="24" width="12" bestFit="1" customWidth="1"/>
  </cols>
  <sheetData>
    <row r="2" spans="1:147" x14ac:dyDescent="0.2">
      <c r="A2" s="39"/>
      <c r="B2" s="39"/>
      <c r="C2" s="39">
        <v>2007</v>
      </c>
      <c r="D2" s="39"/>
      <c r="L2">
        <v>2008</v>
      </c>
      <c r="M2" t="s">
        <v>262</v>
      </c>
      <c r="O2">
        <v>2008</v>
      </c>
      <c r="P2" t="s">
        <v>263</v>
      </c>
      <c r="R2">
        <v>2008</v>
      </c>
      <c r="S2" t="s">
        <v>264</v>
      </c>
      <c r="U2">
        <v>2008</v>
      </c>
      <c r="V2" t="s">
        <v>265</v>
      </c>
      <c r="X2" s="10">
        <v>2009</v>
      </c>
      <c r="Y2" t="s">
        <v>262</v>
      </c>
      <c r="AA2">
        <f>+X2</f>
        <v>2009</v>
      </c>
      <c r="AB2" t="s">
        <v>263</v>
      </c>
      <c r="AD2">
        <f>+AA2</f>
        <v>2009</v>
      </c>
      <c r="AE2" t="s">
        <v>264</v>
      </c>
      <c r="AG2">
        <f>+AD2</f>
        <v>2009</v>
      </c>
      <c r="AH2" t="s">
        <v>265</v>
      </c>
      <c r="AJ2" s="56"/>
      <c r="AK2" s="156">
        <v>2015</v>
      </c>
      <c r="AL2" s="156" t="s">
        <v>266</v>
      </c>
      <c r="AM2" s="57"/>
      <c r="AN2" s="56"/>
      <c r="AO2" s="156">
        <v>2015</v>
      </c>
      <c r="AP2" s="156" t="s">
        <v>267</v>
      </c>
      <c r="AQ2" s="57"/>
      <c r="AR2" s="56"/>
      <c r="AS2" s="156">
        <v>2015</v>
      </c>
      <c r="AT2" s="156" t="s">
        <v>268</v>
      </c>
      <c r="AU2" s="57"/>
      <c r="AV2" s="56"/>
      <c r="AW2" s="156">
        <v>2015</v>
      </c>
      <c r="AX2" s="156" t="s">
        <v>269</v>
      </c>
      <c r="AY2" s="57"/>
      <c r="AZ2" s="56"/>
      <c r="BA2" s="156">
        <v>2015</v>
      </c>
      <c r="BB2" s="156" t="s">
        <v>270</v>
      </c>
      <c r="BC2" s="57"/>
      <c r="BD2" s="56"/>
      <c r="BE2" s="156">
        <v>2015</v>
      </c>
      <c r="BF2" s="156" t="s">
        <v>271</v>
      </c>
      <c r="BG2" s="57"/>
      <c r="BH2" s="56"/>
      <c r="BI2" s="156">
        <v>2015</v>
      </c>
      <c r="BJ2" s="156" t="s">
        <v>265</v>
      </c>
      <c r="BK2" s="57"/>
      <c r="BL2" s="56"/>
      <c r="BM2" s="156">
        <v>2016</v>
      </c>
      <c r="BN2" s="156" t="s">
        <v>272</v>
      </c>
      <c r="BO2" s="57"/>
      <c r="BP2" s="56"/>
      <c r="BQ2" s="156">
        <v>2016</v>
      </c>
      <c r="BR2" s="156" t="s">
        <v>273</v>
      </c>
      <c r="BS2" s="57"/>
      <c r="BT2" s="56"/>
      <c r="BU2" s="156">
        <v>2016</v>
      </c>
      <c r="BV2" s="156" t="s">
        <v>274</v>
      </c>
      <c r="BW2" s="57"/>
      <c r="BX2" s="56"/>
      <c r="BY2" s="68">
        <v>2016</v>
      </c>
      <c r="BZ2" s="156" t="s">
        <v>275</v>
      </c>
      <c r="CA2" s="57"/>
      <c r="CB2" s="56"/>
      <c r="CC2" s="68">
        <v>2016</v>
      </c>
      <c r="CD2" s="156" t="s">
        <v>276</v>
      </c>
      <c r="CE2" s="57"/>
      <c r="CF2" s="56"/>
      <c r="CG2" s="68">
        <v>2016</v>
      </c>
      <c r="CH2" s="156" t="s">
        <v>266</v>
      </c>
      <c r="CI2" s="57"/>
      <c r="CJ2" s="56"/>
      <c r="CK2" s="68">
        <v>2016</v>
      </c>
      <c r="CL2" s="156" t="s">
        <v>267</v>
      </c>
      <c r="CM2" s="57"/>
      <c r="CN2" s="56"/>
      <c r="CO2" s="68">
        <v>2016</v>
      </c>
      <c r="CP2" s="156" t="s">
        <v>268</v>
      </c>
      <c r="CQ2" s="57"/>
      <c r="CR2" s="56"/>
      <c r="CS2" s="68">
        <v>2016</v>
      </c>
      <c r="CT2" s="156" t="s">
        <v>264</v>
      </c>
      <c r="CU2" s="57"/>
      <c r="CV2" s="56"/>
      <c r="CW2" s="68">
        <v>2016</v>
      </c>
      <c r="CX2" s="156" t="s">
        <v>270</v>
      </c>
      <c r="CY2" s="57"/>
      <c r="CZ2" s="56"/>
      <c r="DA2" s="68">
        <v>2016</v>
      </c>
      <c r="DB2" s="156" t="s">
        <v>271</v>
      </c>
      <c r="DC2" s="57"/>
      <c r="DD2" s="56"/>
      <c r="DE2" s="68">
        <v>2016</v>
      </c>
      <c r="DF2" s="156" t="s">
        <v>265</v>
      </c>
      <c r="DG2" s="57"/>
      <c r="DH2" s="56"/>
      <c r="DI2" s="68">
        <v>2017</v>
      </c>
      <c r="DJ2" s="156" t="s">
        <v>272</v>
      </c>
      <c r="DK2" s="57"/>
      <c r="DL2" s="56"/>
      <c r="DM2" s="68">
        <v>2017</v>
      </c>
      <c r="DN2" s="156" t="s">
        <v>273</v>
      </c>
      <c r="DO2" s="57"/>
      <c r="DP2" s="56"/>
      <c r="DQ2" s="68">
        <v>2017</v>
      </c>
      <c r="DR2" s="156" t="s">
        <v>274</v>
      </c>
      <c r="DS2" s="57"/>
      <c r="DT2" s="56"/>
      <c r="DU2" s="68">
        <v>2019</v>
      </c>
      <c r="DV2" s="156" t="s">
        <v>274</v>
      </c>
      <c r="DW2" s="57"/>
      <c r="DX2" s="56"/>
      <c r="DY2" s="68">
        <v>2019</v>
      </c>
      <c r="DZ2" s="156" t="s">
        <v>275</v>
      </c>
      <c r="EA2" s="57"/>
      <c r="EB2" s="56"/>
      <c r="EC2" s="68">
        <v>2019</v>
      </c>
      <c r="ED2" s="156" t="s">
        <v>276</v>
      </c>
      <c r="EE2" s="57"/>
      <c r="EF2" s="56"/>
      <c r="EG2" s="68">
        <v>2019</v>
      </c>
      <c r="EH2" s="156" t="s">
        <v>266</v>
      </c>
      <c r="EI2" s="57"/>
      <c r="EJ2" s="56"/>
      <c r="EK2" s="68">
        <v>2019</v>
      </c>
      <c r="EL2" s="156" t="s">
        <v>267</v>
      </c>
      <c r="EM2" s="57"/>
      <c r="EN2" s="56"/>
      <c r="EO2" s="68">
        <v>2019</v>
      </c>
      <c r="EP2" s="156" t="s">
        <v>268</v>
      </c>
      <c r="EQ2" s="57"/>
    </row>
    <row r="3" spans="1:147" x14ac:dyDescent="0.2">
      <c r="A3" s="39" t="s">
        <v>277</v>
      </c>
      <c r="B3" s="39"/>
      <c r="C3" s="39" t="s">
        <v>278</v>
      </c>
      <c r="D3" s="39" t="s">
        <v>279</v>
      </c>
      <c r="F3" s="39" t="s">
        <v>278</v>
      </c>
      <c r="G3" s="39" t="s">
        <v>279</v>
      </c>
      <c r="I3" s="39" t="s">
        <v>278</v>
      </c>
      <c r="J3" s="39" t="s">
        <v>279</v>
      </c>
      <c r="L3" s="39" t="s">
        <v>278</v>
      </c>
      <c r="M3" s="39" t="s">
        <v>279</v>
      </c>
      <c r="O3" s="39" t="s">
        <v>278</v>
      </c>
      <c r="P3" s="39" t="s">
        <v>279</v>
      </c>
      <c r="R3" s="39" t="s">
        <v>278</v>
      </c>
      <c r="S3" s="39" t="s">
        <v>279</v>
      </c>
      <c r="U3" s="39" t="s">
        <v>278</v>
      </c>
      <c r="V3" s="39" t="s">
        <v>279</v>
      </c>
      <c r="X3" s="39" t="s">
        <v>278</v>
      </c>
      <c r="Y3" s="39" t="s">
        <v>279</v>
      </c>
      <c r="AA3" s="39" t="s">
        <v>278</v>
      </c>
      <c r="AB3" s="39" t="s">
        <v>279</v>
      </c>
      <c r="AD3" s="39" t="s">
        <v>278</v>
      </c>
      <c r="AE3" s="39" t="s">
        <v>279</v>
      </c>
      <c r="AG3" s="39" t="s">
        <v>278</v>
      </c>
      <c r="AH3" s="39" t="s">
        <v>279</v>
      </c>
      <c r="AJ3" s="58"/>
      <c r="AK3" s="39" t="s">
        <v>278</v>
      </c>
      <c r="AL3" s="39" t="s">
        <v>279</v>
      </c>
      <c r="AM3" s="59"/>
      <c r="AN3" s="58"/>
      <c r="AO3" s="39" t="s">
        <v>278</v>
      </c>
      <c r="AP3" s="39" t="s">
        <v>279</v>
      </c>
      <c r="AQ3" s="59"/>
      <c r="AR3" s="58"/>
      <c r="AS3" s="39" t="s">
        <v>278</v>
      </c>
      <c r="AT3" s="39" t="s">
        <v>279</v>
      </c>
      <c r="AU3" s="59"/>
      <c r="AV3" s="58"/>
      <c r="AW3" s="39" t="s">
        <v>278</v>
      </c>
      <c r="AX3" s="39" t="s">
        <v>279</v>
      </c>
      <c r="AY3" s="59"/>
      <c r="AZ3" s="58"/>
      <c r="BA3" s="39" t="s">
        <v>278</v>
      </c>
      <c r="BB3" s="39" t="s">
        <v>279</v>
      </c>
      <c r="BC3" s="59"/>
      <c r="BD3" s="58"/>
      <c r="BE3" s="39" t="s">
        <v>278</v>
      </c>
      <c r="BF3" s="39" t="s">
        <v>279</v>
      </c>
      <c r="BG3" s="59"/>
      <c r="BH3" s="58"/>
      <c r="BI3" s="39" t="s">
        <v>278</v>
      </c>
      <c r="BJ3" s="39" t="s">
        <v>279</v>
      </c>
      <c r="BK3" s="59"/>
      <c r="BL3" s="58"/>
      <c r="BM3" s="39" t="s">
        <v>278</v>
      </c>
      <c r="BN3" s="39" t="s">
        <v>279</v>
      </c>
      <c r="BO3" s="59"/>
      <c r="BP3" s="58"/>
      <c r="BQ3" s="39" t="s">
        <v>278</v>
      </c>
      <c r="BR3" s="39" t="s">
        <v>279</v>
      </c>
      <c r="BS3" s="59"/>
      <c r="BT3" s="58"/>
      <c r="BU3" s="39" t="s">
        <v>278</v>
      </c>
      <c r="BV3" s="39" t="s">
        <v>279</v>
      </c>
      <c r="BW3" s="59"/>
      <c r="BX3" s="58"/>
      <c r="BY3" s="144" t="s">
        <v>278</v>
      </c>
      <c r="BZ3" s="144" t="s">
        <v>279</v>
      </c>
      <c r="CA3" s="59"/>
      <c r="CB3" s="58"/>
      <c r="CC3" s="144" t="s">
        <v>278</v>
      </c>
      <c r="CD3" s="144" t="s">
        <v>279</v>
      </c>
      <c r="CE3" s="59"/>
      <c r="CF3" s="58"/>
      <c r="CG3" s="144" t="s">
        <v>278</v>
      </c>
      <c r="CH3" s="144" t="s">
        <v>279</v>
      </c>
      <c r="CI3" s="59"/>
      <c r="CJ3" s="58"/>
      <c r="CK3" s="144" t="s">
        <v>278</v>
      </c>
      <c r="CL3" s="144" t="s">
        <v>279</v>
      </c>
      <c r="CM3" s="59"/>
      <c r="CN3" s="58"/>
      <c r="CO3" s="144" t="s">
        <v>278</v>
      </c>
      <c r="CP3" s="144" t="s">
        <v>279</v>
      </c>
      <c r="CQ3" s="59"/>
      <c r="CR3" s="58"/>
      <c r="CS3" s="144" t="s">
        <v>278</v>
      </c>
      <c r="CT3" s="144" t="s">
        <v>279</v>
      </c>
      <c r="CU3" s="59"/>
      <c r="CV3" s="58"/>
      <c r="CW3" s="144" t="s">
        <v>278</v>
      </c>
      <c r="CX3" s="144" t="s">
        <v>279</v>
      </c>
      <c r="CY3" s="59"/>
      <c r="CZ3" s="58"/>
      <c r="DA3" s="144" t="s">
        <v>278</v>
      </c>
      <c r="DB3" s="144" t="s">
        <v>279</v>
      </c>
      <c r="DC3" s="59"/>
      <c r="DD3" s="58"/>
      <c r="DE3" s="144" t="s">
        <v>278</v>
      </c>
      <c r="DF3" s="144" t="s">
        <v>279</v>
      </c>
      <c r="DG3" s="59"/>
      <c r="DH3" s="58"/>
      <c r="DI3" s="144" t="s">
        <v>278</v>
      </c>
      <c r="DJ3" s="144" t="s">
        <v>279</v>
      </c>
      <c r="DK3" s="59"/>
      <c r="DL3" s="58"/>
      <c r="DM3" s="144" t="s">
        <v>278</v>
      </c>
      <c r="DN3" s="144" t="s">
        <v>279</v>
      </c>
      <c r="DO3" s="59"/>
      <c r="DP3" s="58"/>
      <c r="DQ3" s="144" t="s">
        <v>278</v>
      </c>
      <c r="DR3" s="144" t="s">
        <v>279</v>
      </c>
      <c r="DS3" s="59"/>
      <c r="DT3" s="58"/>
      <c r="DU3" s="144" t="s">
        <v>278</v>
      </c>
      <c r="DV3" s="144" t="s">
        <v>279</v>
      </c>
      <c r="DW3" s="59"/>
      <c r="DX3" s="58"/>
      <c r="DY3" s="144" t="s">
        <v>278</v>
      </c>
      <c r="DZ3" s="144" t="s">
        <v>279</v>
      </c>
      <c r="EA3" s="59"/>
      <c r="EB3" s="58"/>
      <c r="EC3" s="144" t="s">
        <v>278</v>
      </c>
      <c r="ED3" s="144" t="s">
        <v>279</v>
      </c>
      <c r="EE3" s="59"/>
      <c r="EF3" s="58"/>
      <c r="EG3" s="144" t="s">
        <v>278</v>
      </c>
      <c r="EH3" s="144" t="s">
        <v>279</v>
      </c>
      <c r="EI3" s="59"/>
      <c r="EJ3" s="58"/>
      <c r="EK3" s="144" t="s">
        <v>278</v>
      </c>
      <c r="EL3" s="144" t="s">
        <v>279</v>
      </c>
      <c r="EM3" s="59"/>
      <c r="EN3" s="58"/>
      <c r="EO3" s="144" t="s">
        <v>278</v>
      </c>
      <c r="EP3" s="144" t="s">
        <v>279</v>
      </c>
      <c r="EQ3" s="59"/>
    </row>
    <row r="4" spans="1:147" x14ac:dyDescent="0.2">
      <c r="AJ4" s="58"/>
      <c r="AM4" s="59"/>
      <c r="AN4" s="58"/>
      <c r="AQ4" s="59"/>
      <c r="AR4" s="58"/>
      <c r="AU4" s="59"/>
      <c r="AV4" s="58"/>
      <c r="AY4" s="59"/>
      <c r="AZ4" s="58"/>
      <c r="BC4" s="59"/>
      <c r="BD4" s="58"/>
      <c r="BG4" s="59"/>
      <c r="BH4" s="58"/>
      <c r="BK4" s="59"/>
      <c r="BL4" s="58"/>
      <c r="BO4" s="59"/>
      <c r="BP4" s="58"/>
      <c r="BS4" s="59"/>
      <c r="BT4" s="58"/>
      <c r="BW4" s="59"/>
      <c r="BX4" s="58"/>
      <c r="CA4" s="59"/>
      <c r="CB4" s="58"/>
      <c r="CE4" s="59"/>
      <c r="CF4" s="58"/>
      <c r="CI4" s="59"/>
      <c r="CJ4" s="58"/>
      <c r="CM4" s="59"/>
      <c r="CN4" s="58"/>
      <c r="CQ4" s="59"/>
      <c r="CR4" s="58"/>
      <c r="CU4" s="59"/>
      <c r="CV4" s="58"/>
      <c r="CY4" s="59"/>
      <c r="CZ4" s="58"/>
      <c r="DC4" s="59"/>
      <c r="DD4" s="58"/>
      <c r="DG4" s="59"/>
      <c r="DH4" s="58"/>
      <c r="DK4" s="59"/>
      <c r="DL4" s="58"/>
      <c r="DO4" s="59"/>
      <c r="DP4" s="58"/>
      <c r="DS4" s="59"/>
      <c r="DT4" s="58"/>
      <c r="DW4" s="59"/>
      <c r="DX4" s="58"/>
      <c r="EA4" s="59"/>
      <c r="EB4" s="58"/>
      <c r="EE4" s="59"/>
      <c r="EF4" s="58"/>
      <c r="EI4" s="59"/>
      <c r="EJ4" s="58"/>
      <c r="EM4" s="59"/>
      <c r="EN4" s="58"/>
      <c r="EQ4" s="59"/>
    </row>
    <row r="5" spans="1:147" x14ac:dyDescent="0.2">
      <c r="A5" t="s">
        <v>280</v>
      </c>
      <c r="AJ5" s="58"/>
      <c r="AM5" s="59"/>
      <c r="AN5" s="58"/>
      <c r="AQ5" s="59"/>
      <c r="AR5" s="58"/>
      <c r="AU5" s="59"/>
      <c r="AV5" s="58"/>
      <c r="AY5" s="59"/>
      <c r="AZ5" s="58"/>
      <c r="BC5" s="59"/>
      <c r="BD5" s="58"/>
      <c r="BG5" s="59"/>
      <c r="BH5" s="58"/>
      <c r="BK5" s="59"/>
      <c r="BL5" s="58"/>
      <c r="BO5" s="59"/>
      <c r="BP5" s="58"/>
      <c r="BS5" s="59"/>
      <c r="BT5" s="58"/>
      <c r="BW5" s="59"/>
      <c r="BX5" s="58"/>
      <c r="CA5" s="59"/>
      <c r="CB5" s="58"/>
      <c r="CE5" s="59"/>
      <c r="CF5" s="58"/>
      <c r="CI5" s="59"/>
      <c r="CJ5" s="58"/>
      <c r="CM5" s="59"/>
      <c r="CN5" s="58"/>
      <c r="CQ5" s="59"/>
      <c r="CR5" s="58"/>
      <c r="CU5" s="59"/>
      <c r="CV5" s="58"/>
      <c r="CY5" s="59"/>
      <c r="CZ5" s="58"/>
      <c r="DC5" s="59"/>
      <c r="DD5" s="58"/>
      <c r="DG5" s="59"/>
      <c r="DH5" s="58"/>
      <c r="DK5" s="59"/>
      <c r="DL5" s="58"/>
      <c r="DO5" s="59"/>
      <c r="DP5" s="58"/>
      <c r="DS5" s="59"/>
      <c r="DT5" s="58"/>
      <c r="DW5" s="59"/>
      <c r="DX5" s="58"/>
      <c r="EA5" s="59"/>
      <c r="EB5" s="58"/>
      <c r="EE5" s="59"/>
      <c r="EF5" s="58"/>
      <c r="EI5" s="59"/>
      <c r="EJ5" s="58"/>
      <c r="EM5" s="59"/>
      <c r="EN5" s="58"/>
      <c r="EQ5" s="59"/>
    </row>
    <row r="6" spans="1:147" x14ac:dyDescent="0.2">
      <c r="A6">
        <v>41</v>
      </c>
      <c r="C6" s="46">
        <v>39233</v>
      </c>
      <c r="D6" s="45">
        <f>WORKDAY(C6,1,$C$33:$C$42)</f>
        <v>39234</v>
      </c>
      <c r="F6" s="46">
        <v>39324</v>
      </c>
      <c r="G6" s="45">
        <f>WORKDAY(F6,1,$C$33:$C$42)</f>
        <v>39325</v>
      </c>
      <c r="I6" s="46">
        <v>39415</v>
      </c>
      <c r="J6" s="45">
        <f>WORKDAY(I6,1,$C$33:$C$42)</f>
        <v>39416</v>
      </c>
      <c r="L6" s="46">
        <v>39506</v>
      </c>
      <c r="M6" s="45">
        <f>WORKDAY(L6,1,$L$33:$L$42)</f>
        <v>39507</v>
      </c>
      <c r="O6" s="46">
        <v>39598</v>
      </c>
      <c r="P6" s="45">
        <f>WORKDAY(O6,1,$L$33:$L$42)</f>
        <v>39601</v>
      </c>
      <c r="R6" s="46">
        <v>39689</v>
      </c>
      <c r="S6" s="45">
        <f>WORKDAY(R6,1,$L$33:$L$42)</f>
        <v>39693</v>
      </c>
      <c r="U6" s="46">
        <v>39783</v>
      </c>
      <c r="V6" s="45">
        <f>WORKDAY(U6,1,$L$33:$L$42)</f>
        <v>39784</v>
      </c>
      <c r="X6" s="46">
        <v>39871</v>
      </c>
      <c r="Y6" s="45">
        <f>WORKDAY(X6,1,X$33:X$43)</f>
        <v>39874</v>
      </c>
      <c r="AA6" s="46">
        <v>39962</v>
      </c>
      <c r="AB6" s="45">
        <f>WORKDAY(AA6,1,$L$33:$L$43)</f>
        <v>39965</v>
      </c>
      <c r="AD6" s="46">
        <v>40056</v>
      </c>
      <c r="AE6" s="45">
        <f>WORKDAY(AD6,1,X$33:X$43)</f>
        <v>40057</v>
      </c>
      <c r="AG6" s="46">
        <v>40147</v>
      </c>
      <c r="AH6" s="45">
        <f>WORKDAY(AG6,1,X$33:X$43)</f>
        <v>40148</v>
      </c>
      <c r="AJ6" s="58"/>
      <c r="AK6" s="46">
        <v>42153</v>
      </c>
      <c r="AL6" s="45">
        <f>WORKDAY(AK6,1,AB$33:AB$43)</f>
        <v>42156</v>
      </c>
      <c r="AM6" s="59"/>
      <c r="AN6" s="60">
        <f>+AO6-AK6</f>
        <v>32</v>
      </c>
      <c r="AO6" s="46">
        <v>42185</v>
      </c>
      <c r="AP6" s="45">
        <f>WORKDAY(AO6,1,AF$33:AF$43)</f>
        <v>42186</v>
      </c>
      <c r="AQ6" s="59"/>
      <c r="AR6" s="60">
        <f>+AS6-AO6</f>
        <v>31</v>
      </c>
      <c r="AS6" s="46">
        <v>42216</v>
      </c>
      <c r="AT6" s="45">
        <f>WORKDAY(AS6,1,AJ$33:AJ$43)</f>
        <v>42219</v>
      </c>
      <c r="AU6" s="59"/>
      <c r="AV6" s="60">
        <f>+AW6-AS6</f>
        <v>31</v>
      </c>
      <c r="AW6" s="46">
        <v>42247</v>
      </c>
      <c r="AX6" s="45">
        <f>WORKDAY(AW6,1,AN$33:AN$43)</f>
        <v>42248</v>
      </c>
      <c r="AY6" s="59"/>
      <c r="AZ6" s="60">
        <f>+BA6-AW6</f>
        <v>30</v>
      </c>
      <c r="BA6" s="46">
        <v>42277</v>
      </c>
      <c r="BB6" s="45">
        <f>WORKDAY(BA6,1,AR$33:AR$43)</f>
        <v>42278</v>
      </c>
      <c r="BC6" s="59"/>
      <c r="BD6" s="60">
        <f>+BE6-BA6</f>
        <v>29</v>
      </c>
      <c r="BE6" s="46">
        <v>42306</v>
      </c>
      <c r="BF6" s="45">
        <f>WORKDAY(BE6,1,AV$33:AV$43)</f>
        <v>42307</v>
      </c>
      <c r="BG6" s="59"/>
      <c r="BH6" s="60">
        <f>+BI6-BE6</f>
        <v>32</v>
      </c>
      <c r="BI6" s="46">
        <v>42338</v>
      </c>
      <c r="BJ6" s="45">
        <f>WORKDAY(BI6,1,AZ$33:AZ$43)</f>
        <v>42339</v>
      </c>
      <c r="BK6" s="59"/>
      <c r="BL6" s="60">
        <f>+BM6-BI6</f>
        <v>30</v>
      </c>
      <c r="BM6" s="46">
        <v>42368</v>
      </c>
      <c r="BN6" s="45">
        <f>WORKDAY(BM6,1,BD$33:BD$43)</f>
        <v>42369</v>
      </c>
      <c r="BO6" s="59"/>
      <c r="BP6" s="60">
        <f>+BQ6-BM6</f>
        <v>30</v>
      </c>
      <c r="BQ6" s="46">
        <v>42398</v>
      </c>
      <c r="BR6" s="45">
        <f>WORKDAY(BQ6,1,BH$33:BH$43)</f>
        <v>42401</v>
      </c>
      <c r="BS6" s="59"/>
      <c r="BT6" s="60">
        <f>+BU6-BQ6</f>
        <v>31</v>
      </c>
      <c r="BU6" s="46">
        <v>42429</v>
      </c>
      <c r="BV6" s="45">
        <f>WORKDAY(BU6,1,BL$33:BL$43)</f>
        <v>42430</v>
      </c>
      <c r="BW6" s="59"/>
      <c r="BX6" s="60">
        <f>+BY6-BU6</f>
        <v>30</v>
      </c>
      <c r="BY6" s="46">
        <v>42459</v>
      </c>
      <c r="BZ6" s="45">
        <f>WORKDAY(BY6,1)</f>
        <v>42460</v>
      </c>
      <c r="CA6" s="59"/>
      <c r="CB6" s="60">
        <f>+CC6-BY6</f>
        <v>29</v>
      </c>
      <c r="CC6" s="46">
        <v>42488</v>
      </c>
      <c r="CD6" s="45">
        <f>WORKDAY(CC6,1)</f>
        <v>42489</v>
      </c>
      <c r="CE6" s="59"/>
      <c r="CF6" s="60">
        <f>+CG6-CC6</f>
        <v>33</v>
      </c>
      <c r="CG6" s="46">
        <v>42521</v>
      </c>
      <c r="CH6" s="45">
        <f>WORKDAY(CG6,1)</f>
        <v>42522</v>
      </c>
      <c r="CI6" s="59"/>
      <c r="CJ6" s="60">
        <f>+CK6-CG6</f>
        <v>29</v>
      </c>
      <c r="CK6" s="46">
        <v>42550</v>
      </c>
      <c r="CL6" s="45">
        <f>WORKDAY(CK6,1)</f>
        <v>42551</v>
      </c>
      <c r="CM6" s="59"/>
      <c r="CN6" s="60">
        <f>+CO6-CK6</f>
        <v>30</v>
      </c>
      <c r="CO6" s="46">
        <v>42580</v>
      </c>
      <c r="CP6" s="45">
        <f>WORKDAY(CO6,1)</f>
        <v>42583</v>
      </c>
      <c r="CQ6" s="59"/>
      <c r="CR6" s="60">
        <f>+CS6-CO6</f>
        <v>32</v>
      </c>
      <c r="CS6" s="46">
        <v>42612</v>
      </c>
      <c r="CT6" s="45">
        <f>WORKDAY(CS6,1)</f>
        <v>42613</v>
      </c>
      <c r="CU6" s="59"/>
      <c r="CV6" s="60">
        <f>+CW6-CS6</f>
        <v>29</v>
      </c>
      <c r="CW6" s="46">
        <v>42641</v>
      </c>
      <c r="CX6" s="45">
        <f>WORKDAY(CW6,1)</f>
        <v>42642</v>
      </c>
      <c r="CY6" s="59"/>
      <c r="CZ6" s="60">
        <f>+DA6-CW6</f>
        <v>30</v>
      </c>
      <c r="DA6" s="46">
        <v>42671</v>
      </c>
      <c r="DB6" s="45">
        <f>WORKDAY(DA6,1)</f>
        <v>42674</v>
      </c>
      <c r="DC6" s="59"/>
      <c r="DD6" s="60">
        <f>+DE6-DA6</f>
        <v>33</v>
      </c>
      <c r="DE6" s="46">
        <v>42704</v>
      </c>
      <c r="DF6" s="45">
        <f>WORKDAY(DE6,1)</f>
        <v>42705</v>
      </c>
      <c r="DG6" s="59"/>
      <c r="DH6" s="60">
        <f>+DI6-DE6</f>
        <v>30</v>
      </c>
      <c r="DI6" s="46">
        <v>42734</v>
      </c>
      <c r="DJ6" s="45">
        <f>WORKDAY(DI6,1)</f>
        <v>42737</v>
      </c>
      <c r="DK6" s="59"/>
      <c r="DL6" s="60">
        <f>+DM6-DI6</f>
        <v>32</v>
      </c>
      <c r="DM6" s="46">
        <v>42766</v>
      </c>
      <c r="DN6" s="45">
        <f>WORKDAY(DM6,1)</f>
        <v>42767</v>
      </c>
      <c r="DO6" s="59"/>
      <c r="DP6" s="60">
        <f>+DQ6-DM6</f>
        <v>28</v>
      </c>
      <c r="DQ6" s="46">
        <v>42794</v>
      </c>
      <c r="DR6" s="45">
        <f>WORKDAY(DQ6,1)</f>
        <v>42795</v>
      </c>
      <c r="DS6" s="59"/>
      <c r="DT6" s="60">
        <f>+DU6-DQ6</f>
        <v>730</v>
      </c>
      <c r="DU6" s="46">
        <v>43524</v>
      </c>
      <c r="DV6" s="45">
        <f t="shared" ref="DV6:DV11" si="0">WORKDAY(DU6,1)</f>
        <v>43525</v>
      </c>
      <c r="DW6" s="59"/>
      <c r="DX6" s="60">
        <f t="shared" ref="DX6:DX11" si="1">+DY6-DU6</f>
        <v>29</v>
      </c>
      <c r="DY6" s="46">
        <v>43553</v>
      </c>
      <c r="DZ6" s="45">
        <f t="shared" ref="DZ6:DZ11" si="2">WORKDAY(DY6,1)</f>
        <v>43556</v>
      </c>
      <c r="EA6" s="59"/>
      <c r="EB6" s="60">
        <f>+EC6-DY6</f>
        <v>32</v>
      </c>
      <c r="EC6" s="46">
        <v>43585</v>
      </c>
      <c r="ED6" s="45">
        <f>WORKDAY(EC6,1)</f>
        <v>43586</v>
      </c>
      <c r="EE6" s="59"/>
      <c r="EF6" s="60">
        <f>+EG6-EC6</f>
        <v>31</v>
      </c>
      <c r="EG6" s="46">
        <v>43616</v>
      </c>
      <c r="EH6" s="45">
        <f>WORKDAY(EG6,1)</f>
        <v>43619</v>
      </c>
      <c r="EI6" s="59"/>
      <c r="EJ6" s="60">
        <f>+EK6-EG6</f>
        <v>28</v>
      </c>
      <c r="EK6" s="46">
        <v>43644</v>
      </c>
      <c r="EL6" s="45">
        <f>WORKDAY(EK6,1)</f>
        <v>43647</v>
      </c>
      <c r="EM6" s="59"/>
      <c r="EN6" s="60">
        <f>+EO6-EK6</f>
        <v>33</v>
      </c>
      <c r="EO6" s="46">
        <v>43677</v>
      </c>
      <c r="EP6" s="45">
        <f>WORKDAY(EO6,1)</f>
        <v>43678</v>
      </c>
      <c r="EQ6" s="59"/>
    </row>
    <row r="7" spans="1:147" x14ac:dyDescent="0.2">
      <c r="A7">
        <v>42</v>
      </c>
      <c r="C7" s="46">
        <v>39234</v>
      </c>
      <c r="D7" s="45">
        <f>WORKDAY(C7,1,$C$33:$C$42)</f>
        <v>39237</v>
      </c>
      <c r="E7" t="s">
        <v>281</v>
      </c>
      <c r="F7" s="46">
        <v>39325</v>
      </c>
      <c r="G7" s="45">
        <f>WORKDAY(F7,1,$C$33:$C$42)</f>
        <v>39329</v>
      </c>
      <c r="H7" t="s">
        <v>281</v>
      </c>
      <c r="I7" s="46">
        <v>39416</v>
      </c>
      <c r="J7" s="45">
        <f>WORKDAY(I7,1,$C$33:$C$42)</f>
        <v>39419</v>
      </c>
      <c r="K7" t="s">
        <v>281</v>
      </c>
      <c r="L7" s="46">
        <v>39507</v>
      </c>
      <c r="M7" s="45">
        <f>WORKDAY(L7,1,$L$33:$L$42)</f>
        <v>39510</v>
      </c>
      <c r="N7" t="s">
        <v>281</v>
      </c>
      <c r="O7" s="46">
        <v>39601</v>
      </c>
      <c r="P7" s="45">
        <f>WORKDAY(O7,1,$L$33:$L$42)</f>
        <v>39602</v>
      </c>
      <c r="Q7" t="s">
        <v>281</v>
      </c>
      <c r="R7" s="46">
        <v>39693</v>
      </c>
      <c r="S7" s="45">
        <f>WORKDAY(R7,1,$L$33:$L$42)</f>
        <v>39694</v>
      </c>
      <c r="T7" t="s">
        <v>281</v>
      </c>
      <c r="U7" s="46">
        <v>39784</v>
      </c>
      <c r="V7" s="45">
        <f>WORKDAY(U7,1,$L$33:$L$42)</f>
        <v>39785</v>
      </c>
      <c r="W7" t="s">
        <v>281</v>
      </c>
      <c r="X7" s="46">
        <v>39874</v>
      </c>
      <c r="Y7" s="45">
        <f>WORKDAY(X7,1,X$33:X$43)</f>
        <v>39875</v>
      </c>
      <c r="Z7" t="s">
        <v>281</v>
      </c>
      <c r="AA7" s="46">
        <v>39965</v>
      </c>
      <c r="AB7" s="45">
        <f>WORKDAY(AA7,1,$L$33:$L$43)</f>
        <v>39966</v>
      </c>
      <c r="AC7" t="s">
        <v>281</v>
      </c>
      <c r="AD7" s="46">
        <v>40057</v>
      </c>
      <c r="AE7" s="45">
        <f>WORKDAY(AD7,1,X$33:X$43)</f>
        <v>40058</v>
      </c>
      <c r="AF7" t="s">
        <v>281</v>
      </c>
      <c r="AG7" s="46">
        <v>40148</v>
      </c>
      <c r="AH7" s="45">
        <f>WORKDAY(AG7,1,X$33:X$43)</f>
        <v>40149</v>
      </c>
      <c r="AI7" t="s">
        <v>281</v>
      </c>
      <c r="AJ7" s="58"/>
      <c r="AK7" s="46">
        <v>42156</v>
      </c>
      <c r="AL7" s="45">
        <f>WORKDAY(AK7,1,AB$33:AB$43)</f>
        <v>42157</v>
      </c>
      <c r="AM7" s="59" t="s">
        <v>281</v>
      </c>
      <c r="AN7" s="60">
        <f>+AO7-AK7</f>
        <v>30</v>
      </c>
      <c r="AO7" s="46">
        <v>42186</v>
      </c>
      <c r="AP7" s="45">
        <f>WORKDAY(AO7,1,AF$33:AF$43)</f>
        <v>42187</v>
      </c>
      <c r="AQ7" s="59" t="s">
        <v>281</v>
      </c>
      <c r="AR7" s="60">
        <f>+AS7-AO7</f>
        <v>33</v>
      </c>
      <c r="AS7" s="46">
        <v>42219</v>
      </c>
      <c r="AT7" s="45">
        <f>WORKDAY(AS7,1,AJ$33:AJ$43)</f>
        <v>42220</v>
      </c>
      <c r="AU7" s="59" t="s">
        <v>281</v>
      </c>
      <c r="AV7" s="60">
        <f>+AW7-AS7</f>
        <v>29</v>
      </c>
      <c r="AW7" s="46">
        <v>42248</v>
      </c>
      <c r="AX7" s="45">
        <f>WORKDAY(AW7,1,AN$33:AN$43)</f>
        <v>42249</v>
      </c>
      <c r="AY7" s="59" t="s">
        <v>281</v>
      </c>
      <c r="AZ7" s="60">
        <f>+BA7-AW7</f>
        <v>30</v>
      </c>
      <c r="BA7" s="46">
        <v>42278</v>
      </c>
      <c r="BB7" s="45">
        <f>WORKDAY(BA7,1,AR$33:AR$43)</f>
        <v>42279</v>
      </c>
      <c r="BC7" s="59" t="s">
        <v>281</v>
      </c>
      <c r="BD7" s="60">
        <f>+BE7-BA7</f>
        <v>29</v>
      </c>
      <c r="BE7" s="46">
        <v>42307</v>
      </c>
      <c r="BF7" s="45">
        <f>WORKDAY(BE7,1,AV$33:AV$43)</f>
        <v>42310</v>
      </c>
      <c r="BG7" s="59" t="s">
        <v>281</v>
      </c>
      <c r="BH7" s="60">
        <f>+BI7-BE7</f>
        <v>32</v>
      </c>
      <c r="BI7" s="46">
        <v>42339</v>
      </c>
      <c r="BJ7" s="45">
        <f>WORKDAY(BI7,1,AZ$33:AZ$43)</f>
        <v>42340</v>
      </c>
      <c r="BK7" s="59" t="s">
        <v>281</v>
      </c>
      <c r="BL7" s="60">
        <f>+BM7-BI7</f>
        <v>30</v>
      </c>
      <c r="BM7" s="46">
        <v>42369</v>
      </c>
      <c r="BN7" s="64">
        <f>WORKDAY(BM7,2,BD$33:BD$43)</f>
        <v>42373</v>
      </c>
      <c r="BO7" s="59" t="s">
        <v>281</v>
      </c>
      <c r="BP7" s="60">
        <f>+BQ7-BM7</f>
        <v>32</v>
      </c>
      <c r="BQ7" s="46">
        <v>42401</v>
      </c>
      <c r="BR7" s="45">
        <f>WORKDAY(BQ7,1,BH$33:BH$43)</f>
        <v>42402</v>
      </c>
      <c r="BS7" s="59" t="s">
        <v>281</v>
      </c>
      <c r="BT7" s="60">
        <f>+BU7-BQ7</f>
        <v>29</v>
      </c>
      <c r="BU7" s="46">
        <v>42430</v>
      </c>
      <c r="BV7" s="45">
        <f>WORKDAY(BU7,1,BL$33:BL$43)</f>
        <v>42431</v>
      </c>
      <c r="BW7" s="59" t="s">
        <v>281</v>
      </c>
      <c r="BX7" s="60">
        <f>+BY7-BU7</f>
        <v>30</v>
      </c>
      <c r="BY7" s="46">
        <v>42460</v>
      </c>
      <c r="BZ7" s="45">
        <f>WORKDAY(BY7,1)</f>
        <v>42461</v>
      </c>
      <c r="CA7" s="59" t="s">
        <v>281</v>
      </c>
      <c r="CB7" s="60">
        <f>+CC7-BY7</f>
        <v>29</v>
      </c>
      <c r="CC7" s="46">
        <v>42489</v>
      </c>
      <c r="CD7" s="45">
        <f>WORKDAY(CC7,1)</f>
        <v>42492</v>
      </c>
      <c r="CE7" s="59" t="s">
        <v>281</v>
      </c>
      <c r="CF7" s="60">
        <f>+CG7-CC7</f>
        <v>33</v>
      </c>
      <c r="CG7" s="46">
        <v>42522</v>
      </c>
      <c r="CH7" s="45">
        <f>WORKDAY(CG7,1)</f>
        <v>42523</v>
      </c>
      <c r="CI7" s="59" t="s">
        <v>281</v>
      </c>
      <c r="CJ7" s="60">
        <f>+CK7-CG7</f>
        <v>29</v>
      </c>
      <c r="CK7" s="46">
        <v>42551</v>
      </c>
      <c r="CL7" s="45">
        <f>WORKDAY(CK7,1)</f>
        <v>42552</v>
      </c>
      <c r="CM7" s="59" t="s">
        <v>281</v>
      </c>
      <c r="CN7" s="60">
        <f>+CO7-CK7</f>
        <v>32</v>
      </c>
      <c r="CO7" s="46">
        <v>42583</v>
      </c>
      <c r="CP7" s="45">
        <f>WORKDAY(CO7,1)</f>
        <v>42584</v>
      </c>
      <c r="CQ7" s="59" t="s">
        <v>281</v>
      </c>
      <c r="CR7" s="60">
        <f>+CS7-CO7</f>
        <v>30</v>
      </c>
      <c r="CS7" s="46">
        <v>42613</v>
      </c>
      <c r="CT7" s="45">
        <f>WORKDAY(CS7,1)</f>
        <v>42614</v>
      </c>
      <c r="CU7" s="59" t="s">
        <v>281</v>
      </c>
      <c r="CV7" s="60">
        <f>+CW7-CS7</f>
        <v>30</v>
      </c>
      <c r="CW7" s="46">
        <v>42643</v>
      </c>
      <c r="CX7" s="45">
        <f>WORKDAY(CW7,1)</f>
        <v>42646</v>
      </c>
      <c r="CY7" s="59" t="s">
        <v>281</v>
      </c>
      <c r="CZ7" s="60">
        <f>+DA7-CW7</f>
        <v>31</v>
      </c>
      <c r="DA7" s="46">
        <v>42674</v>
      </c>
      <c r="DB7" s="45">
        <f>WORKDAY(DA7,1)</f>
        <v>42675</v>
      </c>
      <c r="DC7" s="59" t="s">
        <v>281</v>
      </c>
      <c r="DD7" s="60">
        <f>+DE7-DA7</f>
        <v>31</v>
      </c>
      <c r="DE7" s="46">
        <v>42705</v>
      </c>
      <c r="DF7" s="45">
        <f>WORKDAY(DE7,1)</f>
        <v>42706</v>
      </c>
      <c r="DG7" s="59" t="s">
        <v>281</v>
      </c>
      <c r="DH7" s="60">
        <f>+DI7-DE7</f>
        <v>33</v>
      </c>
      <c r="DI7" s="46">
        <v>42738</v>
      </c>
      <c r="DJ7" s="45">
        <f>WORKDAY(DI7,1)</f>
        <v>42739</v>
      </c>
      <c r="DK7" s="59" t="s">
        <v>281</v>
      </c>
      <c r="DL7" s="60">
        <f>+DM7-DI7</f>
        <v>29</v>
      </c>
      <c r="DM7" s="46">
        <v>42767</v>
      </c>
      <c r="DN7" s="45">
        <f>WORKDAY(DM7,1)</f>
        <v>42768</v>
      </c>
      <c r="DO7" s="59" t="s">
        <v>281</v>
      </c>
      <c r="DP7" s="60">
        <f>+DQ7-DM7</f>
        <v>28</v>
      </c>
      <c r="DQ7" s="46">
        <v>42795</v>
      </c>
      <c r="DR7" s="45">
        <f>WORKDAY(DQ7,1)</f>
        <v>42796</v>
      </c>
      <c r="DS7" s="59" t="s">
        <v>281</v>
      </c>
      <c r="DT7" s="60">
        <f>+DU7-DQ7</f>
        <v>730</v>
      </c>
      <c r="DU7" s="46">
        <v>43525</v>
      </c>
      <c r="DV7" s="45">
        <f t="shared" si="0"/>
        <v>43528</v>
      </c>
      <c r="DW7" s="59" t="s">
        <v>281</v>
      </c>
      <c r="DX7" s="60">
        <f t="shared" si="1"/>
        <v>31</v>
      </c>
      <c r="DY7" s="46">
        <v>43556</v>
      </c>
      <c r="DZ7" s="45">
        <f t="shared" si="2"/>
        <v>43557</v>
      </c>
      <c r="EA7" s="59" t="s">
        <v>281</v>
      </c>
      <c r="EB7" s="60">
        <f>+EC7-DY7</f>
        <v>30</v>
      </c>
      <c r="EC7" s="46">
        <v>43586</v>
      </c>
      <c r="ED7" s="45">
        <f>WORKDAY(EC7,1)</f>
        <v>43587</v>
      </c>
      <c r="EE7" s="59" t="s">
        <v>281</v>
      </c>
      <c r="EF7" s="60">
        <f>+EG7-EC7</f>
        <v>33</v>
      </c>
      <c r="EG7" s="46">
        <v>43619</v>
      </c>
      <c r="EH7" s="45">
        <f>WORKDAY(EG7,1)</f>
        <v>43620</v>
      </c>
      <c r="EI7" s="59" t="s">
        <v>281</v>
      </c>
      <c r="EJ7" s="60">
        <f>+EK7-EG7</f>
        <v>28</v>
      </c>
      <c r="EK7" s="46">
        <v>43647</v>
      </c>
      <c r="EL7" s="45">
        <f>WORKDAY(EK7,1)</f>
        <v>43648</v>
      </c>
      <c r="EM7" s="59" t="s">
        <v>281</v>
      </c>
      <c r="EN7" s="60">
        <f>+EO7-EK7</f>
        <v>31</v>
      </c>
      <c r="EO7" s="46">
        <v>43678</v>
      </c>
      <c r="EP7" s="45">
        <f>WORKDAY(EO7,1)</f>
        <v>43679</v>
      </c>
      <c r="EQ7" s="59" t="s">
        <v>281</v>
      </c>
    </row>
    <row r="8" spans="1:147" x14ac:dyDescent="0.2">
      <c r="A8">
        <v>43</v>
      </c>
      <c r="C8" s="46">
        <v>39237</v>
      </c>
      <c r="D8" s="45">
        <f>WORKDAY(C8,1,$C$33:$C$42)</f>
        <v>39238</v>
      </c>
      <c r="E8" t="s">
        <v>282</v>
      </c>
      <c r="F8" s="46">
        <v>39329</v>
      </c>
      <c r="G8" s="45">
        <f>WORKDAY(F8,1,$C$33:$C$42)</f>
        <v>39330</v>
      </c>
      <c r="H8" t="s">
        <v>282</v>
      </c>
      <c r="I8" s="46">
        <v>39419</v>
      </c>
      <c r="J8" s="45">
        <f>WORKDAY(I8,1,$C$33:$C$42)</f>
        <v>39420</v>
      </c>
      <c r="K8" t="s">
        <v>282</v>
      </c>
      <c r="L8" s="46">
        <v>39510</v>
      </c>
      <c r="M8" s="45">
        <f>WORKDAY(L8,1,$L$33:$L$42)</f>
        <v>39511</v>
      </c>
      <c r="N8" t="s">
        <v>282</v>
      </c>
      <c r="O8" s="46">
        <v>39602</v>
      </c>
      <c r="P8" s="45">
        <f>WORKDAY(O8,1,$L$33:$L$42)</f>
        <v>39603</v>
      </c>
      <c r="Q8" t="s">
        <v>282</v>
      </c>
      <c r="R8" s="46">
        <v>39694</v>
      </c>
      <c r="S8" s="45">
        <f>WORKDAY(R8,1,$L$33:$L$42)</f>
        <v>39695</v>
      </c>
      <c r="T8" t="s">
        <v>282</v>
      </c>
      <c r="U8" s="46">
        <v>39785</v>
      </c>
      <c r="V8" s="45">
        <f>WORKDAY(U8,1,$L$33:$L$42)</f>
        <v>39786</v>
      </c>
      <c r="W8" t="s">
        <v>282</v>
      </c>
      <c r="X8" s="46">
        <v>39875</v>
      </c>
      <c r="Y8" s="45">
        <f>WORKDAY(X8,1,X$33:X$43)</f>
        <v>39876</v>
      </c>
      <c r="Z8" t="s">
        <v>282</v>
      </c>
      <c r="AA8" s="46">
        <v>39966</v>
      </c>
      <c r="AB8" s="45">
        <f>WORKDAY(AA8,1,$L$33:$L$43)</f>
        <v>39967</v>
      </c>
      <c r="AC8" t="s">
        <v>282</v>
      </c>
      <c r="AD8" s="46">
        <v>40058</v>
      </c>
      <c r="AE8" s="45">
        <f>WORKDAY(AD8,1,X$33:X$43)</f>
        <v>40059</v>
      </c>
      <c r="AF8" t="s">
        <v>282</v>
      </c>
      <c r="AG8" s="46">
        <v>40149</v>
      </c>
      <c r="AH8" s="45">
        <f>WORKDAY(AG8,1,X$33:X$43)</f>
        <v>40150</v>
      </c>
      <c r="AI8" t="s">
        <v>282</v>
      </c>
      <c r="AJ8" s="58"/>
      <c r="AK8" s="46">
        <v>42157</v>
      </c>
      <c r="AL8" s="45">
        <f>WORKDAY(AK8,1,AB$33:AB$43)</f>
        <v>42158</v>
      </c>
      <c r="AM8" s="59" t="s">
        <v>282</v>
      </c>
      <c r="AN8" s="60">
        <f>+AO8-AK8</f>
        <v>30</v>
      </c>
      <c r="AO8" s="46">
        <v>42187</v>
      </c>
      <c r="AP8" s="45">
        <f>WORKDAY(AO8,1,AF$33:AF$43)</f>
        <v>42188</v>
      </c>
      <c r="AQ8" s="59" t="s">
        <v>282</v>
      </c>
      <c r="AR8" s="60">
        <f>+AS8-AO8</f>
        <v>33</v>
      </c>
      <c r="AS8" s="46">
        <v>42220</v>
      </c>
      <c r="AT8" s="45">
        <f>WORKDAY(AS8,1,AJ$33:AJ$43)</f>
        <v>42221</v>
      </c>
      <c r="AU8" s="59" t="s">
        <v>282</v>
      </c>
      <c r="AV8" s="60">
        <f>+AW8-AS8</f>
        <v>29</v>
      </c>
      <c r="AW8" s="46">
        <v>42249</v>
      </c>
      <c r="AX8" s="45">
        <f>WORKDAY(AW8,1,AN$33:AN$43)</f>
        <v>42250</v>
      </c>
      <c r="AY8" s="59" t="s">
        <v>282</v>
      </c>
      <c r="AZ8" s="60">
        <f>+BA8-AW8</f>
        <v>30</v>
      </c>
      <c r="BA8" s="46">
        <v>42279</v>
      </c>
      <c r="BB8" s="45">
        <f>WORKDAY(BA8,1,AR$33:AR$43)</f>
        <v>42282</v>
      </c>
      <c r="BC8" s="59" t="s">
        <v>282</v>
      </c>
      <c r="BD8" s="60">
        <f>+BE8-BA8</f>
        <v>31</v>
      </c>
      <c r="BE8" s="46">
        <v>42310</v>
      </c>
      <c r="BF8" s="45">
        <f>WORKDAY(BE8,1,AV$33:AV$43)</f>
        <v>42311</v>
      </c>
      <c r="BG8" s="59" t="s">
        <v>282</v>
      </c>
      <c r="BH8" s="60">
        <f>+BI8-BE8</f>
        <v>30</v>
      </c>
      <c r="BI8" s="46">
        <v>42340</v>
      </c>
      <c r="BJ8" s="45">
        <f>WORKDAY(BI8,1,AZ$33:AZ$43)</f>
        <v>42341</v>
      </c>
      <c r="BK8" s="59" t="s">
        <v>282</v>
      </c>
      <c r="BL8" s="60">
        <f>+BM8-BI8</f>
        <v>33</v>
      </c>
      <c r="BM8" s="46">
        <v>42373</v>
      </c>
      <c r="BN8" s="45">
        <f>WORKDAY(BM8,1,BD$33:BD$43)</f>
        <v>42374</v>
      </c>
      <c r="BO8" s="59" t="s">
        <v>282</v>
      </c>
      <c r="BP8" s="60">
        <f>+BQ8-BM8</f>
        <v>29</v>
      </c>
      <c r="BQ8" s="46">
        <v>42402</v>
      </c>
      <c r="BR8" s="45">
        <f>WORKDAY(BQ8,1,BH$33:BH$43)</f>
        <v>42403</v>
      </c>
      <c r="BS8" s="59" t="s">
        <v>282</v>
      </c>
      <c r="BT8" s="60">
        <f>+BU8-BQ8</f>
        <v>29</v>
      </c>
      <c r="BU8" s="46">
        <v>42431</v>
      </c>
      <c r="BV8" s="45">
        <f>WORKDAY(BU8,1,BL$33:BL$43)</f>
        <v>42432</v>
      </c>
      <c r="BW8" s="59" t="s">
        <v>282</v>
      </c>
      <c r="BX8" s="60">
        <f>+BY8-BU8</f>
        <v>30</v>
      </c>
      <c r="BY8" s="46">
        <v>42461</v>
      </c>
      <c r="BZ8" s="45">
        <f>WORKDAY(BY8,1)</f>
        <v>42464</v>
      </c>
      <c r="CA8" s="59" t="s">
        <v>282</v>
      </c>
      <c r="CB8" s="60">
        <f>+CC8-BY8</f>
        <v>31</v>
      </c>
      <c r="CC8" s="46">
        <v>42492</v>
      </c>
      <c r="CD8" s="45">
        <f>WORKDAY(CC8,1)</f>
        <v>42493</v>
      </c>
      <c r="CE8" s="59" t="s">
        <v>282</v>
      </c>
      <c r="CF8" s="60">
        <f>+CG8-CC8</f>
        <v>31</v>
      </c>
      <c r="CG8" s="46">
        <v>42523</v>
      </c>
      <c r="CH8" s="45">
        <f>WORKDAY(CG8,1)</f>
        <v>42524</v>
      </c>
      <c r="CI8" s="59" t="s">
        <v>282</v>
      </c>
      <c r="CJ8" s="60">
        <f>+CK8-CG8</f>
        <v>29</v>
      </c>
      <c r="CK8" s="46">
        <v>42552</v>
      </c>
      <c r="CL8" s="45">
        <f>WORKDAY(CK8,1)</f>
        <v>42555</v>
      </c>
      <c r="CM8" s="59" t="s">
        <v>282</v>
      </c>
      <c r="CN8" s="60">
        <f>+CO8-CK8</f>
        <v>32</v>
      </c>
      <c r="CO8" s="46">
        <v>42584</v>
      </c>
      <c r="CP8" s="45">
        <f>WORKDAY(CO8,1)</f>
        <v>42585</v>
      </c>
      <c r="CQ8" s="59" t="s">
        <v>282</v>
      </c>
      <c r="CR8" s="60">
        <f>+CS8-CO8</f>
        <v>30</v>
      </c>
      <c r="CS8" s="46">
        <v>42614</v>
      </c>
      <c r="CT8" s="45">
        <f>WORKDAY(CS8,1)</f>
        <v>42615</v>
      </c>
      <c r="CU8" s="59" t="s">
        <v>282</v>
      </c>
      <c r="CV8" s="60">
        <f>+CW8-CS8</f>
        <v>32</v>
      </c>
      <c r="CW8" s="46">
        <v>42646</v>
      </c>
      <c r="CX8" s="45">
        <f>WORKDAY(CW8,1)</f>
        <v>42647</v>
      </c>
      <c r="CY8" s="59" t="s">
        <v>282</v>
      </c>
      <c r="CZ8" s="60">
        <f>+DA8-CW8</f>
        <v>29</v>
      </c>
      <c r="DA8" s="46">
        <v>42675</v>
      </c>
      <c r="DB8" s="45">
        <f>WORKDAY(DA8,1)</f>
        <v>42676</v>
      </c>
      <c r="DC8" s="59" t="s">
        <v>282</v>
      </c>
      <c r="DD8" s="60">
        <f>+DE8-DA8</f>
        <v>31</v>
      </c>
      <c r="DE8" s="46">
        <v>42706</v>
      </c>
      <c r="DF8" s="45">
        <f>WORKDAY(DE8,1)</f>
        <v>42709</v>
      </c>
      <c r="DG8" s="59" t="s">
        <v>282</v>
      </c>
      <c r="DH8" s="60">
        <f>+DI8-DE8</f>
        <v>33</v>
      </c>
      <c r="DI8" s="46">
        <v>42739</v>
      </c>
      <c r="DJ8" s="45">
        <f>WORKDAY(DI8,1)</f>
        <v>42740</v>
      </c>
      <c r="DK8" s="59" t="s">
        <v>282</v>
      </c>
      <c r="DL8" s="60">
        <f>+DM8-DI8</f>
        <v>29</v>
      </c>
      <c r="DM8" s="46">
        <v>42768</v>
      </c>
      <c r="DN8" s="45">
        <f>WORKDAY(DM8,1)</f>
        <v>42769</v>
      </c>
      <c r="DO8" s="59" t="s">
        <v>282</v>
      </c>
      <c r="DP8" s="60">
        <f>+DQ8-DM8</f>
        <v>28</v>
      </c>
      <c r="DQ8" s="46">
        <v>42796</v>
      </c>
      <c r="DR8" s="45">
        <f>WORKDAY(DQ8,1)</f>
        <v>42797</v>
      </c>
      <c r="DS8" s="59" t="s">
        <v>282</v>
      </c>
      <c r="DT8" s="60">
        <f>+DU8-DQ8</f>
        <v>732</v>
      </c>
      <c r="DU8" s="46">
        <v>43528</v>
      </c>
      <c r="DV8" s="45">
        <f t="shared" si="0"/>
        <v>43529</v>
      </c>
      <c r="DW8" s="59" t="s">
        <v>282</v>
      </c>
      <c r="DX8" s="60">
        <f t="shared" si="1"/>
        <v>29</v>
      </c>
      <c r="DY8" s="46">
        <v>43557</v>
      </c>
      <c r="DZ8" s="45">
        <f t="shared" si="2"/>
        <v>43558</v>
      </c>
      <c r="EA8" s="59" t="s">
        <v>282</v>
      </c>
      <c r="EB8" s="60">
        <f>+EC8-DY8</f>
        <v>30</v>
      </c>
      <c r="EC8" s="46">
        <v>43587</v>
      </c>
      <c r="ED8" s="45">
        <f>WORKDAY(EC8,1)</f>
        <v>43588</v>
      </c>
      <c r="EE8" s="59" t="s">
        <v>282</v>
      </c>
      <c r="EF8" s="60">
        <f>+EG8-EC8</f>
        <v>33</v>
      </c>
      <c r="EG8" s="46">
        <v>43620</v>
      </c>
      <c r="EH8" s="45">
        <f>WORKDAY(EG8,1)</f>
        <v>43621</v>
      </c>
      <c r="EI8" s="59" t="s">
        <v>282</v>
      </c>
      <c r="EJ8" s="60">
        <f>+EK8-EG8</f>
        <v>28</v>
      </c>
      <c r="EK8" s="46">
        <v>43648</v>
      </c>
      <c r="EL8" s="45">
        <f>WORKDAY(EK8,1)</f>
        <v>43649</v>
      </c>
      <c r="EM8" s="59" t="s">
        <v>282</v>
      </c>
      <c r="EN8" s="60">
        <f>+EO8-EK8</f>
        <v>31</v>
      </c>
      <c r="EO8" s="46">
        <v>43679</v>
      </c>
      <c r="EP8" s="45">
        <f>WORKDAY(EO8,1)</f>
        <v>43682</v>
      </c>
      <c r="EQ8" s="59" t="s">
        <v>282</v>
      </c>
    </row>
    <row r="9" spans="1:147" x14ac:dyDescent="0.2">
      <c r="A9">
        <v>44</v>
      </c>
      <c r="C9" s="46">
        <v>39238</v>
      </c>
      <c r="D9" s="45">
        <f>WORKDAY(C9,1,$C$33:$C$42)</f>
        <v>39239</v>
      </c>
      <c r="E9" t="s">
        <v>283</v>
      </c>
      <c r="F9" s="46">
        <v>39330</v>
      </c>
      <c r="G9" s="45">
        <f>WORKDAY(F9,1,$C$33:$C$42)</f>
        <v>39331</v>
      </c>
      <c r="H9" t="s">
        <v>283</v>
      </c>
      <c r="I9" s="46">
        <v>39420</v>
      </c>
      <c r="J9" s="45">
        <f>WORKDAY(I9,1,$C$33:$C$42)</f>
        <v>39421</v>
      </c>
      <c r="K9" t="s">
        <v>283</v>
      </c>
      <c r="L9" s="46">
        <v>39511</v>
      </c>
      <c r="M9" s="45">
        <f>WORKDAY(L9,1,$L$33:$L$42)</f>
        <v>39512</v>
      </c>
      <c r="N9" t="s">
        <v>283</v>
      </c>
      <c r="O9" s="46">
        <v>39603</v>
      </c>
      <c r="P9" s="45">
        <f>WORKDAY(O9,1,$L$33:$L$42)</f>
        <v>39604</v>
      </c>
      <c r="Q9" t="s">
        <v>283</v>
      </c>
      <c r="R9" s="46">
        <v>39695</v>
      </c>
      <c r="S9" s="45">
        <f>WORKDAY(R9,1,$L$33:$L$42)</f>
        <v>39696</v>
      </c>
      <c r="T9" t="s">
        <v>283</v>
      </c>
      <c r="U9" s="46">
        <v>39786</v>
      </c>
      <c r="V9" s="45">
        <f>WORKDAY(U9,1,$L$33:$L$42)</f>
        <v>39787</v>
      </c>
      <c r="W9" t="s">
        <v>283</v>
      </c>
      <c r="X9" s="46">
        <v>39876</v>
      </c>
      <c r="Y9" s="45">
        <f>WORKDAY(X9,1,X$33:X$43)</f>
        <v>39877</v>
      </c>
      <c r="Z9" t="s">
        <v>283</v>
      </c>
      <c r="AA9" s="46">
        <v>39967</v>
      </c>
      <c r="AB9" s="45">
        <f>WORKDAY(AA9,1,$L$33:$L$43)</f>
        <v>39968</v>
      </c>
      <c r="AC9" t="s">
        <v>283</v>
      </c>
      <c r="AD9" s="46">
        <v>40059</v>
      </c>
      <c r="AE9" s="45">
        <f>WORKDAY(AD9,1,X$33:X$43)</f>
        <v>40060</v>
      </c>
      <c r="AF9" t="s">
        <v>283</v>
      </c>
      <c r="AG9" s="46">
        <v>40150</v>
      </c>
      <c r="AH9" s="45">
        <f>WORKDAY(AG9,1,X$33:X$43)</f>
        <v>40151</v>
      </c>
      <c r="AI9" t="s">
        <v>283</v>
      </c>
      <c r="AJ9" s="58"/>
      <c r="AK9" s="46">
        <v>42158</v>
      </c>
      <c r="AL9" s="45">
        <f>WORKDAY(AK9,1,AB$33:AB$43)</f>
        <v>42159</v>
      </c>
      <c r="AM9" s="59" t="s">
        <v>283</v>
      </c>
      <c r="AN9" s="60">
        <f>+AO9-AK9</f>
        <v>33</v>
      </c>
      <c r="AO9" s="46">
        <v>42191</v>
      </c>
      <c r="AP9" s="45">
        <f>WORKDAY(AO9,1,AF$33:AF$43)</f>
        <v>42192</v>
      </c>
      <c r="AQ9" s="59" t="s">
        <v>283</v>
      </c>
      <c r="AR9" s="60">
        <f>+AS9-AO9</f>
        <v>30</v>
      </c>
      <c r="AS9" s="46">
        <v>42221</v>
      </c>
      <c r="AT9" s="45">
        <f>WORKDAY(AS9,1,AJ$33:AJ$43)</f>
        <v>42222</v>
      </c>
      <c r="AU9" s="59" t="s">
        <v>283</v>
      </c>
      <c r="AV9" s="60">
        <f>+AW9-AS9</f>
        <v>29</v>
      </c>
      <c r="AW9" s="46">
        <v>42250</v>
      </c>
      <c r="AX9" s="45">
        <f>WORKDAY(AW9,1,AN$33:AN$43)</f>
        <v>42251</v>
      </c>
      <c r="AY9" s="59" t="s">
        <v>283</v>
      </c>
      <c r="AZ9" s="60">
        <f>+BA9-AW9</f>
        <v>32</v>
      </c>
      <c r="BA9" s="46">
        <v>42282</v>
      </c>
      <c r="BB9" s="45">
        <f>WORKDAY(BA9,1,AR$33:AR$43)</f>
        <v>42283</v>
      </c>
      <c r="BC9" s="59" t="s">
        <v>283</v>
      </c>
      <c r="BD9" s="60">
        <f>+BE9-BA9</f>
        <v>29</v>
      </c>
      <c r="BE9" s="46">
        <v>42311</v>
      </c>
      <c r="BF9" s="45">
        <f>WORKDAY(BE9,1,AV$33:AV$43)</f>
        <v>42312</v>
      </c>
      <c r="BG9" s="59" t="s">
        <v>283</v>
      </c>
      <c r="BH9" s="60">
        <f>+BI9-BE9</f>
        <v>30</v>
      </c>
      <c r="BI9" s="46">
        <v>42341</v>
      </c>
      <c r="BJ9" s="45">
        <f>WORKDAY(BI9,1,AZ$33:AZ$43)</f>
        <v>42342</v>
      </c>
      <c r="BK9" s="59" t="s">
        <v>283</v>
      </c>
      <c r="BL9" s="60">
        <f>+BM9-BI9</f>
        <v>33</v>
      </c>
      <c r="BM9" s="46">
        <v>42374</v>
      </c>
      <c r="BN9" s="45">
        <f>WORKDAY(BM9,1,BD$33:BD$43)</f>
        <v>42375</v>
      </c>
      <c r="BO9" s="59" t="s">
        <v>283</v>
      </c>
      <c r="BP9" s="60">
        <f>+BQ9-BM9</f>
        <v>29</v>
      </c>
      <c r="BQ9" s="46">
        <v>42403</v>
      </c>
      <c r="BR9" s="45">
        <f>WORKDAY(BQ9,1,BH$33:BH$43)</f>
        <v>42404</v>
      </c>
      <c r="BS9" s="59" t="s">
        <v>283</v>
      </c>
      <c r="BT9" s="60">
        <f>+BU9-BQ9</f>
        <v>29</v>
      </c>
      <c r="BU9" s="46">
        <v>42432</v>
      </c>
      <c r="BV9" s="45">
        <f>WORKDAY(BU9,1,BL$33:BL$43)</f>
        <v>42433</v>
      </c>
      <c r="BW9" s="59" t="s">
        <v>283</v>
      </c>
      <c r="BX9" s="60">
        <f>+BY9-BU9</f>
        <v>32</v>
      </c>
      <c r="BY9" s="46">
        <v>42464</v>
      </c>
      <c r="BZ9" s="45">
        <f>WORKDAY(BY9,1)</f>
        <v>42465</v>
      </c>
      <c r="CA9" s="59" t="s">
        <v>283</v>
      </c>
      <c r="CB9" s="60">
        <f>+CC9-BY9</f>
        <v>29</v>
      </c>
      <c r="CC9" s="46">
        <v>42493</v>
      </c>
      <c r="CD9" s="45">
        <f>WORKDAY(CC9,1)</f>
        <v>42494</v>
      </c>
      <c r="CE9" s="59" t="s">
        <v>283</v>
      </c>
      <c r="CF9" s="60">
        <f>+CG9-CC9</f>
        <v>31</v>
      </c>
      <c r="CG9" s="46">
        <v>42524</v>
      </c>
      <c r="CH9" s="45">
        <f>WORKDAY(CG9,1)</f>
        <v>42527</v>
      </c>
      <c r="CI9" s="59" t="s">
        <v>283</v>
      </c>
      <c r="CJ9" s="60">
        <f>+CK9-CG9</f>
        <v>32</v>
      </c>
      <c r="CK9" s="46">
        <v>42556</v>
      </c>
      <c r="CL9" s="45">
        <f>WORKDAY(CK9,1)</f>
        <v>42557</v>
      </c>
      <c r="CM9" s="59" t="s">
        <v>283</v>
      </c>
      <c r="CN9" s="60">
        <f>+CO9-CK9</f>
        <v>29</v>
      </c>
      <c r="CO9" s="46">
        <v>42585</v>
      </c>
      <c r="CP9" s="45">
        <f>WORKDAY(CO9,1)</f>
        <v>42586</v>
      </c>
      <c r="CQ9" s="59" t="s">
        <v>283</v>
      </c>
      <c r="CR9" s="60">
        <f>+CS9-CO9</f>
        <v>30</v>
      </c>
      <c r="CS9" s="46">
        <v>42615</v>
      </c>
      <c r="CT9" s="45">
        <f>WORKDAY(CS9,1)</f>
        <v>42618</v>
      </c>
      <c r="CU9" s="59" t="s">
        <v>283</v>
      </c>
      <c r="CV9" s="60">
        <f>+CW9-CS9</f>
        <v>32</v>
      </c>
      <c r="CW9" s="46">
        <v>42647</v>
      </c>
      <c r="CX9" s="45">
        <f>WORKDAY(CW9,1)</f>
        <v>42648</v>
      </c>
      <c r="CY9" s="59" t="s">
        <v>283</v>
      </c>
      <c r="CZ9" s="60">
        <f>+DA9-CW9</f>
        <v>29</v>
      </c>
      <c r="DA9" s="46">
        <v>42676</v>
      </c>
      <c r="DB9" s="45">
        <f>WORKDAY(DA9,1)</f>
        <v>42677</v>
      </c>
      <c r="DC9" s="59" t="s">
        <v>283</v>
      </c>
      <c r="DD9" s="60">
        <f>+DE9-DA9</f>
        <v>33</v>
      </c>
      <c r="DE9" s="46">
        <v>42709</v>
      </c>
      <c r="DF9" s="45">
        <f>WORKDAY(DE9,1)</f>
        <v>42710</v>
      </c>
      <c r="DG9" s="59" t="s">
        <v>283</v>
      </c>
      <c r="DH9" s="60">
        <f>+DI9-DE9</f>
        <v>31</v>
      </c>
      <c r="DI9" s="46">
        <v>42740</v>
      </c>
      <c r="DJ9" s="45">
        <f>WORKDAY(DI9,1)</f>
        <v>42741</v>
      </c>
      <c r="DK9" s="59" t="s">
        <v>283</v>
      </c>
      <c r="DL9" s="60">
        <f>+DM9-DI9</f>
        <v>29</v>
      </c>
      <c r="DM9" s="46">
        <v>42769</v>
      </c>
      <c r="DN9" s="45">
        <f>WORKDAY(DM9,1)</f>
        <v>42772</v>
      </c>
      <c r="DO9" s="59" t="s">
        <v>283</v>
      </c>
      <c r="DP9" s="60">
        <f>+DQ9-DM9</f>
        <v>28</v>
      </c>
      <c r="DQ9" s="46">
        <v>42797</v>
      </c>
      <c r="DR9" s="45">
        <f>WORKDAY(DQ9,1)</f>
        <v>42800</v>
      </c>
      <c r="DS9" s="59" t="s">
        <v>283</v>
      </c>
      <c r="DT9" s="60">
        <f>+DU9-DQ9</f>
        <v>732</v>
      </c>
      <c r="DU9" s="46">
        <v>43529</v>
      </c>
      <c r="DV9" s="45">
        <f t="shared" si="0"/>
        <v>43530</v>
      </c>
      <c r="DW9" s="59" t="s">
        <v>283</v>
      </c>
      <c r="DX9" s="60">
        <f t="shared" si="1"/>
        <v>29</v>
      </c>
      <c r="DY9" s="46">
        <v>43558</v>
      </c>
      <c r="DZ9" s="45">
        <f t="shared" si="2"/>
        <v>43559</v>
      </c>
      <c r="EA9" s="59" t="s">
        <v>283</v>
      </c>
      <c r="EB9" s="60">
        <f>+EC9-DY9</f>
        <v>30</v>
      </c>
      <c r="EC9" s="46">
        <v>43588</v>
      </c>
      <c r="ED9" s="45">
        <f>WORKDAY(EC9,1)</f>
        <v>43591</v>
      </c>
      <c r="EE9" s="59" t="s">
        <v>283</v>
      </c>
      <c r="EF9" s="60">
        <f>+EG9-EC9</f>
        <v>33</v>
      </c>
      <c r="EG9" s="46">
        <v>43621</v>
      </c>
      <c r="EH9" s="45">
        <f>WORKDAY(EG9,1)</f>
        <v>43622</v>
      </c>
      <c r="EI9" s="59" t="s">
        <v>283</v>
      </c>
      <c r="EJ9" s="60">
        <f>+EK9-EG9</f>
        <v>28</v>
      </c>
      <c r="EK9" s="46">
        <v>43649</v>
      </c>
      <c r="EL9" s="45">
        <f>WORKDAY(EK9,1)</f>
        <v>43650</v>
      </c>
      <c r="EM9" s="59" t="s">
        <v>283</v>
      </c>
      <c r="EN9" s="60">
        <f>+EO9-EK9</f>
        <v>33</v>
      </c>
      <c r="EO9" s="46">
        <v>43682</v>
      </c>
      <c r="EP9" s="45">
        <f>WORKDAY(EO9,1)</f>
        <v>43683</v>
      </c>
      <c r="EQ9" s="59" t="s">
        <v>283</v>
      </c>
    </row>
    <row r="10" spans="1:147" x14ac:dyDescent="0.2">
      <c r="C10" s="46"/>
      <c r="D10" s="45"/>
      <c r="F10" s="46"/>
      <c r="G10" s="45"/>
      <c r="I10" s="46"/>
      <c r="J10" s="45"/>
      <c r="L10" s="46"/>
      <c r="M10" s="45"/>
      <c r="O10" s="46"/>
      <c r="P10" s="45"/>
      <c r="R10" s="46"/>
      <c r="S10" s="45"/>
      <c r="U10" s="46"/>
      <c r="V10" s="45"/>
      <c r="X10" s="46"/>
      <c r="Y10" s="45"/>
      <c r="AA10" s="46"/>
      <c r="AB10" s="45"/>
      <c r="AD10" s="46"/>
      <c r="AE10" s="45"/>
      <c r="AG10" s="46"/>
      <c r="AH10" s="45"/>
      <c r="AJ10" s="58"/>
      <c r="AK10" s="46"/>
      <c r="AL10" s="45"/>
      <c r="AM10" s="59"/>
      <c r="AN10" s="60"/>
      <c r="AO10" s="46"/>
      <c r="AP10" s="45"/>
      <c r="AQ10" s="59"/>
      <c r="AR10" s="60"/>
      <c r="AS10" s="46"/>
      <c r="AT10" s="45"/>
      <c r="AU10" s="59"/>
      <c r="AV10" s="60"/>
      <c r="AW10" s="46"/>
      <c r="AX10" s="45"/>
      <c r="AY10" s="59"/>
      <c r="AZ10" s="60"/>
      <c r="BA10" s="46"/>
      <c r="BB10" s="45"/>
      <c r="BC10" s="59"/>
      <c r="BD10" s="60"/>
      <c r="BE10" s="46"/>
      <c r="BF10" s="45"/>
      <c r="BG10" s="59"/>
      <c r="BH10" s="60"/>
      <c r="BI10" s="46"/>
      <c r="BJ10" s="45"/>
      <c r="BK10" s="59"/>
      <c r="BL10" s="60"/>
      <c r="BM10" s="46"/>
      <c r="BN10" s="45"/>
      <c r="BO10" s="59"/>
      <c r="BP10" s="60"/>
      <c r="BQ10" s="46"/>
      <c r="BR10" s="45"/>
      <c r="BS10" s="59"/>
      <c r="BT10" s="60"/>
      <c r="BU10" s="46"/>
      <c r="BV10" s="45"/>
      <c r="BW10" s="59"/>
      <c r="BX10" s="60"/>
      <c r="BY10" s="46"/>
      <c r="BZ10" s="45"/>
      <c r="CA10" s="59"/>
      <c r="CB10" s="60"/>
      <c r="CC10" s="46"/>
      <c r="CD10" s="45"/>
      <c r="CE10" s="59"/>
      <c r="CF10" s="60"/>
      <c r="CG10" s="46"/>
      <c r="CH10" s="45"/>
      <c r="CI10" s="59"/>
      <c r="CJ10" s="60"/>
      <c r="CK10" s="46"/>
      <c r="CL10" s="45"/>
      <c r="CM10" s="59"/>
      <c r="CN10" s="60"/>
      <c r="CO10" s="46"/>
      <c r="CP10" s="45"/>
      <c r="CQ10" s="59"/>
      <c r="CR10" s="60"/>
      <c r="CS10" s="46"/>
      <c r="CT10" s="45"/>
      <c r="CU10" s="59"/>
      <c r="CV10" s="60"/>
      <c r="CW10" s="46"/>
      <c r="CX10" s="45"/>
      <c r="CY10" s="59"/>
      <c r="CZ10" s="60"/>
      <c r="DA10" s="46"/>
      <c r="DB10" s="45"/>
      <c r="DC10" s="59"/>
      <c r="DD10" s="60"/>
      <c r="DE10" s="46"/>
      <c r="DF10" s="45"/>
      <c r="DG10" s="59"/>
      <c r="DH10" s="60"/>
      <c r="DI10" s="46"/>
      <c r="DJ10" s="45"/>
      <c r="DK10" s="59"/>
      <c r="DL10" s="60"/>
      <c r="DM10" s="46"/>
      <c r="DN10" s="45"/>
      <c r="DO10" s="59"/>
      <c r="DP10" s="60"/>
      <c r="DQ10" s="46"/>
      <c r="DR10" s="45"/>
      <c r="DS10" s="59"/>
      <c r="DT10" s="60"/>
      <c r="DU10" s="46">
        <v>43530</v>
      </c>
      <c r="DV10" s="45">
        <f t="shared" si="0"/>
        <v>43531</v>
      </c>
      <c r="DW10" s="59"/>
      <c r="DX10" s="60">
        <f t="shared" si="1"/>
        <v>31</v>
      </c>
      <c r="DY10" s="46">
        <v>43561</v>
      </c>
      <c r="DZ10" s="45">
        <f t="shared" si="2"/>
        <v>43563</v>
      </c>
      <c r="EA10" s="59"/>
      <c r="EB10" s="60"/>
      <c r="EC10" s="46"/>
      <c r="ED10" s="45"/>
      <c r="EE10" s="59"/>
      <c r="EF10" s="60"/>
      <c r="EG10" s="46"/>
      <c r="EH10" s="45"/>
      <c r="EI10" s="59"/>
      <c r="EJ10" s="60"/>
      <c r="EK10" s="46"/>
      <c r="EL10" s="45"/>
      <c r="EM10" s="59"/>
      <c r="EN10" s="60"/>
      <c r="EO10" s="46"/>
      <c r="EP10" s="45"/>
      <c r="EQ10" s="59"/>
    </row>
    <row r="11" spans="1:147" x14ac:dyDescent="0.2">
      <c r="A11">
        <v>52</v>
      </c>
      <c r="C11" s="46"/>
      <c r="D11" s="45"/>
      <c r="F11" s="46"/>
      <c r="G11" s="45"/>
      <c r="I11" s="46"/>
      <c r="J11" s="45"/>
      <c r="L11" s="46"/>
      <c r="M11" s="45"/>
      <c r="O11" s="46"/>
      <c r="P11" s="45"/>
      <c r="R11" s="46"/>
      <c r="S11" s="45"/>
      <c r="U11" s="46"/>
      <c r="V11" s="45"/>
      <c r="X11" s="46"/>
      <c r="Y11" s="45"/>
      <c r="AA11" s="46"/>
      <c r="AB11" s="45"/>
      <c r="AD11" s="46"/>
      <c r="AE11" s="45"/>
      <c r="AG11" s="46"/>
      <c r="AH11" s="45"/>
      <c r="AJ11" s="58"/>
      <c r="AK11" s="46"/>
      <c r="AL11" s="45"/>
      <c r="AM11" s="59"/>
      <c r="AN11" s="60"/>
      <c r="AO11" s="46"/>
      <c r="AP11" s="45"/>
      <c r="AQ11" s="59"/>
      <c r="AR11" s="60"/>
      <c r="AS11" s="46">
        <v>42233</v>
      </c>
      <c r="AT11" s="45">
        <f>WORKDAY(AS11,1,AJ$33:AJ$43)</f>
        <v>42234</v>
      </c>
      <c r="AU11" s="157" t="s">
        <v>284</v>
      </c>
      <c r="AV11" s="60">
        <f>+AW11-AS11</f>
        <v>30</v>
      </c>
      <c r="AW11" s="46">
        <v>42263</v>
      </c>
      <c r="AX11" s="45">
        <f>WORKDAY(AW11,1,AN$33:AN$43)</f>
        <v>42264</v>
      </c>
      <c r="AY11" s="157" t="s">
        <v>284</v>
      </c>
      <c r="AZ11" s="60">
        <f>+BA11-AW11</f>
        <v>30</v>
      </c>
      <c r="BA11" s="46">
        <v>42293</v>
      </c>
      <c r="BB11" s="45">
        <f>WORKDAY(BA11,1,AR$33:AR$43)</f>
        <v>42296</v>
      </c>
      <c r="BC11" s="157" t="s">
        <v>284</v>
      </c>
      <c r="BD11" s="60">
        <f>+BE11-BA11</f>
        <v>28</v>
      </c>
      <c r="BE11" s="46">
        <v>42321</v>
      </c>
      <c r="BF11" s="45">
        <f>WORKDAY(BE11,1,AV$33:AV$43)</f>
        <v>42324</v>
      </c>
      <c r="BG11" s="157" t="s">
        <v>284</v>
      </c>
      <c r="BH11" s="60">
        <f>+BI11-BE11</f>
        <v>32</v>
      </c>
      <c r="BI11" s="46">
        <v>42353</v>
      </c>
      <c r="BJ11" s="45">
        <f>WORKDAY(BI11,1,AZ$33:AZ$43)</f>
        <v>42354</v>
      </c>
      <c r="BK11" s="157" t="s">
        <v>284</v>
      </c>
      <c r="BL11" s="60">
        <f>+BM11-BI11</f>
        <v>31</v>
      </c>
      <c r="BM11" s="46">
        <v>42384</v>
      </c>
      <c r="BN11" s="45">
        <f>WORKDAY(BM11,1,BD$33:BD$43)</f>
        <v>42387</v>
      </c>
      <c r="BO11" s="157" t="s">
        <v>284</v>
      </c>
      <c r="BP11" s="60">
        <f>+BQ11-BM11</f>
        <v>31</v>
      </c>
      <c r="BQ11" s="46">
        <v>42415</v>
      </c>
      <c r="BR11" s="45">
        <f>WORKDAY(BQ11,1,BH$33:BH$43)</f>
        <v>42416</v>
      </c>
      <c r="BS11" s="157" t="s">
        <v>284</v>
      </c>
      <c r="BT11" s="60">
        <f>+BU11-BQ11</f>
        <v>30</v>
      </c>
      <c r="BU11" s="46">
        <v>42445</v>
      </c>
      <c r="BV11" s="45">
        <f>WORKDAY(BU11,1,BL$33:BL$43)</f>
        <v>42446</v>
      </c>
      <c r="BW11" s="157" t="s">
        <v>284</v>
      </c>
      <c r="BX11" s="60">
        <f>+BY11-BU11</f>
        <v>29</v>
      </c>
      <c r="BY11" s="46">
        <v>42474</v>
      </c>
      <c r="BZ11" s="45">
        <f>WORKDAY(BY11,1)</f>
        <v>42475</v>
      </c>
      <c r="CA11" s="157" t="s">
        <v>284</v>
      </c>
      <c r="CB11" s="60">
        <f>+CC11-BY11</f>
        <v>32</v>
      </c>
      <c r="CC11" s="46">
        <v>42506</v>
      </c>
      <c r="CD11" s="45">
        <f>WORKDAY(CC11,1)</f>
        <v>42507</v>
      </c>
      <c r="CE11" s="157" t="s">
        <v>284</v>
      </c>
      <c r="CF11" s="60">
        <f>+CG11-CC11</f>
        <v>30</v>
      </c>
      <c r="CG11" s="46">
        <v>42536</v>
      </c>
      <c r="CH11" s="45">
        <f>WORKDAY(CG11,1)</f>
        <v>42537</v>
      </c>
      <c r="CI11" s="157" t="s">
        <v>284</v>
      </c>
      <c r="CJ11" s="60">
        <f>+CK11-CG11</f>
        <v>30</v>
      </c>
      <c r="CK11" s="46">
        <v>42566</v>
      </c>
      <c r="CL11" s="45">
        <f>WORKDAY(CK11,1)</f>
        <v>42569</v>
      </c>
      <c r="CM11" s="157" t="s">
        <v>284</v>
      </c>
      <c r="CN11" s="60">
        <f>+CO11-CK11</f>
        <v>32</v>
      </c>
      <c r="CO11" s="46">
        <v>42598</v>
      </c>
      <c r="CP11" s="45">
        <f>WORKDAY(CO11,1)</f>
        <v>42599</v>
      </c>
      <c r="CQ11" s="157" t="s">
        <v>284</v>
      </c>
      <c r="CR11" s="60">
        <f>+CS11-CO11</f>
        <v>30</v>
      </c>
      <c r="CS11" s="46">
        <v>42628</v>
      </c>
      <c r="CT11" s="45">
        <f>WORKDAY(CS11,1)</f>
        <v>42629</v>
      </c>
      <c r="CU11" s="157" t="s">
        <v>284</v>
      </c>
      <c r="CV11" s="60">
        <f>+CW11-CS11</f>
        <v>29</v>
      </c>
      <c r="CW11" s="46">
        <v>42657</v>
      </c>
      <c r="CX11" s="45">
        <f>WORKDAY(CW11,1)</f>
        <v>42660</v>
      </c>
      <c r="CY11" s="157" t="s">
        <v>284</v>
      </c>
      <c r="CZ11" s="60">
        <f>+DA11-CW11</f>
        <v>32</v>
      </c>
      <c r="DA11" s="46">
        <v>42689</v>
      </c>
      <c r="DB11" s="45">
        <f>WORKDAY(DA11,1)</f>
        <v>42690</v>
      </c>
      <c r="DC11" s="157" t="s">
        <v>284</v>
      </c>
      <c r="DD11" s="60">
        <f>+DE11-DA11</f>
        <v>30</v>
      </c>
      <c r="DE11" s="46">
        <v>42719</v>
      </c>
      <c r="DF11" s="45">
        <f>WORKDAY(DE11,1)</f>
        <v>42720</v>
      </c>
      <c r="DG11" s="157" t="s">
        <v>284</v>
      </c>
      <c r="DH11" s="60">
        <f>+DI11-DE11</f>
        <v>34</v>
      </c>
      <c r="DI11" s="46">
        <v>42753</v>
      </c>
      <c r="DJ11" s="45">
        <f>WORKDAY(DI11,1)</f>
        <v>42754</v>
      </c>
      <c r="DK11" s="157" t="s">
        <v>284</v>
      </c>
      <c r="DL11" s="60">
        <f>+DM11-DI11</f>
        <v>28</v>
      </c>
      <c r="DM11" s="46">
        <v>42781</v>
      </c>
      <c r="DN11" s="45">
        <f>WORKDAY(DM11,1)</f>
        <v>42782</v>
      </c>
      <c r="DO11" s="157" t="s">
        <v>284</v>
      </c>
      <c r="DP11" s="60">
        <f>+DQ11-DM11</f>
        <v>29</v>
      </c>
      <c r="DQ11" s="46">
        <v>42810</v>
      </c>
      <c r="DR11" s="45">
        <f>WORKDAY(DQ11,1)</f>
        <v>42811</v>
      </c>
      <c r="DS11" s="157" t="s">
        <v>284</v>
      </c>
      <c r="DT11" s="60">
        <f>+DU11-DQ11</f>
        <v>728</v>
      </c>
      <c r="DU11" s="46">
        <v>43538</v>
      </c>
      <c r="DV11" s="45">
        <f t="shared" si="0"/>
        <v>43539</v>
      </c>
      <c r="DW11" s="157" t="s">
        <v>284</v>
      </c>
      <c r="DX11" s="60">
        <f t="shared" si="1"/>
        <v>33</v>
      </c>
      <c r="DY11" s="46">
        <v>43571</v>
      </c>
      <c r="DZ11" s="45">
        <f t="shared" si="2"/>
        <v>43572</v>
      </c>
      <c r="EA11" s="157" t="s">
        <v>284</v>
      </c>
      <c r="EB11" s="60">
        <f>+EC11-DY11</f>
        <v>30</v>
      </c>
      <c r="EC11" s="46">
        <v>43601</v>
      </c>
      <c r="ED11" s="45">
        <f>WORKDAY(EC11,1)</f>
        <v>43602</v>
      </c>
      <c r="EE11" s="157" t="s">
        <v>284</v>
      </c>
      <c r="EF11" s="60">
        <f>+EG11-EC11</f>
        <v>32</v>
      </c>
      <c r="EG11" s="46">
        <v>43633</v>
      </c>
      <c r="EH11" s="45">
        <f>WORKDAY(EG11,1)</f>
        <v>43634</v>
      </c>
      <c r="EI11" s="157" t="s">
        <v>284</v>
      </c>
      <c r="EJ11" s="60">
        <f>+EK11-EG11</f>
        <v>30</v>
      </c>
      <c r="EK11" s="46">
        <v>43663</v>
      </c>
      <c r="EL11" s="45">
        <f>WORKDAY(EK11,1)</f>
        <v>43664</v>
      </c>
      <c r="EM11" s="157" t="s">
        <v>284</v>
      </c>
      <c r="EN11" s="60">
        <f>+EO11-EK11</f>
        <v>30</v>
      </c>
      <c r="EO11" s="46">
        <v>43693</v>
      </c>
      <c r="EP11" s="45">
        <f>WORKDAY(EO11,1)</f>
        <v>43696</v>
      </c>
      <c r="EQ11" s="157" t="s">
        <v>284</v>
      </c>
    </row>
    <row r="12" spans="1:147" x14ac:dyDescent="0.2">
      <c r="C12" s="46"/>
      <c r="D12" s="45"/>
      <c r="F12" s="46"/>
      <c r="G12" s="45"/>
      <c r="I12" s="46"/>
      <c r="J12" s="45"/>
      <c r="L12" s="46"/>
      <c r="M12" s="45"/>
      <c r="O12" s="46"/>
      <c r="P12" s="45"/>
      <c r="R12" s="46"/>
      <c r="S12" s="45"/>
      <c r="U12" s="46"/>
      <c r="V12" s="45"/>
      <c r="X12" s="46"/>
      <c r="Y12" s="45"/>
      <c r="AA12" s="46"/>
      <c r="AB12" s="45"/>
      <c r="AD12" s="46"/>
      <c r="AE12" s="45"/>
      <c r="AG12" s="46"/>
      <c r="AH12" s="45"/>
      <c r="AJ12" s="58"/>
      <c r="AK12" s="46"/>
      <c r="AL12" s="45"/>
      <c r="AM12" s="59"/>
      <c r="AN12" s="58"/>
      <c r="AO12" s="46"/>
      <c r="AP12" s="45"/>
      <c r="AQ12" s="59"/>
      <c r="AR12" s="58"/>
      <c r="AS12" s="46"/>
      <c r="AT12" s="45"/>
      <c r="AU12" s="59"/>
      <c r="AV12" s="58"/>
      <c r="AW12" s="46"/>
      <c r="AX12" s="45"/>
      <c r="AY12" s="59"/>
      <c r="AZ12" s="58"/>
      <c r="BA12" s="46"/>
      <c r="BB12" s="45"/>
      <c r="BC12" s="59"/>
      <c r="BD12" s="58"/>
      <c r="BE12" s="46"/>
      <c r="BF12" s="45"/>
      <c r="BG12" s="59"/>
      <c r="BH12" s="58"/>
      <c r="BI12" s="46"/>
      <c r="BJ12" s="45"/>
      <c r="BK12" s="59"/>
      <c r="BL12" s="58"/>
      <c r="BM12" s="46"/>
      <c r="BN12" s="45"/>
      <c r="BO12" s="59"/>
      <c r="BP12" s="58"/>
      <c r="BQ12" s="46"/>
      <c r="BR12" s="45"/>
      <c r="BS12" s="59"/>
      <c r="BT12" s="58"/>
      <c r="BU12" s="46"/>
      <c r="BV12" s="45"/>
      <c r="BW12" s="59"/>
      <c r="BX12" s="58"/>
      <c r="BY12" s="46"/>
      <c r="BZ12" s="45"/>
      <c r="CA12" s="59"/>
      <c r="CB12" s="58"/>
      <c r="CC12" s="46"/>
      <c r="CD12" s="45"/>
      <c r="CE12" s="59"/>
      <c r="CF12" s="58"/>
      <c r="CG12" s="46"/>
      <c r="CH12" s="45"/>
      <c r="CI12" s="59"/>
      <c r="CJ12" s="58"/>
      <c r="CK12" s="46"/>
      <c r="CL12" s="45"/>
      <c r="CM12" s="59"/>
      <c r="CN12" s="58"/>
      <c r="CO12" s="46"/>
      <c r="CP12" s="45"/>
      <c r="CQ12" s="59"/>
      <c r="CR12" s="58"/>
      <c r="CS12" s="46"/>
      <c r="CT12" s="45"/>
      <c r="CU12" s="59"/>
      <c r="CV12" s="58"/>
      <c r="CW12" s="46"/>
      <c r="CX12" s="45"/>
      <c r="CY12" s="59"/>
      <c r="CZ12" s="58"/>
      <c r="DA12" s="46"/>
      <c r="DB12" s="45"/>
      <c r="DC12" s="59"/>
      <c r="DD12" s="58"/>
      <c r="DE12" s="46"/>
      <c r="DF12" s="45"/>
      <c r="DG12" s="59"/>
      <c r="DH12" s="58"/>
      <c r="DI12" s="46"/>
      <c r="DJ12" s="45"/>
      <c r="DK12" s="59"/>
      <c r="DL12" s="58"/>
      <c r="DM12" s="46"/>
      <c r="DN12" s="45"/>
      <c r="DO12" s="59"/>
      <c r="DP12" s="58"/>
      <c r="DQ12" s="46"/>
      <c r="DR12" s="45"/>
      <c r="DS12" s="59"/>
      <c r="DT12" s="58"/>
      <c r="DU12" s="46"/>
      <c r="DV12" s="45"/>
      <c r="DW12" s="59"/>
      <c r="DX12" s="58"/>
      <c r="DY12" s="46"/>
      <c r="DZ12" s="45"/>
      <c r="EA12" s="59"/>
      <c r="EB12" s="58"/>
      <c r="EC12" s="46"/>
      <c r="ED12" s="45"/>
      <c r="EE12" s="59"/>
      <c r="EF12" s="58"/>
      <c r="EG12" s="46"/>
      <c r="EH12" s="45"/>
      <c r="EI12" s="59"/>
      <c r="EJ12" s="58"/>
      <c r="EK12" s="46"/>
      <c r="EL12" s="45"/>
      <c r="EM12" s="59"/>
      <c r="EN12" s="58"/>
      <c r="EO12" s="46"/>
      <c r="EP12" s="45"/>
      <c r="EQ12" s="59"/>
    </row>
    <row r="13" spans="1:147" x14ac:dyDescent="0.2">
      <c r="A13" t="s">
        <v>285</v>
      </c>
      <c r="C13" s="10"/>
      <c r="F13" s="10"/>
      <c r="I13" s="10"/>
      <c r="L13" s="10"/>
      <c r="O13" s="10"/>
      <c r="R13" s="10"/>
      <c r="U13" s="10"/>
      <c r="X13" s="10"/>
      <c r="AA13" s="10"/>
      <c r="AD13" s="10"/>
      <c r="AG13" s="10"/>
      <c r="AJ13" s="58"/>
      <c r="AK13" s="10"/>
      <c r="AM13" s="59"/>
      <c r="AN13" s="58"/>
      <c r="AO13" s="10"/>
      <c r="AQ13" s="59"/>
      <c r="AR13" s="58"/>
      <c r="AS13" s="10"/>
      <c r="AU13" s="59"/>
      <c r="AV13" s="58"/>
      <c r="AW13" s="10"/>
      <c r="AY13" s="59"/>
      <c r="AZ13" s="58"/>
      <c r="BA13" s="10"/>
      <c r="BC13" s="59"/>
      <c r="BD13" s="58"/>
      <c r="BE13" s="10"/>
      <c r="BG13" s="59"/>
      <c r="BH13" s="58"/>
      <c r="BI13" s="10"/>
      <c r="BK13" s="59"/>
      <c r="BL13" s="58"/>
      <c r="BM13" s="10"/>
      <c r="BO13" s="59"/>
      <c r="BP13" s="58"/>
      <c r="BQ13" s="10"/>
      <c r="BS13" s="59"/>
      <c r="BT13" s="58"/>
      <c r="BU13" s="10"/>
      <c r="BW13" s="59"/>
      <c r="BX13" s="58"/>
      <c r="BY13" s="10"/>
      <c r="BZ13" s="45"/>
      <c r="CA13" s="59"/>
      <c r="CB13" s="58"/>
      <c r="CC13" s="10"/>
      <c r="CE13" s="59"/>
      <c r="CF13" s="58"/>
      <c r="CG13" s="10"/>
      <c r="CI13" s="59"/>
      <c r="CJ13" s="58"/>
      <c r="CK13" s="10"/>
      <c r="CM13" s="59"/>
      <c r="CN13" s="58"/>
      <c r="CO13" s="10"/>
      <c r="CQ13" s="59"/>
      <c r="CR13" s="58"/>
      <c r="CS13" s="10"/>
      <c r="CU13" s="59"/>
      <c r="CV13" s="58"/>
      <c r="CW13" s="10"/>
      <c r="CY13" s="59"/>
      <c r="CZ13" s="58"/>
      <c r="DA13" s="10"/>
      <c r="DC13" s="59"/>
      <c r="DD13" s="58"/>
      <c r="DE13" s="10"/>
      <c r="DG13" s="59"/>
      <c r="DH13" s="58"/>
      <c r="DI13" s="10"/>
      <c r="DK13" s="59"/>
      <c r="DL13" s="58"/>
      <c r="DM13" s="10"/>
      <c r="DO13" s="59"/>
      <c r="DP13" s="58"/>
      <c r="DQ13" s="10"/>
      <c r="DS13" s="59"/>
      <c r="DT13" s="58"/>
      <c r="DU13" s="10"/>
      <c r="DW13" s="59"/>
      <c r="DX13" s="58"/>
      <c r="DY13" s="10"/>
      <c r="EA13" s="59"/>
      <c r="EB13" s="58"/>
      <c r="EC13" s="10"/>
      <c r="EE13" s="59"/>
      <c r="EF13" s="58"/>
      <c r="EG13" s="10"/>
      <c r="EI13" s="59"/>
      <c r="EJ13" s="58"/>
      <c r="EK13" s="10"/>
      <c r="EM13" s="59"/>
      <c r="EN13" s="58"/>
      <c r="EO13" s="10"/>
      <c r="EQ13" s="59"/>
    </row>
    <row r="14" spans="1:147" x14ac:dyDescent="0.2">
      <c r="A14">
        <v>1</v>
      </c>
      <c r="C14" s="46">
        <v>39233</v>
      </c>
      <c r="D14" s="45">
        <f>WORKDAY(C14,2,$C$33:$C$42)</f>
        <v>39237</v>
      </c>
      <c r="E14" t="str">
        <f>IF(D14=D7,"(a)")</f>
        <v>(a)</v>
      </c>
      <c r="F14" s="46">
        <v>39324</v>
      </c>
      <c r="G14" s="45">
        <f>WORKDAY(F14,2,$C$33:$C$42)</f>
        <v>39329</v>
      </c>
      <c r="H14" t="str">
        <f>IF(G14=G7,"(a)")</f>
        <v>(a)</v>
      </c>
      <c r="I14" s="46">
        <v>39415</v>
      </c>
      <c r="J14" s="45">
        <f>WORKDAY(I14,2,$C$33:$C$42)</f>
        <v>39419</v>
      </c>
      <c r="K14" t="str">
        <f>IF(J14=J7,"(a)")</f>
        <v>(a)</v>
      </c>
      <c r="L14" s="46">
        <v>39506</v>
      </c>
      <c r="M14" s="45">
        <f>WORKDAY(L14,2,$L$33:$L$42)</f>
        <v>39510</v>
      </c>
      <c r="N14" t="str">
        <f>IF(M14=M7,"(a)")</f>
        <v>(a)</v>
      </c>
      <c r="O14" s="46">
        <v>39598</v>
      </c>
      <c r="P14" s="45">
        <f>WORKDAY(O14,2,$L$33:$L$42)</f>
        <v>39602</v>
      </c>
      <c r="Q14" t="str">
        <f>IF(P14=P7,"(a)")</f>
        <v>(a)</v>
      </c>
      <c r="R14" s="46">
        <v>39689</v>
      </c>
      <c r="S14" s="45">
        <f>WORKDAY(R14,2,$L$33:$L$42)</f>
        <v>39694</v>
      </c>
      <c r="T14" t="str">
        <f>IF(S14=S7,"(a)")</f>
        <v>(a)</v>
      </c>
      <c r="U14" s="46">
        <v>39783</v>
      </c>
      <c r="V14" s="45">
        <f>WORKDAY(U14,2,$L$33:$L$42)</f>
        <v>39785</v>
      </c>
      <c r="W14" t="str">
        <f>IF(V14=V7,"(a)")</f>
        <v>(a)</v>
      </c>
      <c r="X14" s="46">
        <v>39871</v>
      </c>
      <c r="Y14" s="45">
        <f>WORKDAY(X14,2,X$33:X$43)</f>
        <v>39875</v>
      </c>
      <c r="Z14" t="str">
        <f>IF(Y14=Y7,"(a)")</f>
        <v>(a)</v>
      </c>
      <c r="AA14" s="46">
        <v>39962</v>
      </c>
      <c r="AB14" s="45">
        <f>WORKDAY(AA14,2,$L$33:$L$43)</f>
        <v>39966</v>
      </c>
      <c r="AC14" t="str">
        <f>IF(AB14=AB7,"(a)")</f>
        <v>(a)</v>
      </c>
      <c r="AD14" s="46">
        <v>40056</v>
      </c>
      <c r="AE14" s="45">
        <f>WORKDAY(AD14,2,X$33:X$43)</f>
        <v>40058</v>
      </c>
      <c r="AF14" t="str">
        <f>IF(AE14=AE7,"(a)")</f>
        <v>(a)</v>
      </c>
      <c r="AG14" s="46">
        <v>40147</v>
      </c>
      <c r="AH14" s="45">
        <f>WORKDAY(AG14,2,X$33:X$43)</f>
        <v>40149</v>
      </c>
      <c r="AI14" t="str">
        <f>IF(AH14=AH7,"(a)")</f>
        <v>(a)</v>
      </c>
      <c r="AJ14" s="58"/>
      <c r="AK14" s="46">
        <v>42153</v>
      </c>
      <c r="AL14" s="45">
        <f>WORKDAY(AK14,2,AB$33:AB$43)</f>
        <v>42157</v>
      </c>
      <c r="AM14" s="59" t="str">
        <f>IF(AL14=AL7,"(a)")</f>
        <v>(a)</v>
      </c>
      <c r="AN14" s="60">
        <f>+AO14-AK14</f>
        <v>32</v>
      </c>
      <c r="AO14" s="46">
        <v>42185</v>
      </c>
      <c r="AP14" s="45">
        <f>WORKDAY(AO14,2,AF$33:AF$43)</f>
        <v>42187</v>
      </c>
      <c r="AQ14" s="59" t="str">
        <f>IF(AP14=AP7,"(a)")</f>
        <v>(a)</v>
      </c>
      <c r="AR14" s="60">
        <f>+AS14-AO14</f>
        <v>31</v>
      </c>
      <c r="AS14" s="46">
        <v>42216</v>
      </c>
      <c r="AT14" s="45">
        <f>WORKDAY(AS14,2,AJ$33:AJ$43)</f>
        <v>42220</v>
      </c>
      <c r="AU14" s="59" t="str">
        <f>IF(AT14=AT7,"(a)")</f>
        <v>(a)</v>
      </c>
      <c r="AV14" s="60">
        <f>+AW14-AS14</f>
        <v>31</v>
      </c>
      <c r="AW14" s="46">
        <v>42247</v>
      </c>
      <c r="AX14" s="45">
        <f>WORKDAY(AW14,2,AN$33:AN$43)</f>
        <v>42249</v>
      </c>
      <c r="AY14" s="59" t="str">
        <f>IF(AX14=AX7,"(a)")</f>
        <v>(a)</v>
      </c>
      <c r="AZ14" s="60">
        <f>+BA14-AW14</f>
        <v>30</v>
      </c>
      <c r="BA14" s="46">
        <v>42277</v>
      </c>
      <c r="BB14" s="45">
        <f>WORKDAY(BA14,2,AR$33:AR$43)</f>
        <v>42279</v>
      </c>
      <c r="BC14" s="59" t="str">
        <f>IF(BB14=BB7,"(a)")</f>
        <v>(a)</v>
      </c>
      <c r="BD14" s="60">
        <f>+BE14-BA14</f>
        <v>29</v>
      </c>
      <c r="BE14" s="46">
        <v>42306</v>
      </c>
      <c r="BF14" s="45">
        <f>WORKDAY(BE14,2,AV$33:AV$43)</f>
        <v>42310</v>
      </c>
      <c r="BG14" s="59" t="str">
        <f>IF(BF14=BF7,"(a)")</f>
        <v>(a)</v>
      </c>
      <c r="BH14" s="60">
        <f>+BI14-BE14</f>
        <v>32</v>
      </c>
      <c r="BI14" s="46">
        <v>42338</v>
      </c>
      <c r="BJ14" s="45">
        <f>WORKDAY(BI14,2,AZ$33:AZ$43)</f>
        <v>42340</v>
      </c>
      <c r="BK14" s="59" t="str">
        <f>IF(BJ14=BJ7,"(a)")</f>
        <v>(a)</v>
      </c>
      <c r="BL14" s="60">
        <f>+BM14-BI14</f>
        <v>30</v>
      </c>
      <c r="BM14" s="46">
        <v>42368</v>
      </c>
      <c r="BN14" s="64">
        <f>WORKDAY(BM14,3,BD$33:BD$43)</f>
        <v>42373</v>
      </c>
      <c r="BO14" s="59" t="str">
        <f>IF(BN14=BN7,"(a)")</f>
        <v>(a)</v>
      </c>
      <c r="BP14" s="60">
        <f>+BQ14-BM14</f>
        <v>30</v>
      </c>
      <c r="BQ14" s="46">
        <v>42398</v>
      </c>
      <c r="BR14" s="45">
        <f>WORKDAY(BQ14,2,BH$33:BH$43)</f>
        <v>42402</v>
      </c>
      <c r="BS14" s="59" t="str">
        <f>IF(BR14=BR7,"(a)")</f>
        <v>(a)</v>
      </c>
      <c r="BT14" s="60">
        <f>+BU14-BQ14</f>
        <v>31</v>
      </c>
      <c r="BU14" s="46">
        <v>42429</v>
      </c>
      <c r="BV14" s="45">
        <f>WORKDAY(BU14,2,BL$33:BL$43)</f>
        <v>42431</v>
      </c>
      <c r="BW14" s="59" t="str">
        <f>IF(BV14=BV7,"(a)")</f>
        <v>(a)</v>
      </c>
      <c r="BX14" s="60">
        <f>+BY14-BU14</f>
        <v>30</v>
      </c>
      <c r="BY14" s="46">
        <v>42459</v>
      </c>
      <c r="BZ14" s="45">
        <f>WORKDAY(BY14,2)</f>
        <v>42461</v>
      </c>
      <c r="CA14" s="59" t="str">
        <f>IF(BZ14=BZ7,"(a)")</f>
        <v>(a)</v>
      </c>
      <c r="CB14" s="60">
        <f>+CC14-BY14</f>
        <v>29</v>
      </c>
      <c r="CC14" s="46">
        <v>42488</v>
      </c>
      <c r="CD14" s="45">
        <f>WORKDAY(CC14,2)</f>
        <v>42492</v>
      </c>
      <c r="CE14" s="59" t="str">
        <f>IF(CD14=CD7,"(a)")</f>
        <v>(a)</v>
      </c>
      <c r="CF14" s="60">
        <f>+CG14-CC14</f>
        <v>33</v>
      </c>
      <c r="CG14" s="46">
        <v>42521</v>
      </c>
      <c r="CH14" s="45">
        <f>WORKDAY(CG14,2)</f>
        <v>42523</v>
      </c>
      <c r="CI14" s="59" t="str">
        <f>IF(CH14=CH7,"(a)")</f>
        <v>(a)</v>
      </c>
      <c r="CJ14" s="60">
        <f>+CK14-CG14</f>
        <v>29</v>
      </c>
      <c r="CK14" s="46">
        <v>42550</v>
      </c>
      <c r="CL14" s="45">
        <f>WORKDAY(CK14,2)</f>
        <v>42552</v>
      </c>
      <c r="CM14" s="59" t="str">
        <f>IF(CL14=CL7,"(a)")</f>
        <v>(a)</v>
      </c>
      <c r="CN14" s="60">
        <f>+CO14-CK14</f>
        <v>30</v>
      </c>
      <c r="CO14" s="46">
        <v>42580</v>
      </c>
      <c r="CP14" s="45">
        <f>WORKDAY(CO14,2)</f>
        <v>42584</v>
      </c>
      <c r="CQ14" s="59" t="str">
        <f>IF(CP14=CP7,"(a)")</f>
        <v>(a)</v>
      </c>
      <c r="CR14" s="60">
        <f>+CS14-CO14</f>
        <v>32</v>
      </c>
      <c r="CS14" s="46">
        <v>42612</v>
      </c>
      <c r="CT14" s="45">
        <f>WORKDAY(CS14,2)</f>
        <v>42614</v>
      </c>
      <c r="CU14" s="59" t="str">
        <f>IF(CT14=CT7,"(a)")</f>
        <v>(a)</v>
      </c>
      <c r="CV14" s="60">
        <f>+CW14-CS14</f>
        <v>30</v>
      </c>
      <c r="CW14" s="46">
        <v>42642</v>
      </c>
      <c r="CX14" s="45">
        <f>WORKDAY(CW14,2)</f>
        <v>42646</v>
      </c>
      <c r="CY14" s="59" t="str">
        <f>IF(CX14=CX7,"(a)")</f>
        <v>(a)</v>
      </c>
      <c r="CZ14" s="60">
        <f>+DA14-CW14</f>
        <v>29</v>
      </c>
      <c r="DA14" s="46">
        <v>42671</v>
      </c>
      <c r="DB14" s="45">
        <f>WORKDAY(DA14,2)</f>
        <v>42675</v>
      </c>
      <c r="DC14" s="59" t="str">
        <f>IF(DB14=DB7,"(a)")</f>
        <v>(a)</v>
      </c>
      <c r="DD14" s="60">
        <f>+DE14-DA14</f>
        <v>33</v>
      </c>
      <c r="DE14" s="46">
        <v>42704</v>
      </c>
      <c r="DF14" s="45">
        <f>WORKDAY(DE14,2)</f>
        <v>42706</v>
      </c>
      <c r="DG14" s="59" t="str">
        <f>IF(DF14=DF7,"(a)")</f>
        <v>(a)</v>
      </c>
      <c r="DH14" s="60">
        <f>+DI14-DE14</f>
        <v>30</v>
      </c>
      <c r="DI14" s="46">
        <v>42734</v>
      </c>
      <c r="DJ14" s="45">
        <f>WORKDAY(DI14,2)</f>
        <v>42738</v>
      </c>
      <c r="DK14" s="59" t="b">
        <f>IF(DJ14=DJ7,"(a)")</f>
        <v>0</v>
      </c>
      <c r="DL14" s="60">
        <f>+DM14-DI14</f>
        <v>32</v>
      </c>
      <c r="DM14" s="46">
        <v>42766</v>
      </c>
      <c r="DN14" s="45">
        <f>WORKDAY(DM14,2)</f>
        <v>42768</v>
      </c>
      <c r="DO14" s="59" t="str">
        <f>IF(DN14=DN7,"(a)")</f>
        <v>(a)</v>
      </c>
      <c r="DP14" s="60">
        <f>+DQ14-DM14</f>
        <v>28</v>
      </c>
      <c r="DQ14" s="46">
        <v>42794</v>
      </c>
      <c r="DR14" s="45">
        <f>WORKDAY(DQ14,2)</f>
        <v>42796</v>
      </c>
      <c r="DS14" s="59" t="str">
        <f>IF(DR14=DR7,"(a)")</f>
        <v>(a)</v>
      </c>
      <c r="DT14" s="60">
        <f>+DU14-DQ14</f>
        <v>730</v>
      </c>
      <c r="DU14" s="46">
        <v>43524</v>
      </c>
      <c r="DV14" s="45">
        <f>WORKDAY(DU14,2)</f>
        <v>43528</v>
      </c>
      <c r="DW14" s="59" t="str">
        <f>IF(DV14=DV7,"(a)")</f>
        <v>(a)</v>
      </c>
      <c r="DX14" s="60">
        <f>+DY14-DU14</f>
        <v>29</v>
      </c>
      <c r="DY14" s="46">
        <v>43553</v>
      </c>
      <c r="DZ14" s="45">
        <f>WORKDAY(DY14,2)</f>
        <v>43557</v>
      </c>
      <c r="EA14" s="59" t="str">
        <f>IF(DZ14=DZ7,"(a)")</f>
        <v>(a)</v>
      </c>
      <c r="EB14" s="60">
        <f>+EC14-DY14</f>
        <v>32</v>
      </c>
      <c r="EC14" s="46">
        <v>43585</v>
      </c>
      <c r="ED14" s="45">
        <f>WORKDAY(EC14,2)</f>
        <v>43587</v>
      </c>
      <c r="EE14" s="59" t="str">
        <f>IF(ED14=ED7,"(a)")</f>
        <v>(a)</v>
      </c>
      <c r="EF14" s="60">
        <f>+EG14-EC14</f>
        <v>31</v>
      </c>
      <c r="EG14" s="46">
        <v>43616</v>
      </c>
      <c r="EH14" s="45">
        <f>WORKDAY(EG14,2)</f>
        <v>43620</v>
      </c>
      <c r="EI14" s="59" t="str">
        <f>IF(EH14=EH7,"(a)")</f>
        <v>(a)</v>
      </c>
      <c r="EJ14" s="60">
        <f>+EK14-EG14</f>
        <v>28</v>
      </c>
      <c r="EK14" s="46">
        <v>43644</v>
      </c>
      <c r="EL14" s="45">
        <f>WORKDAY(EK14,2)</f>
        <v>43648</v>
      </c>
      <c r="EM14" s="59" t="str">
        <f>IF(EL14=EL7,"(a)")</f>
        <v>(a)</v>
      </c>
      <c r="EN14" s="60">
        <f>+EO14-EK14</f>
        <v>33</v>
      </c>
      <c r="EO14" s="46">
        <v>43677</v>
      </c>
      <c r="EP14" s="45">
        <f>WORKDAY(EO14,2)</f>
        <v>43679</v>
      </c>
      <c r="EQ14" s="59" t="str">
        <f>IF(EP14=EP7,"(a)")</f>
        <v>(a)</v>
      </c>
    </row>
    <row r="15" spans="1:147" x14ac:dyDescent="0.2">
      <c r="A15">
        <v>2</v>
      </c>
      <c r="C15" s="46">
        <v>39234</v>
      </c>
      <c r="D15" s="45">
        <f>WORKDAY(C15,2,$C$33:$C$42)</f>
        <v>39238</v>
      </c>
      <c r="E15" t="str">
        <f>IF(D15=D8,"(b)")</f>
        <v>(b)</v>
      </c>
      <c r="F15" s="46">
        <v>39325</v>
      </c>
      <c r="G15" s="45">
        <f>WORKDAY(F15,2,$C$33:$C$42)</f>
        <v>39330</v>
      </c>
      <c r="H15" t="str">
        <f>IF(G15=G8,"(b)")</f>
        <v>(b)</v>
      </c>
      <c r="I15" s="46">
        <v>39416</v>
      </c>
      <c r="J15" s="45">
        <f>WORKDAY(I15,2,$C$33:$C$42)</f>
        <v>39420</v>
      </c>
      <c r="K15" t="str">
        <f>IF(J15=J8,"(b)")</f>
        <v>(b)</v>
      </c>
      <c r="L15" s="46">
        <v>39507</v>
      </c>
      <c r="M15" s="45">
        <f>WORKDAY(L15,2,$L$33:$L$42)</f>
        <v>39511</v>
      </c>
      <c r="N15" t="str">
        <f>IF(M15=M8,"(b)")</f>
        <v>(b)</v>
      </c>
      <c r="O15" s="46">
        <v>39601</v>
      </c>
      <c r="P15" s="45">
        <f>WORKDAY(O15,2,$L$33:$L$42)</f>
        <v>39603</v>
      </c>
      <c r="Q15" t="str">
        <f>IF(P15=P8,"(b)")</f>
        <v>(b)</v>
      </c>
      <c r="R15" s="46">
        <v>39693</v>
      </c>
      <c r="S15" s="45">
        <f>WORKDAY(R15,2,$L$33:$L$42)</f>
        <v>39695</v>
      </c>
      <c r="T15" t="str">
        <f>IF(S15=S8,"(b)")</f>
        <v>(b)</v>
      </c>
      <c r="U15" s="46">
        <v>39784</v>
      </c>
      <c r="V15" s="45">
        <f>WORKDAY(U15,2,$L$33:$L$42)</f>
        <v>39786</v>
      </c>
      <c r="W15" t="str">
        <f>IF(V15=V8,"(b)")</f>
        <v>(b)</v>
      </c>
      <c r="X15" s="46">
        <v>39874</v>
      </c>
      <c r="Y15" s="45">
        <f>WORKDAY(X15,2,X$33:X$43)</f>
        <v>39876</v>
      </c>
      <c r="Z15" t="str">
        <f>IF(Y15=Y8,"(b)")</f>
        <v>(b)</v>
      </c>
      <c r="AA15" s="46">
        <v>39965</v>
      </c>
      <c r="AB15" s="45">
        <f>WORKDAY(AA15,2,$L$33:$L$43)</f>
        <v>39967</v>
      </c>
      <c r="AC15" t="str">
        <f>IF(AB15=AB8,"(b)")</f>
        <v>(b)</v>
      </c>
      <c r="AD15" s="46">
        <v>40057</v>
      </c>
      <c r="AE15" s="45">
        <f>WORKDAY(AD15,2,X$33:X$43)</f>
        <v>40059</v>
      </c>
      <c r="AF15" t="str">
        <f>IF(AE15=AE8,"(b)")</f>
        <v>(b)</v>
      </c>
      <c r="AG15" s="46">
        <v>40148</v>
      </c>
      <c r="AH15" s="45">
        <f>WORKDAY(AG15,2,X$33:X$43)</f>
        <v>40150</v>
      </c>
      <c r="AI15" t="str">
        <f>IF(AH15=AH8,"(b)")</f>
        <v>(b)</v>
      </c>
      <c r="AJ15" s="58"/>
      <c r="AK15" s="46">
        <v>42156</v>
      </c>
      <c r="AL15" s="45">
        <f>WORKDAY(AK15,2,AB$33:AB$43)</f>
        <v>42158</v>
      </c>
      <c r="AM15" s="59" t="str">
        <f>IF(AL15=AL8,"(b)")</f>
        <v>(b)</v>
      </c>
      <c r="AN15" s="60">
        <f>+AO15-AK15</f>
        <v>30</v>
      </c>
      <c r="AO15" s="46">
        <v>42186</v>
      </c>
      <c r="AP15" s="45">
        <f>WORKDAY(AO15,2,AF$33:AF$43)</f>
        <v>42188</v>
      </c>
      <c r="AQ15" s="59" t="str">
        <f>IF(AP15=AP8,"(b)")</f>
        <v>(b)</v>
      </c>
      <c r="AR15" s="60">
        <f>+AS15-AO15</f>
        <v>33</v>
      </c>
      <c r="AS15" s="46">
        <v>42219</v>
      </c>
      <c r="AT15" s="45">
        <f>WORKDAY(AS15,2,AJ$33:AJ$43)</f>
        <v>42221</v>
      </c>
      <c r="AU15" s="59" t="str">
        <f>IF(AT15=AT8,"(b)")</f>
        <v>(b)</v>
      </c>
      <c r="AV15" s="60">
        <f>+AW15-AS15</f>
        <v>29</v>
      </c>
      <c r="AW15" s="46">
        <v>42248</v>
      </c>
      <c r="AX15" s="45">
        <f>WORKDAY(AW15,2,AN$33:AN$43)</f>
        <v>42250</v>
      </c>
      <c r="AY15" s="59" t="str">
        <f>IF(AX15=AX8,"(b)")</f>
        <v>(b)</v>
      </c>
      <c r="AZ15" s="60">
        <f>+BA15-AW15</f>
        <v>30</v>
      </c>
      <c r="BA15" s="46">
        <v>42278</v>
      </c>
      <c r="BB15" s="45">
        <f>WORKDAY(BA15,2,AR$33:AR$43)</f>
        <v>42282</v>
      </c>
      <c r="BC15" s="59" t="str">
        <f>IF(BB15=BB8,"(b)")</f>
        <v>(b)</v>
      </c>
      <c r="BD15" s="60">
        <f>+BE15-BA15</f>
        <v>29</v>
      </c>
      <c r="BE15" s="46">
        <v>42307</v>
      </c>
      <c r="BF15" s="45">
        <f>WORKDAY(BE15,2,AV$33:AV$43)</f>
        <v>42311</v>
      </c>
      <c r="BG15" s="59" t="str">
        <f>IF(BF15=BF8,"(b)")</f>
        <v>(b)</v>
      </c>
      <c r="BH15" s="60">
        <f>+BI15-BE15</f>
        <v>32</v>
      </c>
      <c r="BI15" s="46">
        <v>42339</v>
      </c>
      <c r="BJ15" s="45">
        <f>WORKDAY(BI15,2,AZ$33:AZ$43)</f>
        <v>42341</v>
      </c>
      <c r="BK15" s="59" t="str">
        <f>IF(BJ15=BJ8,"(b)")</f>
        <v>(b)</v>
      </c>
      <c r="BL15" s="60">
        <f>+BM15-BI15</f>
        <v>30</v>
      </c>
      <c r="BM15" s="46">
        <v>42369</v>
      </c>
      <c r="BN15" s="64">
        <f>WORKDAY(BM15,3,BD$33:BD$43)</f>
        <v>42374</v>
      </c>
      <c r="BO15" s="59" t="str">
        <f>IF(BN15=BN8,"(b)")</f>
        <v>(b)</v>
      </c>
      <c r="BP15" s="60">
        <f>+BQ15-BM15</f>
        <v>32</v>
      </c>
      <c r="BQ15" s="46">
        <v>42401</v>
      </c>
      <c r="BR15" s="45">
        <f>WORKDAY(BQ15,2,BH$33:BH$43)</f>
        <v>42403</v>
      </c>
      <c r="BS15" s="59" t="str">
        <f>IF(BR15=BR8,"(b)")</f>
        <v>(b)</v>
      </c>
      <c r="BT15" s="60">
        <f>+BU15-BQ15</f>
        <v>29</v>
      </c>
      <c r="BU15" s="46">
        <v>42430</v>
      </c>
      <c r="BV15" s="45">
        <f>WORKDAY(BU15,2,BL$33:BL$43)</f>
        <v>42432</v>
      </c>
      <c r="BW15" s="59" t="str">
        <f>IF(BV15=BV8,"(b)")</f>
        <v>(b)</v>
      </c>
      <c r="BX15" s="60">
        <f>+BY15-BU15</f>
        <v>30</v>
      </c>
      <c r="BY15" s="46">
        <v>42460</v>
      </c>
      <c r="BZ15" s="45">
        <f t="shared" ref="BZ15:BZ29" si="3">WORKDAY(BY15,2)</f>
        <v>42464</v>
      </c>
      <c r="CA15" s="59" t="str">
        <f>IF(BZ15=BZ8,"(b)")</f>
        <v>(b)</v>
      </c>
      <c r="CB15" s="60">
        <f>+CC15-BY15</f>
        <v>29</v>
      </c>
      <c r="CC15" s="46">
        <v>42489</v>
      </c>
      <c r="CD15" s="45">
        <f t="shared" ref="CD15:CD29" si="4">WORKDAY(CC15,2)</f>
        <v>42493</v>
      </c>
      <c r="CE15" s="59" t="str">
        <f>IF(CD15=CD8,"(b)")</f>
        <v>(b)</v>
      </c>
      <c r="CF15" s="60">
        <f>+CG15-CC15</f>
        <v>33</v>
      </c>
      <c r="CG15" s="46">
        <v>42522</v>
      </c>
      <c r="CH15" s="45">
        <f>WORKDAY(CG15,2)</f>
        <v>42524</v>
      </c>
      <c r="CI15" s="59" t="str">
        <f>IF(CH15=CH8,"(b)")</f>
        <v>(b)</v>
      </c>
      <c r="CJ15" s="60">
        <f>+CK15-CG15</f>
        <v>29</v>
      </c>
      <c r="CK15" s="46">
        <v>42551</v>
      </c>
      <c r="CL15" s="45">
        <f>WORKDAY(CK15,2)</f>
        <v>42555</v>
      </c>
      <c r="CM15" s="59" t="str">
        <f>IF(CL15=CL8,"(b)")</f>
        <v>(b)</v>
      </c>
      <c r="CN15" s="60">
        <f>+CO15-CK15</f>
        <v>32</v>
      </c>
      <c r="CO15" s="46">
        <v>42583</v>
      </c>
      <c r="CP15" s="45">
        <f>WORKDAY(CO15,2)</f>
        <v>42585</v>
      </c>
      <c r="CQ15" s="59" t="str">
        <f>IF(CP15=CP8,"(b)")</f>
        <v>(b)</v>
      </c>
      <c r="CR15" s="60">
        <f>+CS15-CO15</f>
        <v>30</v>
      </c>
      <c r="CS15" s="46">
        <v>42613</v>
      </c>
      <c r="CT15" s="45">
        <f>WORKDAY(CS15,2)</f>
        <v>42615</v>
      </c>
      <c r="CU15" s="59" t="str">
        <f>IF(CT15=CT8,"(b)")</f>
        <v>(b)</v>
      </c>
      <c r="CV15" s="60">
        <f>+CW15-CS15</f>
        <v>30</v>
      </c>
      <c r="CW15" s="46">
        <v>42643</v>
      </c>
      <c r="CX15" s="45">
        <f>WORKDAY(CW15,2)</f>
        <v>42647</v>
      </c>
      <c r="CY15" s="59" t="str">
        <f>IF(CX15=CX8,"(b)")</f>
        <v>(b)</v>
      </c>
      <c r="CZ15" s="60">
        <f>+DA15-CW15</f>
        <v>31</v>
      </c>
      <c r="DA15" s="46">
        <v>42674</v>
      </c>
      <c r="DB15" s="45">
        <f>WORKDAY(DA15,2)</f>
        <v>42676</v>
      </c>
      <c r="DC15" s="59" t="str">
        <f>IF(DB15=DB8,"(b)")</f>
        <v>(b)</v>
      </c>
      <c r="DD15" s="60">
        <f>+DE15-DA15</f>
        <v>31</v>
      </c>
      <c r="DE15" s="46">
        <v>42705</v>
      </c>
      <c r="DF15" s="45">
        <f>WORKDAY(DE15,2)</f>
        <v>42709</v>
      </c>
      <c r="DG15" s="59" t="str">
        <f>IF(DF15=DF8,"(b)")</f>
        <v>(b)</v>
      </c>
      <c r="DH15" s="60">
        <f>+DI15-DE15</f>
        <v>33</v>
      </c>
      <c r="DI15" s="46">
        <v>42738</v>
      </c>
      <c r="DJ15" s="45">
        <f>WORKDAY(DI15,2)</f>
        <v>42740</v>
      </c>
      <c r="DK15" s="59" t="str">
        <f>IF(DJ15=DJ8,"(b)")</f>
        <v>(b)</v>
      </c>
      <c r="DL15" s="60">
        <f>+DM15-DI15</f>
        <v>29</v>
      </c>
      <c r="DM15" s="46">
        <v>42767</v>
      </c>
      <c r="DN15" s="45">
        <f>WORKDAY(DM15,2)</f>
        <v>42769</v>
      </c>
      <c r="DO15" s="59" t="str">
        <f>IF(DN15=DN8,"(b)")</f>
        <v>(b)</v>
      </c>
      <c r="DP15" s="60">
        <f>+DQ15-DM15</f>
        <v>28</v>
      </c>
      <c r="DQ15" s="46">
        <v>42795</v>
      </c>
      <c r="DR15" s="45">
        <f>WORKDAY(DQ15,2)</f>
        <v>42797</v>
      </c>
      <c r="DS15" s="59" t="str">
        <f>IF(DR15=DR8,"(b)")</f>
        <v>(b)</v>
      </c>
      <c r="DT15" s="60">
        <f>+DU15-DQ15</f>
        <v>730</v>
      </c>
      <c r="DU15" s="46">
        <v>43525</v>
      </c>
      <c r="DV15" s="45">
        <f>WORKDAY(DU15,2)</f>
        <v>43529</v>
      </c>
      <c r="DW15" s="59" t="str">
        <f>IF(DV15=DV8,"(b)")</f>
        <v>(b)</v>
      </c>
      <c r="DX15" s="60">
        <f>+DY15-DU15</f>
        <v>31</v>
      </c>
      <c r="DY15" s="46">
        <v>43556</v>
      </c>
      <c r="DZ15" s="45">
        <f>WORKDAY(DY15,2)</f>
        <v>43558</v>
      </c>
      <c r="EA15" s="59" t="str">
        <f>IF(DZ15=DZ8,"(b)")</f>
        <v>(b)</v>
      </c>
      <c r="EB15" s="60">
        <f>+EC15-DY15</f>
        <v>30</v>
      </c>
      <c r="EC15" s="46">
        <v>43586</v>
      </c>
      <c r="ED15" s="45">
        <f>WORKDAY(EC15,2)</f>
        <v>43588</v>
      </c>
      <c r="EE15" s="59" t="str">
        <f>IF(ED15=ED8,"(b)")</f>
        <v>(b)</v>
      </c>
      <c r="EF15" s="60">
        <f>+EG15-EC15</f>
        <v>33</v>
      </c>
      <c r="EG15" s="46">
        <v>43619</v>
      </c>
      <c r="EH15" s="45">
        <f>WORKDAY(EG15,2)</f>
        <v>43621</v>
      </c>
      <c r="EI15" s="59" t="str">
        <f>IF(EH15=EH8,"(b)")</f>
        <v>(b)</v>
      </c>
      <c r="EJ15" s="60">
        <f>+EK15-EG15</f>
        <v>28</v>
      </c>
      <c r="EK15" s="46">
        <v>43647</v>
      </c>
      <c r="EL15" s="45">
        <f>WORKDAY(EK15,2)</f>
        <v>43649</v>
      </c>
      <c r="EM15" s="59" t="str">
        <f>IF(EL15=EL8,"(b)")</f>
        <v>(b)</v>
      </c>
      <c r="EN15" s="60">
        <f>+EO15-EK15</f>
        <v>31</v>
      </c>
      <c r="EO15" s="46">
        <v>43678</v>
      </c>
      <c r="EP15" s="45">
        <f>WORKDAY(EO15,2)</f>
        <v>43682</v>
      </c>
      <c r="EQ15" s="59" t="str">
        <f>IF(EP15=EP8,"(b)")</f>
        <v>(b)</v>
      </c>
    </row>
    <row r="16" spans="1:147" x14ac:dyDescent="0.2">
      <c r="A16">
        <v>3</v>
      </c>
      <c r="C16" s="46">
        <v>39237</v>
      </c>
      <c r="D16" s="45">
        <f>WORKDAY(C16,2,$C$33:$C$42)</f>
        <v>39239</v>
      </c>
      <c r="E16" t="str">
        <f>IF(D16=D9,"(c)")</f>
        <v>(c)</v>
      </c>
      <c r="F16" s="46">
        <v>39329</v>
      </c>
      <c r="G16" s="45">
        <f>WORKDAY(F16,2,$C$33:$C$42)</f>
        <v>39331</v>
      </c>
      <c r="H16" t="str">
        <f>IF(G16=G9,"(c)")</f>
        <v>(c)</v>
      </c>
      <c r="I16" s="46">
        <v>39419</v>
      </c>
      <c r="J16" s="45">
        <f>WORKDAY(I16,2,$C$33:$C$42)</f>
        <v>39421</v>
      </c>
      <c r="K16" t="str">
        <f>IF(J16=J9,"(c)")</f>
        <v>(c)</v>
      </c>
      <c r="L16" s="46">
        <v>39510</v>
      </c>
      <c r="M16" s="45">
        <f>WORKDAY(L16,2,$L$33:$L$42)</f>
        <v>39512</v>
      </c>
      <c r="N16" t="str">
        <f>IF(M16=M9,"(c)")</f>
        <v>(c)</v>
      </c>
      <c r="O16" s="46">
        <v>39602</v>
      </c>
      <c r="P16" s="45">
        <f>WORKDAY(O16,2,$L$33:$L$42)</f>
        <v>39604</v>
      </c>
      <c r="Q16" t="str">
        <f>IF(P16=P9,"(c)")</f>
        <v>(c)</v>
      </c>
      <c r="R16" s="46">
        <v>39694</v>
      </c>
      <c r="S16" s="45">
        <f>WORKDAY(R16,2,$L$33:$L$42)</f>
        <v>39696</v>
      </c>
      <c r="T16" t="str">
        <f>IF(S16=S9,"(c)")</f>
        <v>(c)</v>
      </c>
      <c r="U16" s="46">
        <v>39785</v>
      </c>
      <c r="V16" s="45">
        <f>WORKDAY(U16,2,$L$33:$L$42)</f>
        <v>39787</v>
      </c>
      <c r="W16" t="str">
        <f>IF(V16=V9,"(c)")</f>
        <v>(c)</v>
      </c>
      <c r="X16" s="46">
        <v>39875</v>
      </c>
      <c r="Y16" s="45">
        <f>WORKDAY(X16,2,X$33:X$43)</f>
        <v>39877</v>
      </c>
      <c r="Z16" t="str">
        <f>IF(Y16=Y9,"(c)")</f>
        <v>(c)</v>
      </c>
      <c r="AA16" s="46">
        <v>39966</v>
      </c>
      <c r="AB16" s="45">
        <f>WORKDAY(AA16,2,$L$33:$L$43)</f>
        <v>39968</v>
      </c>
      <c r="AC16" t="str">
        <f>IF(AB16=AB9,"(c)")</f>
        <v>(c)</v>
      </c>
      <c r="AD16" s="46">
        <v>40058</v>
      </c>
      <c r="AE16" s="45">
        <f>WORKDAY(AD16,2,X$33:X$43)</f>
        <v>40060</v>
      </c>
      <c r="AF16" t="str">
        <f>IF(AE16=AE9,"(c)")</f>
        <v>(c)</v>
      </c>
      <c r="AG16" s="46">
        <v>40149</v>
      </c>
      <c r="AH16" s="45">
        <f>WORKDAY(AG16,2,X$33:X$43)</f>
        <v>40151</v>
      </c>
      <c r="AI16" t="str">
        <f>IF(AH16=AH9,"(c)")</f>
        <v>(c)</v>
      </c>
      <c r="AJ16" s="58"/>
      <c r="AK16" s="46">
        <v>42157</v>
      </c>
      <c r="AL16" s="45">
        <f>WORKDAY(AK16,2,AB$33:AB$43)</f>
        <v>42159</v>
      </c>
      <c r="AM16" s="59" t="str">
        <f>IF(AL16=AL9,"(c)")</f>
        <v>(c)</v>
      </c>
      <c r="AN16" s="60">
        <f>+AO16-AK16</f>
        <v>30</v>
      </c>
      <c r="AO16" s="46">
        <v>42187</v>
      </c>
      <c r="AP16" s="45">
        <f>WORKDAY(AO16,2,AF$33:AF$43)</f>
        <v>42191</v>
      </c>
      <c r="AQ16" s="59" t="b">
        <f>IF(AP16=AP9,"(c)")</f>
        <v>0</v>
      </c>
      <c r="AR16" s="60">
        <f>+AS16-AO16</f>
        <v>33</v>
      </c>
      <c r="AS16" s="46">
        <v>42220</v>
      </c>
      <c r="AT16" s="45">
        <f>WORKDAY(AS16,2,AJ$33:AJ$43)</f>
        <v>42222</v>
      </c>
      <c r="AU16" s="59" t="str">
        <f>IF(AT16=AT9,"(c)")</f>
        <v>(c)</v>
      </c>
      <c r="AV16" s="60">
        <f>+AW16-AS16</f>
        <v>29</v>
      </c>
      <c r="AW16" s="46">
        <v>42249</v>
      </c>
      <c r="AX16" s="45">
        <f>WORKDAY(AW16,2,AN$33:AN$43)</f>
        <v>42251</v>
      </c>
      <c r="AY16" s="59" t="str">
        <f>IF(AX16=AX9,"(c)")</f>
        <v>(c)</v>
      </c>
      <c r="AZ16" s="60">
        <f>+BA16-AW16</f>
        <v>30</v>
      </c>
      <c r="BA16" s="46">
        <v>42279</v>
      </c>
      <c r="BB16" s="45">
        <f>WORKDAY(BA16,2,AR$33:AR$43)</f>
        <v>42283</v>
      </c>
      <c r="BC16" s="59" t="str">
        <f>IF(BB16=BB9,"(c)")</f>
        <v>(c)</v>
      </c>
      <c r="BD16" s="60">
        <f>+BE16-BA16</f>
        <v>31</v>
      </c>
      <c r="BE16" s="46">
        <v>42310</v>
      </c>
      <c r="BF16" s="45">
        <f>WORKDAY(BE16,2,AV$33:AV$43)</f>
        <v>42312</v>
      </c>
      <c r="BG16" s="59" t="str">
        <f>IF(BF16=BF9,"(c)")</f>
        <v>(c)</v>
      </c>
      <c r="BH16" s="60">
        <f>+BI16-BE16</f>
        <v>30</v>
      </c>
      <c r="BI16" s="46">
        <v>42340</v>
      </c>
      <c r="BJ16" s="45">
        <f>WORKDAY(BI16,2,AZ$33:AZ$43)</f>
        <v>42342</v>
      </c>
      <c r="BK16" s="59" t="str">
        <f>IF(BJ16=BJ9,"(c)")</f>
        <v>(c)</v>
      </c>
      <c r="BL16" s="60">
        <f>+BM16-BI16</f>
        <v>33</v>
      </c>
      <c r="BM16" s="46">
        <v>42373</v>
      </c>
      <c r="BN16" s="45">
        <f>WORKDAY(BM16,2,BD$33:BD$43)</f>
        <v>42375</v>
      </c>
      <c r="BO16" s="59" t="str">
        <f>IF(BN16=BN9,"(c)")</f>
        <v>(c)</v>
      </c>
      <c r="BP16" s="60">
        <f>+BQ16-BM16</f>
        <v>29</v>
      </c>
      <c r="BQ16" s="46">
        <v>42402</v>
      </c>
      <c r="BR16" s="45">
        <f>WORKDAY(BQ16,2,BH$33:BH$43)</f>
        <v>42404</v>
      </c>
      <c r="BS16" s="59" t="str">
        <f>IF(BR16=BR9,"(c)")</f>
        <v>(c)</v>
      </c>
      <c r="BT16" s="60">
        <f>+BU16-BQ16</f>
        <v>29</v>
      </c>
      <c r="BU16" s="46">
        <v>42431</v>
      </c>
      <c r="BV16" s="45">
        <f>WORKDAY(BU16,2,BL$33:BL$43)</f>
        <v>42433</v>
      </c>
      <c r="BW16" s="59" t="str">
        <f>IF(BV16=BV9,"(c)")</f>
        <v>(c)</v>
      </c>
      <c r="BX16" s="60">
        <f>+BY16-BU16</f>
        <v>30</v>
      </c>
      <c r="BY16" s="46">
        <v>42461</v>
      </c>
      <c r="BZ16" s="45">
        <f t="shared" si="3"/>
        <v>42465</v>
      </c>
      <c r="CA16" s="59" t="str">
        <f>IF(BZ16=BZ9,"(c)")</f>
        <v>(c)</v>
      </c>
      <c r="CB16" s="60">
        <f>+CC16-BY16</f>
        <v>31</v>
      </c>
      <c r="CC16" s="46">
        <v>42492</v>
      </c>
      <c r="CD16" s="45">
        <f t="shared" si="4"/>
        <v>42494</v>
      </c>
      <c r="CE16" s="59" t="str">
        <f>IF(CD16=CD9,"(c)")</f>
        <v>(c)</v>
      </c>
      <c r="CF16" s="60">
        <f>+CG16-CC16</f>
        <v>31</v>
      </c>
      <c r="CG16" s="46">
        <v>42523</v>
      </c>
      <c r="CH16" s="45">
        <f>WORKDAY(CG16,2)</f>
        <v>42527</v>
      </c>
      <c r="CI16" s="59" t="str">
        <f>IF(CH16=CH9,"(c)")</f>
        <v>(c)</v>
      </c>
      <c r="CJ16" s="60">
        <f>+CK16-CG16</f>
        <v>32</v>
      </c>
      <c r="CK16" s="46">
        <v>42555</v>
      </c>
      <c r="CL16" s="45">
        <f>WORKDAY(CK16,2)</f>
        <v>42557</v>
      </c>
      <c r="CM16" s="59" t="str">
        <f>IF(CL16=CL9,"(c)")</f>
        <v>(c)</v>
      </c>
      <c r="CN16" s="60">
        <f>+CO16-CK16</f>
        <v>29</v>
      </c>
      <c r="CO16" s="46">
        <v>42584</v>
      </c>
      <c r="CP16" s="45">
        <f>WORKDAY(CO16,2)</f>
        <v>42586</v>
      </c>
      <c r="CQ16" s="59" t="str">
        <f>IF(CP16=CP9,"(c)")</f>
        <v>(c)</v>
      </c>
      <c r="CR16" s="60">
        <f>+CS16-CO16</f>
        <v>30</v>
      </c>
      <c r="CS16" s="46">
        <v>42614</v>
      </c>
      <c r="CT16" s="45">
        <f>WORKDAY(CS16,2)</f>
        <v>42618</v>
      </c>
      <c r="CU16" s="59" t="str">
        <f>IF(CT16=CT9,"(c)")</f>
        <v>(c)</v>
      </c>
      <c r="CV16" s="60">
        <f>+CW16-CS16</f>
        <v>32</v>
      </c>
      <c r="CW16" s="46">
        <v>42646</v>
      </c>
      <c r="CX16" s="45">
        <f>WORKDAY(CW16,2)</f>
        <v>42648</v>
      </c>
      <c r="CY16" s="59" t="str">
        <f>IF(CX16=CX9,"(c)")</f>
        <v>(c)</v>
      </c>
      <c r="CZ16" s="60">
        <f>+DA16-CW16</f>
        <v>29</v>
      </c>
      <c r="DA16" s="46">
        <v>42675</v>
      </c>
      <c r="DB16" s="45">
        <f>WORKDAY(DA16,2)</f>
        <v>42677</v>
      </c>
      <c r="DC16" s="59" t="str">
        <f>IF(DB16=DB9,"(c)")</f>
        <v>(c)</v>
      </c>
      <c r="DD16" s="60">
        <f>+DE16-DA16</f>
        <v>31</v>
      </c>
      <c r="DE16" s="46">
        <v>42706</v>
      </c>
      <c r="DF16" s="45">
        <f>WORKDAY(DE16,2)</f>
        <v>42710</v>
      </c>
      <c r="DG16" s="59" t="str">
        <f>IF(DF16=DF9,"(c)")</f>
        <v>(c)</v>
      </c>
      <c r="DH16" s="60">
        <f>+DI16-DE16</f>
        <v>33</v>
      </c>
      <c r="DI16" s="46">
        <v>42739</v>
      </c>
      <c r="DJ16" s="45">
        <f>WORKDAY(DI16,2)</f>
        <v>42741</v>
      </c>
      <c r="DK16" s="59" t="str">
        <f>IF(DJ16=DJ9,"(c)")</f>
        <v>(c)</v>
      </c>
      <c r="DL16" s="60">
        <f>+DM16-DI16</f>
        <v>29</v>
      </c>
      <c r="DM16" s="46">
        <v>42768</v>
      </c>
      <c r="DN16" s="45">
        <f>WORKDAY(DM16,2)</f>
        <v>42772</v>
      </c>
      <c r="DO16" s="59" t="str">
        <f>IF(DN16=DN9,"(c)")</f>
        <v>(c)</v>
      </c>
      <c r="DP16" s="60">
        <f>+DQ16-DM16</f>
        <v>28</v>
      </c>
      <c r="DQ16" s="46">
        <v>42796</v>
      </c>
      <c r="DR16" s="45">
        <f>WORKDAY(DQ16,2)</f>
        <v>42800</v>
      </c>
      <c r="DS16" s="59" t="str">
        <f>IF(DR16=DR9,"(c)")</f>
        <v>(c)</v>
      </c>
      <c r="DT16" s="60">
        <f>+DU16-DQ16</f>
        <v>732</v>
      </c>
      <c r="DU16" s="46">
        <v>43528</v>
      </c>
      <c r="DV16" s="45">
        <f>WORKDAY(DU16,2)</f>
        <v>43530</v>
      </c>
      <c r="DW16" s="59" t="str">
        <f>IF(DV16=DV9,"(c)")</f>
        <v>(c)</v>
      </c>
      <c r="DX16" s="60">
        <f>+DY16-DU16</f>
        <v>29</v>
      </c>
      <c r="DY16" s="46">
        <v>43557</v>
      </c>
      <c r="DZ16" s="45">
        <f>WORKDAY(DY16,2)</f>
        <v>43559</v>
      </c>
      <c r="EA16" s="59" t="str">
        <f>IF(DZ16=DZ9,"(c)")</f>
        <v>(c)</v>
      </c>
      <c r="EB16" s="60">
        <f>+EC16-DY16</f>
        <v>30</v>
      </c>
      <c r="EC16" s="46">
        <v>43587</v>
      </c>
      <c r="ED16" s="45">
        <f>WORKDAY(EC16,2)</f>
        <v>43591</v>
      </c>
      <c r="EE16" s="59" t="str">
        <f>IF(ED16=ED9,"(c)")</f>
        <v>(c)</v>
      </c>
      <c r="EF16" s="60">
        <f>+EG16-EC16</f>
        <v>33</v>
      </c>
      <c r="EG16" s="46">
        <v>43620</v>
      </c>
      <c r="EH16" s="45">
        <f>WORKDAY(EG16,2)</f>
        <v>43622</v>
      </c>
      <c r="EI16" s="59" t="str">
        <f>IF(EH16=EH9,"(c)")</f>
        <v>(c)</v>
      </c>
      <c r="EJ16" s="60">
        <f>+EK16-EG16</f>
        <v>28</v>
      </c>
      <c r="EK16" s="46">
        <v>43648</v>
      </c>
      <c r="EL16" s="45">
        <f>WORKDAY(EK16,2)</f>
        <v>43650</v>
      </c>
      <c r="EM16" s="59" t="str">
        <f>IF(EL16=EL9,"(c)")</f>
        <v>(c)</v>
      </c>
      <c r="EN16" s="60">
        <f>+EO16-EK16</f>
        <v>31</v>
      </c>
      <c r="EO16" s="46">
        <v>43679</v>
      </c>
      <c r="EP16" s="45">
        <f>WORKDAY(EO16,2)</f>
        <v>43683</v>
      </c>
      <c r="EQ16" s="59" t="str">
        <f>IF(EP16=EP9,"(c)")</f>
        <v>(c)</v>
      </c>
    </row>
    <row r="17" spans="1:147" x14ac:dyDescent="0.2">
      <c r="C17" s="46"/>
      <c r="D17" s="45"/>
      <c r="F17" s="46"/>
      <c r="G17" s="45"/>
      <c r="I17" s="46"/>
      <c r="J17" s="45"/>
      <c r="L17" s="46"/>
      <c r="M17" s="45"/>
      <c r="O17" s="46"/>
      <c r="P17" s="45"/>
      <c r="R17" s="46"/>
      <c r="S17" s="45"/>
      <c r="U17" s="46"/>
      <c r="V17" s="45"/>
      <c r="X17" s="46"/>
      <c r="Y17" s="45"/>
      <c r="AA17" s="46"/>
      <c r="AB17" s="45"/>
      <c r="AD17" s="46"/>
      <c r="AE17" s="45"/>
      <c r="AG17" s="46"/>
      <c r="AH17" s="45"/>
      <c r="AJ17" s="58"/>
      <c r="AK17" s="46"/>
      <c r="AL17" s="45"/>
      <c r="AM17" s="59"/>
      <c r="AN17" s="60"/>
      <c r="AO17" s="46"/>
      <c r="AP17" s="45"/>
      <c r="AQ17" s="59"/>
      <c r="AR17" s="60"/>
      <c r="AS17" s="46"/>
      <c r="AT17" s="45"/>
      <c r="AU17" s="59"/>
      <c r="AV17" s="60"/>
      <c r="AW17" s="46"/>
      <c r="AX17" s="45"/>
      <c r="AY17" s="59"/>
      <c r="AZ17" s="60"/>
      <c r="BA17" s="46"/>
      <c r="BB17" s="45"/>
      <c r="BC17" s="59"/>
      <c r="BD17" s="60"/>
      <c r="BE17" s="46"/>
      <c r="BF17" s="45"/>
      <c r="BG17" s="59"/>
      <c r="BH17" s="60"/>
      <c r="BI17" s="46"/>
      <c r="BJ17" s="45"/>
      <c r="BK17" s="59"/>
      <c r="BL17" s="60"/>
      <c r="BM17" s="46"/>
      <c r="BN17" s="45"/>
      <c r="BO17" s="59"/>
      <c r="BP17" s="60"/>
      <c r="BQ17" s="46"/>
      <c r="BR17" s="45"/>
      <c r="BS17" s="59"/>
      <c r="BT17" s="60"/>
      <c r="BU17" s="46"/>
      <c r="BV17" s="45"/>
      <c r="BW17" s="59"/>
      <c r="BX17" s="60"/>
      <c r="BY17" s="46"/>
      <c r="BZ17" s="45"/>
      <c r="CA17" s="59"/>
      <c r="CB17" s="60"/>
      <c r="CC17" s="46"/>
      <c r="CD17" s="45"/>
      <c r="CE17" s="59"/>
      <c r="CF17" s="60"/>
      <c r="CG17" s="46"/>
      <c r="CH17" s="45"/>
      <c r="CI17" s="59"/>
      <c r="CJ17" s="60"/>
      <c r="CK17" s="46"/>
      <c r="CL17" s="45"/>
      <c r="CM17" s="59"/>
      <c r="CN17" s="60"/>
      <c r="CO17" s="46"/>
      <c r="CP17" s="45"/>
      <c r="CQ17" s="59"/>
      <c r="CR17" s="60"/>
      <c r="CS17" s="46"/>
      <c r="CT17" s="45"/>
      <c r="CU17" s="59"/>
      <c r="CV17" s="60"/>
      <c r="CW17" s="46"/>
      <c r="CX17" s="45"/>
      <c r="CY17" s="59"/>
      <c r="CZ17" s="60"/>
      <c r="DA17" s="46"/>
      <c r="DB17" s="45"/>
      <c r="DC17" s="59"/>
      <c r="DD17" s="60"/>
      <c r="DE17" s="46"/>
      <c r="DF17" s="45"/>
      <c r="DG17" s="59"/>
      <c r="DH17" s="60"/>
      <c r="DI17" s="46"/>
      <c r="DJ17" s="45"/>
      <c r="DK17" s="59"/>
      <c r="DL17" s="60"/>
      <c r="DM17" s="46"/>
      <c r="DN17" s="45"/>
      <c r="DO17" s="59"/>
      <c r="DP17" s="60"/>
      <c r="DQ17" s="46"/>
      <c r="DR17" s="45"/>
      <c r="DS17" s="59"/>
      <c r="DT17" s="60"/>
      <c r="DU17" s="46"/>
      <c r="DV17" s="45"/>
      <c r="DW17" s="59"/>
      <c r="DX17" s="60"/>
      <c r="DY17" s="46"/>
      <c r="DZ17" s="45"/>
      <c r="EA17" s="59"/>
      <c r="EB17" s="60"/>
      <c r="EC17" s="46"/>
      <c r="ED17" s="45"/>
      <c r="EE17" s="59"/>
      <c r="EF17" s="60"/>
      <c r="EG17" s="46"/>
      <c r="EH17" s="45"/>
      <c r="EI17" s="59"/>
      <c r="EJ17" s="60"/>
      <c r="EK17" s="46"/>
      <c r="EL17" s="45"/>
      <c r="EM17" s="59"/>
      <c r="EN17" s="60"/>
      <c r="EO17" s="46"/>
      <c r="EP17" s="45"/>
      <c r="EQ17" s="59"/>
    </row>
    <row r="18" spans="1:147" x14ac:dyDescent="0.2">
      <c r="A18">
        <v>5</v>
      </c>
      <c r="C18" s="46"/>
      <c r="D18" s="45"/>
      <c r="F18" s="46"/>
      <c r="G18" s="45"/>
      <c r="I18" s="46"/>
      <c r="J18" s="45"/>
      <c r="L18" s="46"/>
      <c r="M18" s="45"/>
      <c r="O18" s="46"/>
      <c r="P18" s="45"/>
      <c r="R18" s="46"/>
      <c r="S18" s="45"/>
      <c r="U18" s="46"/>
      <c r="V18" s="45"/>
      <c r="X18" s="46"/>
      <c r="Y18" s="45"/>
      <c r="AA18" s="46"/>
      <c r="AB18" s="45"/>
      <c r="AD18" s="46"/>
      <c r="AE18" s="45"/>
      <c r="AG18" s="46"/>
      <c r="AH18" s="45"/>
      <c r="AJ18" s="58"/>
      <c r="AK18" s="46"/>
      <c r="AL18" s="45"/>
      <c r="AM18" s="59"/>
      <c r="AN18" s="60"/>
      <c r="AO18" s="46"/>
      <c r="AP18" s="45"/>
      <c r="AQ18" s="59"/>
      <c r="AR18" s="60"/>
      <c r="AS18" s="46"/>
      <c r="AT18" s="45"/>
      <c r="AU18" s="59"/>
      <c r="AV18" s="60"/>
      <c r="AW18" s="46"/>
      <c r="AX18" s="45"/>
      <c r="AY18" s="59"/>
      <c r="AZ18" s="60"/>
      <c r="BA18" s="46"/>
      <c r="BB18" s="45"/>
      <c r="BC18" s="59"/>
      <c r="BD18" s="60"/>
      <c r="BE18" s="46"/>
      <c r="BF18" s="45"/>
      <c r="BG18" s="59"/>
      <c r="BH18" s="60"/>
      <c r="BI18" s="46">
        <v>42342</v>
      </c>
      <c r="BJ18" s="45">
        <f>WORKDAY(BI18,2,AZ$33:AZ$43)</f>
        <v>42346</v>
      </c>
      <c r="BK18" s="59"/>
      <c r="BL18" s="60">
        <f>+BM18-BI18</f>
        <v>33</v>
      </c>
      <c r="BM18" s="46">
        <v>42375</v>
      </c>
      <c r="BN18" s="45">
        <f>WORKDAY(BM18,2,BD$33:BD$43)</f>
        <v>42377</v>
      </c>
      <c r="BO18" s="59"/>
      <c r="BP18" s="60">
        <f>+BQ18-BM18</f>
        <v>29</v>
      </c>
      <c r="BQ18" s="46">
        <v>42404</v>
      </c>
      <c r="BR18" s="45">
        <f>WORKDAY(BQ18,2,BH$33:BH$43)</f>
        <v>42408</v>
      </c>
      <c r="BS18" s="59"/>
      <c r="BT18" s="60">
        <f>+BU18-BQ18</f>
        <v>29</v>
      </c>
      <c r="BU18" s="46">
        <v>42433</v>
      </c>
      <c r="BV18" s="45">
        <f>WORKDAY(BU18,2,BL$33:BL$43)</f>
        <v>42437</v>
      </c>
      <c r="BW18" s="59"/>
      <c r="BX18" s="60">
        <f>+BY18-BU18</f>
        <v>32</v>
      </c>
      <c r="BY18" s="46">
        <v>42465</v>
      </c>
      <c r="BZ18" s="45">
        <f t="shared" si="3"/>
        <v>42467</v>
      </c>
      <c r="CA18" s="59"/>
      <c r="CB18" s="60">
        <f>+CC18-BY18</f>
        <v>29</v>
      </c>
      <c r="CC18" s="46">
        <v>42494</v>
      </c>
      <c r="CD18" s="45">
        <f t="shared" si="4"/>
        <v>42496</v>
      </c>
      <c r="CE18" s="59"/>
      <c r="CF18" s="60">
        <f>+CG18-CC18</f>
        <v>33</v>
      </c>
      <c r="CG18" s="46">
        <v>42527</v>
      </c>
      <c r="CH18" s="45">
        <f>WORKDAY(CG18,2)</f>
        <v>42529</v>
      </c>
      <c r="CI18" s="59"/>
      <c r="CJ18" s="60">
        <f>+CK18-CG18</f>
        <v>30</v>
      </c>
      <c r="CK18" s="46">
        <v>42557</v>
      </c>
      <c r="CL18" s="45">
        <f>WORKDAY(CK18,2)</f>
        <v>42559</v>
      </c>
      <c r="CM18" s="59"/>
      <c r="CN18" s="60">
        <f>+CO18-CK18</f>
        <v>29</v>
      </c>
      <c r="CO18" s="46">
        <v>42586</v>
      </c>
      <c r="CP18" s="45">
        <f>WORKDAY(CO18,2)</f>
        <v>42590</v>
      </c>
      <c r="CQ18" s="59"/>
      <c r="CR18" s="60">
        <f>+CS18-CO18</f>
        <v>33</v>
      </c>
      <c r="CS18" s="46">
        <v>42619</v>
      </c>
      <c r="CT18" s="45">
        <f>WORKDAY(CS18,2)</f>
        <v>42621</v>
      </c>
      <c r="CU18" s="59"/>
      <c r="CV18" s="60">
        <f>+CW18-CS18</f>
        <v>29</v>
      </c>
      <c r="CW18" s="46">
        <v>42648</v>
      </c>
      <c r="CX18" s="45">
        <f>WORKDAY(CW18,2)</f>
        <v>42650</v>
      </c>
      <c r="CY18" s="59"/>
      <c r="CZ18" s="60">
        <f>+DA18-CW18</f>
        <v>29</v>
      </c>
      <c r="DA18" s="46">
        <v>42677</v>
      </c>
      <c r="DB18" s="45">
        <f>WORKDAY(DA18,2)</f>
        <v>42681</v>
      </c>
      <c r="DC18" s="59"/>
      <c r="DD18" s="60">
        <f>+DE18-DA18</f>
        <v>33</v>
      </c>
      <c r="DE18" s="46">
        <v>42710</v>
      </c>
      <c r="DF18" s="45">
        <f>WORKDAY(DE18,2)</f>
        <v>42712</v>
      </c>
      <c r="DG18" s="59"/>
      <c r="DH18" s="60">
        <f>+DI18-DE18</f>
        <v>31</v>
      </c>
      <c r="DI18" s="46">
        <v>42741</v>
      </c>
      <c r="DJ18" s="45">
        <f>WORKDAY(DI18,2)</f>
        <v>42745</v>
      </c>
      <c r="DK18" s="59"/>
      <c r="DL18" s="60">
        <f>+DM18-DI18</f>
        <v>31</v>
      </c>
      <c r="DM18" s="46">
        <v>42772</v>
      </c>
      <c r="DN18" s="45">
        <f>WORKDAY(DM18,2)</f>
        <v>42774</v>
      </c>
      <c r="DO18" s="59"/>
      <c r="DP18" s="60">
        <f>+DQ18-DM18</f>
        <v>28</v>
      </c>
      <c r="DQ18" s="46">
        <v>42800</v>
      </c>
      <c r="DR18" s="45">
        <f>WORKDAY(DQ18,2)</f>
        <v>42802</v>
      </c>
      <c r="DS18" s="59"/>
      <c r="DT18" s="60">
        <f>+DU18-DQ18</f>
        <v>730</v>
      </c>
      <c r="DU18" s="46">
        <v>43530</v>
      </c>
      <c r="DV18" s="45">
        <f>WORKDAY(DU18,2)</f>
        <v>43532</v>
      </c>
      <c r="DW18" s="59"/>
      <c r="DX18" s="60">
        <f>+DY18-DU18</f>
        <v>30</v>
      </c>
      <c r="DY18" s="46">
        <v>43560</v>
      </c>
      <c r="DZ18" s="45">
        <f>WORKDAY(DY18,2)</f>
        <v>43564</v>
      </c>
      <c r="EA18" s="59"/>
      <c r="EB18" s="60">
        <f>+EC18-DY18</f>
        <v>31</v>
      </c>
      <c r="EC18" s="46">
        <v>43591</v>
      </c>
      <c r="ED18" s="45">
        <f>WORKDAY(EC18,2)</f>
        <v>43593</v>
      </c>
      <c r="EE18" s="59"/>
      <c r="EF18" s="60">
        <f>+EG18-EC18</f>
        <v>31</v>
      </c>
      <c r="EG18" s="46">
        <v>43622</v>
      </c>
      <c r="EH18" s="45">
        <f>WORKDAY(EG18,2)</f>
        <v>43626</v>
      </c>
      <c r="EI18" s="59"/>
      <c r="EJ18" s="60">
        <f>+EK18-EG18</f>
        <v>29</v>
      </c>
      <c r="EK18" s="46">
        <v>43651</v>
      </c>
      <c r="EL18" s="45">
        <f>WORKDAY(EK18,2)</f>
        <v>43655</v>
      </c>
      <c r="EM18" s="59"/>
      <c r="EN18" s="60">
        <f>+EO18-EK18</f>
        <v>32</v>
      </c>
      <c r="EO18" s="46">
        <v>43683</v>
      </c>
      <c r="EP18" s="45">
        <f>WORKDAY(EO18,2)</f>
        <v>43685</v>
      </c>
      <c r="EQ18" s="59"/>
    </row>
    <row r="19" spans="1:147" x14ac:dyDescent="0.2">
      <c r="AJ19" s="58"/>
      <c r="AK19" s="10"/>
      <c r="AM19" s="59"/>
      <c r="AN19" s="58"/>
      <c r="AO19" s="10"/>
      <c r="AQ19" s="59"/>
      <c r="AR19" s="58"/>
      <c r="AS19" s="10"/>
      <c r="AU19" s="59"/>
      <c r="AV19" s="58"/>
      <c r="AW19" s="10"/>
      <c r="AY19" s="59"/>
      <c r="AZ19" s="58"/>
      <c r="BA19" s="10"/>
      <c r="BC19" s="59"/>
      <c r="BD19" s="58"/>
      <c r="BE19" s="10"/>
      <c r="BG19" s="59"/>
      <c r="BH19" s="58"/>
      <c r="BI19" s="10"/>
      <c r="BK19" s="59"/>
      <c r="BL19" s="58"/>
      <c r="BM19" s="10"/>
      <c r="BO19" s="59"/>
      <c r="BP19" s="58"/>
      <c r="BQ19" s="10"/>
      <c r="BS19" s="59"/>
      <c r="BT19" s="58"/>
      <c r="BU19" s="10"/>
      <c r="BW19" s="59"/>
      <c r="BX19" s="58"/>
      <c r="BY19" s="10"/>
      <c r="BZ19" s="45"/>
      <c r="CA19" s="59"/>
      <c r="CB19" s="58"/>
      <c r="CC19" s="10"/>
      <c r="CD19" s="45"/>
      <c r="CE19" s="59"/>
      <c r="CF19" s="58"/>
      <c r="CG19" s="10"/>
      <c r="CH19" s="45"/>
      <c r="CI19" s="59"/>
      <c r="CJ19" s="58"/>
      <c r="CK19" s="10"/>
      <c r="CL19" s="45"/>
      <c r="CM19" s="59"/>
      <c r="CN19" s="58"/>
      <c r="CO19" s="10"/>
      <c r="CP19" s="45"/>
      <c r="CQ19" s="59"/>
      <c r="CR19" s="58"/>
      <c r="CS19" s="10"/>
      <c r="CT19" s="45"/>
      <c r="CU19" s="59"/>
      <c r="CV19" s="58"/>
      <c r="CW19" s="10"/>
      <c r="CX19" s="45"/>
      <c r="CY19" s="59"/>
      <c r="CZ19" s="58"/>
      <c r="DA19" s="10"/>
      <c r="DB19" s="45"/>
      <c r="DC19" s="59"/>
      <c r="DD19" s="58"/>
      <c r="DE19" s="10"/>
      <c r="DF19" s="45"/>
      <c r="DG19" s="59"/>
      <c r="DH19" s="58"/>
      <c r="DI19" s="10"/>
      <c r="DJ19" s="45"/>
      <c r="DK19" s="59"/>
      <c r="DL19" s="58"/>
      <c r="DM19" s="10"/>
      <c r="DN19" s="45"/>
      <c r="DO19" s="59"/>
      <c r="DP19" s="58"/>
      <c r="DQ19" s="10"/>
      <c r="DR19" s="45"/>
      <c r="DS19" s="59"/>
      <c r="DT19" s="58"/>
      <c r="DU19" s="10"/>
      <c r="DV19" s="45"/>
      <c r="DW19" s="59"/>
      <c r="DX19" s="58"/>
      <c r="DY19" s="10"/>
      <c r="DZ19" s="45"/>
      <c r="EA19" s="59"/>
      <c r="EB19" s="58"/>
      <c r="EC19" s="10"/>
      <c r="ED19" s="45"/>
      <c r="EE19" s="59"/>
      <c r="EF19" s="58"/>
      <c r="EG19" s="10"/>
      <c r="EH19" s="45"/>
      <c r="EI19" s="59"/>
      <c r="EJ19" s="58"/>
      <c r="EK19" s="10"/>
      <c r="EL19" s="45"/>
      <c r="EM19" s="59"/>
      <c r="EN19" s="58"/>
      <c r="EO19" s="10"/>
      <c r="EP19" s="45"/>
      <c r="EQ19" s="59"/>
    </row>
    <row r="20" spans="1:147" x14ac:dyDescent="0.2">
      <c r="A20">
        <v>7</v>
      </c>
      <c r="B20" s="130" t="s">
        <v>286</v>
      </c>
      <c r="C20" s="46">
        <v>39241</v>
      </c>
      <c r="D20" s="45">
        <f>WORKDAY(C20,2,$C$33:$C$42)</f>
        <v>39245</v>
      </c>
      <c r="F20" s="46">
        <v>39335</v>
      </c>
      <c r="G20" s="45">
        <f>WORKDAY(F20,2,$C$33:$C$42)</f>
        <v>39337</v>
      </c>
      <c r="I20" s="46">
        <v>39423</v>
      </c>
      <c r="J20" s="45">
        <f>WORKDAY(I20,2,$C$33:$C$42)</f>
        <v>39427</v>
      </c>
      <c r="L20" s="46">
        <v>39514</v>
      </c>
      <c r="M20" s="45">
        <f>WORKDAY(L20,2,$L$33:$L$42)</f>
        <v>39518</v>
      </c>
      <c r="O20" s="46">
        <v>39608</v>
      </c>
      <c r="P20" s="45">
        <f>WORKDAY(O20,2,$L$33:$L$42)</f>
        <v>39610</v>
      </c>
      <c r="R20" s="46">
        <v>39700</v>
      </c>
      <c r="S20" s="45">
        <f>WORKDAY(R20,2,$L$33:$L$42)</f>
        <v>39702</v>
      </c>
      <c r="U20" s="46">
        <v>39791</v>
      </c>
      <c r="V20" s="45">
        <f>WORKDAY(U20,2,$L$33:$L$42)</f>
        <v>39793</v>
      </c>
      <c r="X20" s="46">
        <v>39881</v>
      </c>
      <c r="Y20" s="45">
        <f>WORKDAY(X20,2,X$33:X$43)</f>
        <v>39883</v>
      </c>
      <c r="AA20" s="46">
        <v>39973</v>
      </c>
      <c r="AB20" s="45">
        <f>WORKDAY(AA20,2,$L$33:$L$43)</f>
        <v>39975</v>
      </c>
      <c r="AD20" s="46">
        <v>40065</v>
      </c>
      <c r="AE20" s="45">
        <f>WORKDAY(AD20,2,X$33:X$43)</f>
        <v>40067</v>
      </c>
      <c r="AG20" s="46">
        <v>40155</v>
      </c>
      <c r="AH20" s="45">
        <f>WORKDAY(AG20,2,X$33:X$43)</f>
        <v>40157</v>
      </c>
      <c r="AJ20" s="58"/>
      <c r="AK20" s="46">
        <v>42163</v>
      </c>
      <c r="AL20" s="45">
        <f>WORKDAY(AK20,2,AB$33:AB$43)</f>
        <v>42165</v>
      </c>
      <c r="AM20" s="59"/>
      <c r="AN20" s="60">
        <f>+AO20-AK20</f>
        <v>32</v>
      </c>
      <c r="AO20" s="46">
        <v>42195</v>
      </c>
      <c r="AP20" s="45">
        <f>WORKDAY(AO20,2,AF$33:AF$43)</f>
        <v>42199</v>
      </c>
      <c r="AQ20" s="59"/>
      <c r="AR20" s="60">
        <f>+AS20-AO20</f>
        <v>31</v>
      </c>
      <c r="AS20" s="46">
        <v>42226</v>
      </c>
      <c r="AT20" s="45">
        <f>WORKDAY(AS20,2,AJ$33:AJ$43)</f>
        <v>42228</v>
      </c>
      <c r="AU20" s="59"/>
      <c r="AV20" s="60">
        <f>+AW20-AS20</f>
        <v>30</v>
      </c>
      <c r="AW20" s="46">
        <v>42256</v>
      </c>
      <c r="AX20" s="45">
        <f>WORKDAY(AW20,2,AN$33:AN$43)</f>
        <v>42258</v>
      </c>
      <c r="AY20" s="59"/>
      <c r="AZ20" s="60">
        <f>+BA20-AW20</f>
        <v>29</v>
      </c>
      <c r="BA20" s="46">
        <v>42285</v>
      </c>
      <c r="BB20" s="45">
        <f>WORKDAY(BA20,2,AR$33:AR$43)</f>
        <v>42289</v>
      </c>
      <c r="BC20" s="59"/>
      <c r="BD20" s="60">
        <f>+BE20-BA20</f>
        <v>29</v>
      </c>
      <c r="BE20" s="46">
        <v>42314</v>
      </c>
      <c r="BF20" s="45">
        <f>WORKDAY(BE20,2,AV$33:AV$43)</f>
        <v>42318</v>
      </c>
      <c r="BG20" s="59"/>
      <c r="BH20" s="60">
        <f>+BI20-BE20</f>
        <v>32</v>
      </c>
      <c r="BI20" s="46">
        <v>42346</v>
      </c>
      <c r="BJ20" s="45">
        <f>WORKDAY(BI20,2,AZ$33:AZ$43)</f>
        <v>42348</v>
      </c>
      <c r="BK20" s="59"/>
      <c r="BL20" s="60"/>
      <c r="BM20" s="46"/>
      <c r="BN20" s="45"/>
      <c r="BO20" s="59"/>
      <c r="BP20" s="60"/>
      <c r="BQ20" s="46"/>
      <c r="BR20" s="45"/>
      <c r="BS20" s="59"/>
      <c r="BT20" s="60"/>
      <c r="BU20" s="46"/>
      <c r="BV20" s="45"/>
      <c r="BW20" s="59"/>
      <c r="BX20" s="60"/>
      <c r="BY20" s="46"/>
      <c r="BZ20" s="45"/>
      <c r="CA20" s="59"/>
      <c r="CB20" s="60"/>
      <c r="CC20" s="46"/>
      <c r="CD20" s="45"/>
      <c r="CE20" s="59"/>
      <c r="CF20" s="60"/>
      <c r="CG20" s="46"/>
      <c r="CH20" s="45"/>
      <c r="CI20" s="59"/>
      <c r="CJ20" s="60"/>
      <c r="CK20" s="46"/>
      <c r="CL20" s="45"/>
      <c r="CM20" s="59"/>
      <c r="CN20" s="60"/>
      <c r="CO20" s="46"/>
      <c r="CP20" s="45"/>
      <c r="CQ20" s="59"/>
      <c r="CR20" s="60"/>
      <c r="CS20" s="46"/>
      <c r="CT20" s="45"/>
      <c r="CU20" s="59"/>
      <c r="CV20" s="60"/>
      <c r="CW20" s="46"/>
      <c r="CX20" s="45"/>
      <c r="CY20" s="59"/>
      <c r="CZ20" s="60"/>
      <c r="DA20" s="46"/>
      <c r="DB20" s="45"/>
      <c r="DC20" s="59"/>
      <c r="DD20" s="60"/>
      <c r="DE20" s="46"/>
      <c r="DF20" s="45"/>
      <c r="DG20" s="59"/>
      <c r="DH20" s="60"/>
      <c r="DI20" s="46"/>
      <c r="DJ20" s="45"/>
      <c r="DK20" s="59"/>
      <c r="DL20" s="60"/>
      <c r="DM20" s="46"/>
      <c r="DN20" s="45"/>
      <c r="DO20" s="59"/>
      <c r="DP20" s="60"/>
      <c r="DQ20" s="46"/>
      <c r="DR20" s="45"/>
      <c r="DS20" s="59"/>
      <c r="DT20" s="60"/>
      <c r="DU20" s="46"/>
      <c r="DV20" s="45"/>
      <c r="DW20" s="59"/>
      <c r="DX20" s="60"/>
      <c r="DY20" s="46"/>
      <c r="DZ20" s="45"/>
      <c r="EA20" s="59"/>
      <c r="EB20" s="60"/>
      <c r="EC20" s="46"/>
      <c r="ED20" s="45"/>
      <c r="EE20" s="59"/>
      <c r="EF20" s="60"/>
      <c r="EG20" s="46"/>
      <c r="EH20" s="45"/>
      <c r="EI20" s="59"/>
      <c r="EJ20" s="60"/>
      <c r="EK20" s="46"/>
      <c r="EL20" s="45"/>
      <c r="EM20" s="59"/>
      <c r="EN20" s="60"/>
      <c r="EO20" s="46"/>
      <c r="EP20" s="45"/>
      <c r="EQ20" s="59"/>
    </row>
    <row r="21" spans="1:147" x14ac:dyDescent="0.2">
      <c r="A21">
        <v>8</v>
      </c>
      <c r="C21" s="46">
        <v>39244</v>
      </c>
      <c r="D21" s="45">
        <f>WORKDAY(C21,2,$C$33:$C$42)</f>
        <v>39246</v>
      </c>
      <c r="F21" s="46">
        <v>39336</v>
      </c>
      <c r="G21" s="45">
        <f>WORKDAY(F21,2,$C$33:$C$42)</f>
        <v>39338</v>
      </c>
      <c r="I21" s="46">
        <v>39426</v>
      </c>
      <c r="J21" s="45">
        <f>WORKDAY(I21,2,$C$33:$C$42)</f>
        <v>39428</v>
      </c>
      <c r="L21" s="46">
        <v>39517</v>
      </c>
      <c r="M21" s="45">
        <f>WORKDAY(L21,2,$L$33:$L$42)</f>
        <v>39519</v>
      </c>
      <c r="O21" s="46">
        <v>39609</v>
      </c>
      <c r="P21" s="45">
        <f>WORKDAY(O21,2,$L$33:$L$42)</f>
        <v>39611</v>
      </c>
      <c r="R21" s="46">
        <v>39701</v>
      </c>
      <c r="S21" s="45">
        <f>WORKDAY(R21,2,$L$33:$L$42)</f>
        <v>39703</v>
      </c>
      <c r="U21" s="46">
        <v>39792</v>
      </c>
      <c r="V21" s="45">
        <f>WORKDAY(U21,2,$L$33:$L$42)</f>
        <v>39794</v>
      </c>
      <c r="X21" s="46">
        <v>39882</v>
      </c>
      <c r="Y21" s="45">
        <f>WORKDAY(X21,2,X$33:X$43)</f>
        <v>39884</v>
      </c>
      <c r="AA21" s="46">
        <v>39974</v>
      </c>
      <c r="AB21" s="45">
        <f>WORKDAY(AA21,2,$L$33:$L$43)</f>
        <v>39976</v>
      </c>
      <c r="AD21" s="46">
        <v>40066</v>
      </c>
      <c r="AE21" s="45">
        <f>WORKDAY(AD21,2,X$33:X$43)</f>
        <v>40070</v>
      </c>
      <c r="AG21" s="46">
        <v>40156</v>
      </c>
      <c r="AH21" s="45">
        <f>WORKDAY(AG21,2,X$33:X$43)</f>
        <v>40158</v>
      </c>
      <c r="AJ21" s="58"/>
      <c r="AK21" s="46">
        <v>42164</v>
      </c>
      <c r="AL21" s="45">
        <f>WORKDAY(AK21,2,AB$33:AB$43)</f>
        <v>42166</v>
      </c>
      <c r="AM21" s="59"/>
      <c r="AN21" s="60">
        <f>+AO21-AK21</f>
        <v>34</v>
      </c>
      <c r="AO21" s="46">
        <v>42198</v>
      </c>
      <c r="AP21" s="45">
        <f>WORKDAY(AO21,2,AF$33:AF$43)</f>
        <v>42200</v>
      </c>
      <c r="AQ21" s="59"/>
      <c r="AR21" s="60">
        <f>+AS21-AO21</f>
        <v>29</v>
      </c>
      <c r="AS21" s="46">
        <v>42227</v>
      </c>
      <c r="AT21" s="45">
        <f>WORKDAY(AS21,2,AJ$33:AJ$43)</f>
        <v>42229</v>
      </c>
      <c r="AU21" s="59"/>
      <c r="AV21" s="60">
        <f>+AW21-AS21</f>
        <v>30</v>
      </c>
      <c r="AW21" s="46">
        <v>42257</v>
      </c>
      <c r="AX21" s="45">
        <f>WORKDAY(AW21,2,AN$33:AN$43)</f>
        <v>42261</v>
      </c>
      <c r="AY21" s="59"/>
      <c r="AZ21" s="60">
        <f>+BA21-AW21</f>
        <v>29</v>
      </c>
      <c r="BA21" s="46">
        <v>42286</v>
      </c>
      <c r="BB21" s="45">
        <f>WORKDAY(BA21,2,AR$33:AR$43)</f>
        <v>42290</v>
      </c>
      <c r="BC21" s="59"/>
      <c r="BD21" s="60">
        <f>+BE21-BA21</f>
        <v>31</v>
      </c>
      <c r="BE21" s="46">
        <v>42317</v>
      </c>
      <c r="BF21" s="45">
        <f>WORKDAY(BE21,2,AV$33:AV$43)</f>
        <v>42319</v>
      </c>
      <c r="BG21" s="59"/>
      <c r="BH21" s="60">
        <f>+BI21-BE21</f>
        <v>30</v>
      </c>
      <c r="BI21" s="46">
        <v>42347</v>
      </c>
      <c r="BJ21" s="45">
        <f>WORKDAY(BI21,2,AZ$33:AZ$43)</f>
        <v>42349</v>
      </c>
      <c r="BK21" s="59"/>
      <c r="BL21" s="60">
        <f>+BM21-BI21</f>
        <v>33</v>
      </c>
      <c r="BM21" s="46">
        <v>42380</v>
      </c>
      <c r="BN21" s="45">
        <f>WORKDAY(BM21,2,BD$33:BD$43)</f>
        <v>42382</v>
      </c>
      <c r="BO21" s="59"/>
      <c r="BP21" s="60">
        <f>+BQ21-BM21</f>
        <v>29</v>
      </c>
      <c r="BQ21" s="46">
        <v>42409</v>
      </c>
      <c r="BR21" s="45">
        <f>WORKDAY(BQ21,2,BH$33:BH$43)</f>
        <v>42411</v>
      </c>
      <c r="BS21" s="59"/>
      <c r="BT21" s="60">
        <f>+BU21-BQ21</f>
        <v>29</v>
      </c>
      <c r="BU21" s="46">
        <v>42438</v>
      </c>
      <c r="BV21" s="45">
        <f>WORKDAY(BU21,2,BL$33:BL$43)</f>
        <v>42440</v>
      </c>
      <c r="BW21" s="59"/>
      <c r="BX21" s="60">
        <f>+BY21-BU21</f>
        <v>30</v>
      </c>
      <c r="BY21" s="46">
        <v>42468</v>
      </c>
      <c r="BZ21" s="45">
        <f t="shared" si="3"/>
        <v>42472</v>
      </c>
      <c r="CA21" s="59"/>
      <c r="CB21" s="60">
        <f>+CC21-BY21</f>
        <v>31</v>
      </c>
      <c r="CC21" s="46">
        <v>42499</v>
      </c>
      <c r="CD21" s="45">
        <f t="shared" si="4"/>
        <v>42501</v>
      </c>
      <c r="CE21" s="59"/>
      <c r="CF21" s="60">
        <f>+CG21-CC21</f>
        <v>31</v>
      </c>
      <c r="CG21" s="46">
        <v>42530</v>
      </c>
      <c r="CH21" s="45">
        <f>WORKDAY(CG21,2)</f>
        <v>42534</v>
      </c>
      <c r="CI21" s="59"/>
      <c r="CJ21" s="60">
        <f>+CK21-CG21</f>
        <v>32</v>
      </c>
      <c r="CK21" s="46">
        <v>42562</v>
      </c>
      <c r="CL21" s="45">
        <f>WORKDAY(CK21,2)</f>
        <v>42564</v>
      </c>
      <c r="CM21" s="59"/>
      <c r="CN21" s="60">
        <f>+CO21-CK21</f>
        <v>29</v>
      </c>
      <c r="CO21" s="46">
        <v>42591</v>
      </c>
      <c r="CP21" s="45">
        <f>WORKDAY(CO21,2)</f>
        <v>42593</v>
      </c>
      <c r="CQ21" s="59"/>
      <c r="CR21" s="60">
        <f>+CS21-CO21</f>
        <v>31</v>
      </c>
      <c r="CS21" s="46">
        <v>42622</v>
      </c>
      <c r="CT21" s="45">
        <f>WORKDAY(CS21,2)</f>
        <v>42626</v>
      </c>
      <c r="CU21" s="59"/>
      <c r="CV21" s="60">
        <f>+CW21-CS21</f>
        <v>31</v>
      </c>
      <c r="CW21" s="46">
        <v>42653</v>
      </c>
      <c r="CX21" s="45">
        <f>WORKDAY(CW21,2)</f>
        <v>42655</v>
      </c>
      <c r="CY21" s="59"/>
      <c r="CZ21" s="60">
        <f>+DA21-CW21</f>
        <v>29</v>
      </c>
      <c r="DA21" s="46">
        <v>42682</v>
      </c>
      <c r="DB21" s="45">
        <f>WORKDAY(DA21,2)</f>
        <v>42684</v>
      </c>
      <c r="DC21" s="59"/>
      <c r="DD21" s="60">
        <f>+DE21-DA21</f>
        <v>31</v>
      </c>
      <c r="DE21" s="46">
        <v>42713</v>
      </c>
      <c r="DF21" s="45">
        <f>WORKDAY(DE21,2)</f>
        <v>42717</v>
      </c>
      <c r="DG21" s="59"/>
      <c r="DH21" s="60">
        <f>+DI21-DE21</f>
        <v>33</v>
      </c>
      <c r="DI21" s="46">
        <v>42746</v>
      </c>
      <c r="DJ21" s="45">
        <f>WORKDAY(DI21,2)</f>
        <v>42748</v>
      </c>
      <c r="DK21" s="59"/>
      <c r="DL21" s="60">
        <f>+DM21-DI21</f>
        <v>29</v>
      </c>
      <c r="DM21" s="46">
        <v>42775</v>
      </c>
      <c r="DN21" s="45">
        <f>WORKDAY(DM21,2)</f>
        <v>42779</v>
      </c>
      <c r="DO21" s="59"/>
      <c r="DP21" s="60">
        <f>+DQ21-DM21</f>
        <v>29</v>
      </c>
      <c r="DQ21" s="46">
        <v>42804</v>
      </c>
      <c r="DR21" s="45">
        <f>WORKDAY(DQ21,2)</f>
        <v>42808</v>
      </c>
      <c r="DS21" s="59"/>
      <c r="DT21" s="60">
        <f>+DU21-DQ21</f>
        <v>731</v>
      </c>
      <c r="DU21" s="46">
        <v>43535</v>
      </c>
      <c r="DV21" s="45">
        <f>WORKDAY(DU21,2)</f>
        <v>43537</v>
      </c>
      <c r="DW21" s="59"/>
      <c r="DX21" s="60">
        <f>+DY21-DU21</f>
        <v>30</v>
      </c>
      <c r="DY21" s="46">
        <v>43565</v>
      </c>
      <c r="DZ21" s="45">
        <f>WORKDAY(DY21,2)</f>
        <v>43567</v>
      </c>
      <c r="EA21" s="59"/>
      <c r="EB21" s="60">
        <f>+EC21-DY21</f>
        <v>30</v>
      </c>
      <c r="EC21" s="46">
        <v>43595</v>
      </c>
      <c r="ED21" s="45">
        <f t="shared" ref="ED21:ED27" si="5">WORKDAY(EC21,2)</f>
        <v>43599</v>
      </c>
      <c r="EE21" s="59"/>
      <c r="EF21" s="60">
        <f>+EG21-EC21</f>
        <v>32</v>
      </c>
      <c r="EG21" s="46">
        <v>43627</v>
      </c>
      <c r="EH21" s="45">
        <f>WORKDAY(EG21,2)</f>
        <v>43629</v>
      </c>
      <c r="EI21" s="59"/>
      <c r="EJ21" s="60">
        <f>+EK21-EG21</f>
        <v>29</v>
      </c>
      <c r="EK21" s="46">
        <v>43656</v>
      </c>
      <c r="EL21" s="45">
        <f>WORKDAY(EK21,2)</f>
        <v>43658</v>
      </c>
      <c r="EM21" s="59"/>
      <c r="EN21" s="60">
        <f>+EO21-EK21</f>
        <v>33</v>
      </c>
      <c r="EO21" s="46">
        <v>43689</v>
      </c>
      <c r="EP21" s="45">
        <f>WORKDAY(EO21,2)</f>
        <v>43691</v>
      </c>
      <c r="EQ21" s="59"/>
    </row>
    <row r="22" spans="1:147" x14ac:dyDescent="0.2">
      <c r="A22">
        <v>9</v>
      </c>
      <c r="C22" s="46">
        <v>39245</v>
      </c>
      <c r="D22" s="45">
        <f>WORKDAY(C22,2,$C$33:$C$42)</f>
        <v>39247</v>
      </c>
      <c r="F22" s="46">
        <v>39337</v>
      </c>
      <c r="G22" s="45">
        <f>WORKDAY(F22,2,$C$33:$C$42)</f>
        <v>39339</v>
      </c>
      <c r="I22" s="46">
        <v>39427</v>
      </c>
      <c r="J22" s="45">
        <f>WORKDAY(I22,2,$C$33:$C$42)</f>
        <v>39429</v>
      </c>
      <c r="L22" s="46">
        <v>39518</v>
      </c>
      <c r="M22" s="45">
        <f>WORKDAY(L22,2,$L$33:$L$42)</f>
        <v>39520</v>
      </c>
      <c r="O22" s="46">
        <v>39610</v>
      </c>
      <c r="P22" s="45">
        <f>WORKDAY(O22,2,$L$33:$L$42)</f>
        <v>39612</v>
      </c>
      <c r="R22" s="46">
        <v>39702</v>
      </c>
      <c r="S22" s="45">
        <f>WORKDAY(R22,2,$L$33:$L$42)</f>
        <v>39706</v>
      </c>
      <c r="U22" s="46">
        <v>39793</v>
      </c>
      <c r="V22" s="45">
        <f>WORKDAY(U22,2,$L$33:$L$42)</f>
        <v>39797</v>
      </c>
      <c r="X22" s="46">
        <v>39883</v>
      </c>
      <c r="Y22" s="45">
        <f>WORKDAY(X22,2,X$33:X$43)</f>
        <v>39885</v>
      </c>
      <c r="AA22" s="46">
        <v>39975</v>
      </c>
      <c r="AB22" s="45">
        <f>WORKDAY(AA22,2,$L$33:$L$43)</f>
        <v>39979</v>
      </c>
      <c r="AD22" s="46">
        <v>40067</v>
      </c>
      <c r="AE22" s="45">
        <f>WORKDAY(AD22,2,X$33:X$43)</f>
        <v>40071</v>
      </c>
      <c r="AG22" s="46">
        <v>40157</v>
      </c>
      <c r="AH22" s="45">
        <f>WORKDAY(AG22,2,X$33:X$43)</f>
        <v>40161</v>
      </c>
      <c r="AJ22" s="58"/>
      <c r="AK22" s="46">
        <v>42165</v>
      </c>
      <c r="AL22" s="45">
        <f>WORKDAY(AK22,2,AB$33:AB$43)</f>
        <v>42167</v>
      </c>
      <c r="AM22" s="59"/>
      <c r="AN22" s="60">
        <f>+AO22-AK22</f>
        <v>34</v>
      </c>
      <c r="AO22" s="46">
        <v>42199</v>
      </c>
      <c r="AP22" s="45">
        <f>WORKDAY(AO22,2,AF$33:AF$43)</f>
        <v>42201</v>
      </c>
      <c r="AQ22" s="59"/>
      <c r="AR22" s="60">
        <f>+AS22-AO22</f>
        <v>29</v>
      </c>
      <c r="AS22" s="46">
        <v>42228</v>
      </c>
      <c r="AT22" s="45">
        <f>WORKDAY(AS22,2,AJ$33:AJ$43)</f>
        <v>42230</v>
      </c>
      <c r="AU22" s="59"/>
      <c r="AV22" s="60">
        <f>+AW22-AS22</f>
        <v>30</v>
      </c>
      <c r="AW22" s="46">
        <v>42258</v>
      </c>
      <c r="AX22" s="45">
        <f>WORKDAY(AW22,2,AN$33:AN$43)</f>
        <v>42262</v>
      </c>
      <c r="AY22" s="59"/>
      <c r="AZ22" s="60">
        <f>+BA22-AW22</f>
        <v>32</v>
      </c>
      <c r="BA22" s="46">
        <v>42290</v>
      </c>
      <c r="BB22" s="45">
        <f>WORKDAY(BA22,2,AR$33:AR$43)</f>
        <v>42292</v>
      </c>
      <c r="BC22" s="59"/>
      <c r="BD22" s="60">
        <f>+BE22-BA22</f>
        <v>28</v>
      </c>
      <c r="BE22" s="46">
        <v>42318</v>
      </c>
      <c r="BF22" s="45">
        <f>WORKDAY(BE22,2,AV$33:AV$43)</f>
        <v>42320</v>
      </c>
      <c r="BG22" s="59"/>
      <c r="BH22" s="60">
        <f>+BI22-BE22</f>
        <v>30</v>
      </c>
      <c r="BI22" s="46">
        <v>42348</v>
      </c>
      <c r="BJ22" s="45">
        <f>WORKDAY(BI22,2,AZ$33:AZ$43)</f>
        <v>42352</v>
      </c>
      <c r="BK22" s="59"/>
      <c r="BL22" s="60">
        <f>+BM22-BI22</f>
        <v>33</v>
      </c>
      <c r="BM22" s="46">
        <v>42381</v>
      </c>
      <c r="BN22" s="45">
        <f>WORKDAY(BM22,2,BD$33:BD$43)</f>
        <v>42383</v>
      </c>
      <c r="BO22" s="59"/>
      <c r="BP22" s="60">
        <f>+BQ22-BM22</f>
        <v>29</v>
      </c>
      <c r="BQ22" s="46">
        <v>42410</v>
      </c>
      <c r="BR22" s="45">
        <f>WORKDAY(BQ22,2,BH$33:BH$43)</f>
        <v>42412</v>
      </c>
      <c r="BS22" s="59"/>
      <c r="BT22" s="60">
        <f>+BU22-BQ22</f>
        <v>30</v>
      </c>
      <c r="BU22" s="46">
        <v>42440</v>
      </c>
      <c r="BV22" s="45">
        <f>WORKDAY(BU22,2,BL$33:BL$43)</f>
        <v>42444</v>
      </c>
      <c r="BW22" s="59"/>
      <c r="BX22" s="60">
        <f>+BY22-BU22</f>
        <v>31</v>
      </c>
      <c r="BY22" s="46">
        <v>42471</v>
      </c>
      <c r="BZ22" s="45">
        <f t="shared" si="3"/>
        <v>42473</v>
      </c>
      <c r="CA22" s="59"/>
      <c r="CB22" s="60">
        <f>+CC22-BY22</f>
        <v>29</v>
      </c>
      <c r="CC22" s="46">
        <v>42500</v>
      </c>
      <c r="CD22" s="45">
        <f t="shared" si="4"/>
        <v>42502</v>
      </c>
      <c r="CE22" s="59"/>
      <c r="CF22" s="60">
        <f>+CG22-CC22</f>
        <v>31</v>
      </c>
      <c r="CG22" s="46">
        <v>42531</v>
      </c>
      <c r="CH22" s="45">
        <f>WORKDAY(CG22,2)</f>
        <v>42535</v>
      </c>
      <c r="CI22" s="59"/>
      <c r="CJ22" s="60">
        <f>+CK22-CG22</f>
        <v>32</v>
      </c>
      <c r="CK22" s="46">
        <v>42563</v>
      </c>
      <c r="CL22" s="45">
        <f>WORKDAY(CK22,2)</f>
        <v>42565</v>
      </c>
      <c r="CM22" s="59"/>
      <c r="CN22" s="60">
        <f>+CO22-CK22</f>
        <v>29</v>
      </c>
      <c r="CO22" s="46">
        <v>42592</v>
      </c>
      <c r="CP22" s="45">
        <f>WORKDAY(CO22,2)</f>
        <v>42594</v>
      </c>
      <c r="CQ22" s="59"/>
      <c r="CR22" s="60">
        <f>+CS22-CO22</f>
        <v>33</v>
      </c>
      <c r="CS22" s="46">
        <v>42625</v>
      </c>
      <c r="CT22" s="45">
        <f>WORKDAY(CS22,2)</f>
        <v>42627</v>
      </c>
      <c r="CU22" s="59"/>
      <c r="CV22" s="60">
        <f>+CW22-CS22</f>
        <v>29</v>
      </c>
      <c r="CW22" s="46">
        <v>42654</v>
      </c>
      <c r="CX22" s="45">
        <f>WORKDAY(CW22,2)</f>
        <v>42656</v>
      </c>
      <c r="CY22" s="59"/>
      <c r="CZ22" s="60">
        <f>+DA22-CW22</f>
        <v>29</v>
      </c>
      <c r="DA22" s="46">
        <v>42683</v>
      </c>
      <c r="DB22" s="45">
        <f>WORKDAY(DA22,2)</f>
        <v>42685</v>
      </c>
      <c r="DC22" s="59"/>
      <c r="DD22" s="60">
        <f>+DE22-DA22</f>
        <v>33</v>
      </c>
      <c r="DE22" s="46">
        <v>42716</v>
      </c>
      <c r="DF22" s="45">
        <f>WORKDAY(DE22,2)</f>
        <v>42718</v>
      </c>
      <c r="DG22" s="59"/>
      <c r="DH22" s="60">
        <f>+DI22-DE22</f>
        <v>31</v>
      </c>
      <c r="DI22" s="46">
        <v>42747</v>
      </c>
      <c r="DJ22" s="45">
        <f>WORKDAY(DI22,2)</f>
        <v>42751</v>
      </c>
      <c r="DK22" s="59"/>
      <c r="DL22" s="60">
        <f>+DM22-DI22</f>
        <v>29</v>
      </c>
      <c r="DM22" s="46">
        <v>42776</v>
      </c>
      <c r="DN22" s="45">
        <f>WORKDAY(DM22,2)</f>
        <v>42780</v>
      </c>
      <c r="DO22" s="59"/>
      <c r="DP22" s="60">
        <f>+DQ22-DM22</f>
        <v>31</v>
      </c>
      <c r="DQ22" s="46">
        <v>42807</v>
      </c>
      <c r="DR22" s="45">
        <f>WORKDAY(DQ22,2)</f>
        <v>42809</v>
      </c>
      <c r="DS22" s="59"/>
      <c r="DT22" s="60">
        <f>+DU22-DQ22</f>
        <v>729</v>
      </c>
      <c r="DU22" s="46">
        <v>43536</v>
      </c>
      <c r="DV22" s="45">
        <f>WORKDAY(DU22,2)</f>
        <v>43538</v>
      </c>
      <c r="DW22" s="59"/>
      <c r="DX22" s="60">
        <f>+DY22-DU22</f>
        <v>30</v>
      </c>
      <c r="DY22" s="46">
        <v>43566</v>
      </c>
      <c r="DZ22" s="45">
        <f>WORKDAY(DY22,2)</f>
        <v>43570</v>
      </c>
      <c r="EA22" s="59"/>
      <c r="EB22" s="60">
        <f>+EC22-DY22</f>
        <v>32</v>
      </c>
      <c r="EC22" s="46">
        <v>43598</v>
      </c>
      <c r="ED22" s="45">
        <f t="shared" si="5"/>
        <v>43600</v>
      </c>
      <c r="EE22" s="59"/>
      <c r="EF22" s="60">
        <f>+EG22-EC22</f>
        <v>30</v>
      </c>
      <c r="EG22" s="46">
        <v>43628</v>
      </c>
      <c r="EH22" s="45">
        <f>WORKDAY(EG22,2)</f>
        <v>43630</v>
      </c>
      <c r="EI22" s="59"/>
      <c r="EJ22" s="60">
        <f>+EK22-EG22</f>
        <v>30</v>
      </c>
      <c r="EK22" s="46">
        <v>43658</v>
      </c>
      <c r="EL22" s="45">
        <f>WORKDAY(EK22,2)</f>
        <v>43662</v>
      </c>
      <c r="EM22" s="59"/>
      <c r="EN22" s="60">
        <f>+EO22-EK22</f>
        <v>32</v>
      </c>
      <c r="EO22" s="46">
        <v>43690</v>
      </c>
      <c r="EP22" s="45">
        <f>WORKDAY(EO22,2)</f>
        <v>43692</v>
      </c>
      <c r="EQ22" s="59"/>
    </row>
    <row r="23" spans="1:147" x14ac:dyDescent="0.2">
      <c r="A23">
        <v>10</v>
      </c>
      <c r="C23" s="46"/>
      <c r="D23" s="45"/>
      <c r="F23" s="46"/>
      <c r="G23" s="45"/>
      <c r="I23" s="46"/>
      <c r="J23" s="45"/>
      <c r="L23" s="46"/>
      <c r="M23" s="45"/>
      <c r="O23" s="46"/>
      <c r="P23" s="45"/>
      <c r="R23" s="46"/>
      <c r="S23" s="45"/>
      <c r="U23" s="46"/>
      <c r="V23" s="45"/>
      <c r="X23" s="46"/>
      <c r="Y23" s="45"/>
      <c r="AA23" s="46"/>
      <c r="AB23" s="45"/>
      <c r="AD23" s="46"/>
      <c r="AE23" s="45"/>
      <c r="AG23" s="46"/>
      <c r="AH23" s="45"/>
      <c r="AJ23" s="58"/>
      <c r="AK23" s="46"/>
      <c r="AL23" s="45"/>
      <c r="AM23" s="59"/>
      <c r="AN23" s="60"/>
      <c r="AO23" s="46"/>
      <c r="AP23" s="45"/>
      <c r="AQ23" s="59"/>
      <c r="AR23" s="60"/>
      <c r="AS23" s="46">
        <v>42229</v>
      </c>
      <c r="AT23" s="45">
        <f>WORKDAY(AS23,2,AJ$33:AJ$43)</f>
        <v>42233</v>
      </c>
      <c r="AU23" s="59"/>
      <c r="AV23" s="60">
        <f>+AW23-AS23</f>
        <v>32</v>
      </c>
      <c r="AW23" s="46">
        <v>42261</v>
      </c>
      <c r="AX23" s="45">
        <f>WORKDAY(AW23,2,AN$33:AN$43)</f>
        <v>42263</v>
      </c>
      <c r="AY23" s="59"/>
      <c r="AZ23" s="60">
        <f>+BA23-AW23</f>
        <v>30</v>
      </c>
      <c r="BA23" s="46">
        <v>42291</v>
      </c>
      <c r="BB23" s="45">
        <f>WORKDAY(BA23,2,AR$33:AR$43)</f>
        <v>42293</v>
      </c>
      <c r="BC23" s="59"/>
      <c r="BD23" s="60">
        <f>+BE23-BA23</f>
        <v>28</v>
      </c>
      <c r="BE23" s="46">
        <v>42319</v>
      </c>
      <c r="BF23" s="45">
        <f>WORKDAY(BE23,2,AV$33:AV$43)</f>
        <v>42321</v>
      </c>
      <c r="BG23" s="59"/>
      <c r="BH23" s="60">
        <f>+BI23-BE23</f>
        <v>30</v>
      </c>
      <c r="BI23" s="46">
        <v>42349</v>
      </c>
      <c r="BJ23" s="45">
        <f>WORKDAY(BI23,2,AZ$33:AZ$43)</f>
        <v>42353</v>
      </c>
      <c r="BK23" s="59"/>
      <c r="BL23" s="60">
        <f>+BM23-BI23</f>
        <v>33</v>
      </c>
      <c r="BM23" s="46">
        <v>42382</v>
      </c>
      <c r="BN23" s="45">
        <f>WORKDAY(BM23,2,BD$33:BD$43)</f>
        <v>42384</v>
      </c>
      <c r="BO23" s="59"/>
      <c r="BP23" s="60">
        <f>+BQ23-BM23</f>
        <v>29</v>
      </c>
      <c r="BQ23" s="46">
        <v>42411</v>
      </c>
      <c r="BR23" s="45">
        <f>WORKDAY(BQ23,2,BH$33:BH$43)</f>
        <v>42415</v>
      </c>
      <c r="BS23" s="59"/>
      <c r="BT23" s="60">
        <f>+BU23-BQ23</f>
        <v>32</v>
      </c>
      <c r="BU23" s="46">
        <v>42443</v>
      </c>
      <c r="BV23" s="45">
        <f>WORKDAY(BU23,2,BL$33:BL$43)</f>
        <v>42445</v>
      </c>
      <c r="BW23" s="59"/>
      <c r="BX23" s="60">
        <f>+BY23-BU23</f>
        <v>29</v>
      </c>
      <c r="BY23" s="46">
        <v>42472</v>
      </c>
      <c r="BZ23" s="45">
        <f t="shared" si="3"/>
        <v>42474</v>
      </c>
      <c r="CA23" s="59"/>
      <c r="CB23" s="60">
        <f>+CC23-BY23</f>
        <v>29</v>
      </c>
      <c r="CC23" s="46">
        <v>42501</v>
      </c>
      <c r="CD23" s="45">
        <f t="shared" si="4"/>
        <v>42503</v>
      </c>
      <c r="CE23" s="59"/>
      <c r="CF23" s="60">
        <f>+CG23-CC23</f>
        <v>33</v>
      </c>
      <c r="CG23" s="46">
        <v>42534</v>
      </c>
      <c r="CH23" s="45">
        <f>WORKDAY(CG23,2)</f>
        <v>42536</v>
      </c>
      <c r="CI23" s="59"/>
      <c r="CJ23" s="60">
        <f>+CK23-CG23</f>
        <v>30</v>
      </c>
      <c r="CK23" s="46">
        <v>42564</v>
      </c>
      <c r="CL23" s="45">
        <f>WORKDAY(CK23,2)</f>
        <v>42566</v>
      </c>
      <c r="CM23" s="59"/>
      <c r="CN23" s="60">
        <f>+CO23-CK23</f>
        <v>30</v>
      </c>
      <c r="CO23" s="46">
        <v>42594</v>
      </c>
      <c r="CP23" s="45">
        <f>WORKDAY(CO23,2)</f>
        <v>42598</v>
      </c>
      <c r="CQ23" s="59"/>
      <c r="CR23" s="60">
        <f>+CS23-CO23</f>
        <v>32</v>
      </c>
      <c r="CS23" s="46">
        <v>42626</v>
      </c>
      <c r="CT23" s="45">
        <f>WORKDAY(CS23,2)</f>
        <v>42628</v>
      </c>
      <c r="CU23" s="59"/>
      <c r="CV23" s="60">
        <f>+CW23-CS23</f>
        <v>29</v>
      </c>
      <c r="CW23" s="46">
        <v>42655</v>
      </c>
      <c r="CX23" s="45">
        <f>WORKDAY(CW23,2)</f>
        <v>42657</v>
      </c>
      <c r="CY23" s="59"/>
      <c r="CZ23" s="60">
        <f>+DA23-CW23</f>
        <v>30</v>
      </c>
      <c r="DA23" s="46">
        <v>42685</v>
      </c>
      <c r="DB23" s="45">
        <f>WORKDAY(DA23,2)</f>
        <v>42689</v>
      </c>
      <c r="DC23" s="59"/>
      <c r="DD23" s="60">
        <f>+DE23-DA23</f>
        <v>32</v>
      </c>
      <c r="DE23" s="46">
        <v>42717</v>
      </c>
      <c r="DF23" s="45">
        <f>WORKDAY(DE23,2)</f>
        <v>42719</v>
      </c>
      <c r="DG23" s="59"/>
      <c r="DH23" s="60">
        <f>+DI23-DE23</f>
        <v>31</v>
      </c>
      <c r="DI23" s="46">
        <v>42748</v>
      </c>
      <c r="DJ23" s="45">
        <f>WORKDAY(DI23,2)</f>
        <v>42752</v>
      </c>
      <c r="DK23" s="59"/>
      <c r="DL23" s="60">
        <f>+DM23-DI23</f>
        <v>31</v>
      </c>
      <c r="DM23" s="46">
        <v>42779</v>
      </c>
      <c r="DN23" s="45">
        <f>WORKDAY(DM23,2)</f>
        <v>42781</v>
      </c>
      <c r="DO23" s="59"/>
      <c r="DP23" s="60">
        <f>+DQ23-DM23</f>
        <v>29</v>
      </c>
      <c r="DQ23" s="46">
        <v>42808</v>
      </c>
      <c r="DR23" s="45">
        <f>WORKDAY(DQ23,2)</f>
        <v>42810</v>
      </c>
      <c r="DS23" s="59"/>
      <c r="DT23" s="60">
        <f>+DU23-DQ23</f>
        <v>729</v>
      </c>
      <c r="DU23" s="46">
        <v>43537</v>
      </c>
      <c r="DV23" s="45">
        <f>WORKDAY(DU23,2)</f>
        <v>43539</v>
      </c>
      <c r="DW23" s="59"/>
      <c r="DX23" s="60">
        <f>+DY23-DU23</f>
        <v>30</v>
      </c>
      <c r="DY23" s="46">
        <v>43567</v>
      </c>
      <c r="DZ23" s="45">
        <f>WORKDAY(DY23,2)</f>
        <v>43571</v>
      </c>
      <c r="EA23" s="59"/>
      <c r="EB23" s="60">
        <f>+EC23-DY23</f>
        <v>32</v>
      </c>
      <c r="EC23" s="46">
        <v>43599</v>
      </c>
      <c r="ED23" s="45">
        <f t="shared" si="5"/>
        <v>43601</v>
      </c>
      <c r="EE23" s="59"/>
      <c r="EF23" s="60">
        <f>+EG23-EC23</f>
        <v>30</v>
      </c>
      <c r="EG23" s="46">
        <v>43629</v>
      </c>
      <c r="EH23" s="45">
        <f>WORKDAY(EG23,2)</f>
        <v>43633</v>
      </c>
      <c r="EI23" s="59"/>
      <c r="EJ23" s="60">
        <f>+EK23-EG23</f>
        <v>32</v>
      </c>
      <c r="EK23" s="46">
        <v>43661</v>
      </c>
      <c r="EL23" s="45">
        <f>WORKDAY(EK23,2)</f>
        <v>43663</v>
      </c>
      <c r="EM23" s="59"/>
      <c r="EN23" s="60">
        <f>+EO23-EK23</f>
        <v>30</v>
      </c>
      <c r="EO23" s="46">
        <v>43691</v>
      </c>
      <c r="EP23" s="45">
        <f>WORKDAY(EO23,2)</f>
        <v>43693</v>
      </c>
      <c r="EQ23" s="59"/>
    </row>
    <row r="24" spans="1:147" x14ac:dyDescent="0.2">
      <c r="A24">
        <v>11</v>
      </c>
      <c r="C24" s="46"/>
      <c r="D24" s="45"/>
      <c r="F24" s="46"/>
      <c r="G24" s="45"/>
      <c r="I24" s="46"/>
      <c r="J24" s="45"/>
      <c r="L24" s="46"/>
      <c r="M24" s="45"/>
      <c r="O24" s="46"/>
      <c r="P24" s="45"/>
      <c r="R24" s="46"/>
      <c r="S24" s="45"/>
      <c r="U24" s="46"/>
      <c r="V24" s="45"/>
      <c r="X24" s="46"/>
      <c r="Y24" s="45"/>
      <c r="AA24" s="46"/>
      <c r="AB24" s="45"/>
      <c r="AD24" s="46"/>
      <c r="AE24" s="45"/>
      <c r="AG24" s="46"/>
      <c r="AH24" s="45"/>
      <c r="AJ24" s="58"/>
      <c r="AK24" s="46"/>
      <c r="AL24" s="45"/>
      <c r="AM24" s="59"/>
      <c r="AN24" s="60"/>
      <c r="AO24" s="46"/>
      <c r="AP24" s="45"/>
      <c r="AQ24" s="59"/>
      <c r="AR24" s="60"/>
      <c r="AS24" s="46">
        <v>42230</v>
      </c>
      <c r="AT24" s="45">
        <f>WORKDAY(AS24,2,AJ$33:AJ$43)</f>
        <v>42234</v>
      </c>
      <c r="AU24" s="59" t="str">
        <f>IF(AT24=AT11,"(d)")</f>
        <v>(d)</v>
      </c>
      <c r="AV24" s="60">
        <f>+AW24-AS24</f>
        <v>32</v>
      </c>
      <c r="AW24" s="46">
        <v>42262</v>
      </c>
      <c r="AX24" s="45">
        <f>WORKDAY(AW24,2,AN$33:AN$43)</f>
        <v>42264</v>
      </c>
      <c r="AY24" s="59" t="str">
        <f>IF(AX24=AX11,"(d)")</f>
        <v>(d)</v>
      </c>
      <c r="AZ24" s="60">
        <f>+BA24-AW24</f>
        <v>30</v>
      </c>
      <c r="BA24" s="46">
        <v>42292</v>
      </c>
      <c r="BB24" s="45">
        <f>WORKDAY(BA24,2,AR$33:AR$43)</f>
        <v>42296</v>
      </c>
      <c r="BC24" s="59" t="str">
        <f>IF(BB24=BB11,"(d)")</f>
        <v>(d)</v>
      </c>
      <c r="BD24" s="60">
        <f>+BE24-BA24</f>
        <v>28</v>
      </c>
      <c r="BE24" s="46">
        <v>42320</v>
      </c>
      <c r="BF24" s="45">
        <f>WORKDAY(BE24,2,AV$33:AV$43)</f>
        <v>42324</v>
      </c>
      <c r="BG24" s="59" t="str">
        <f>IF(BF24=BF11,"(d)")</f>
        <v>(d)</v>
      </c>
      <c r="BH24" s="60">
        <f>+BI24-BE24</f>
        <v>32</v>
      </c>
      <c r="BI24" s="46">
        <v>42352</v>
      </c>
      <c r="BJ24" s="45">
        <f>WORKDAY(BI24,2,AZ$33:AZ$43)</f>
        <v>42354</v>
      </c>
      <c r="BK24" s="59" t="str">
        <f>IF(BJ24=BJ11,"(d)")</f>
        <v>(d)</v>
      </c>
      <c r="BL24" s="60">
        <f>+BM24-BI24</f>
        <v>31</v>
      </c>
      <c r="BM24" s="46">
        <v>42383</v>
      </c>
      <c r="BN24" s="45">
        <f>WORKDAY(BM24,2,BD$33:BD$43)</f>
        <v>42387</v>
      </c>
      <c r="BO24" s="59" t="str">
        <f>IF(BN24=BN11,"(d)")</f>
        <v>(d)</v>
      </c>
      <c r="BP24" s="60">
        <f>+BQ24-BM24</f>
        <v>29</v>
      </c>
      <c r="BQ24" s="46">
        <v>42412</v>
      </c>
      <c r="BR24" s="45">
        <f>WORKDAY(BQ24,2,BH$33:BH$43)</f>
        <v>42416</v>
      </c>
      <c r="BS24" s="59" t="str">
        <f>IF(BR24=BR11,"(d)")</f>
        <v>(d)</v>
      </c>
      <c r="BT24" s="60">
        <f>+BU24-BQ24</f>
        <v>32</v>
      </c>
      <c r="BU24" s="46">
        <v>42444</v>
      </c>
      <c r="BV24" s="45">
        <f>WORKDAY(BU24,2,BL$33:BL$43)</f>
        <v>42446</v>
      </c>
      <c r="BW24" s="59" t="str">
        <f>IF(BV24=BV11,"(d)")</f>
        <v>(d)</v>
      </c>
      <c r="BX24" s="60">
        <f>+BY24-BU24</f>
        <v>29</v>
      </c>
      <c r="BY24" s="46">
        <v>42473</v>
      </c>
      <c r="BZ24" s="45">
        <f t="shared" si="3"/>
        <v>42475</v>
      </c>
      <c r="CA24" s="59" t="str">
        <f>IF(BZ24=BZ11,"(d)")</f>
        <v>(d)</v>
      </c>
      <c r="CB24" s="60">
        <f>+CC24-BY24</f>
        <v>30</v>
      </c>
      <c r="CC24" s="46">
        <v>42503</v>
      </c>
      <c r="CD24" s="45">
        <f t="shared" si="4"/>
        <v>42507</v>
      </c>
      <c r="CE24" s="59" t="str">
        <f>IF(CD24=CD11,"(d)")</f>
        <v>(d)</v>
      </c>
      <c r="CF24" s="60">
        <f>+CG24-CC24</f>
        <v>32</v>
      </c>
      <c r="CG24" s="46">
        <v>42535</v>
      </c>
      <c r="CH24" s="45">
        <f>WORKDAY(CG24,2)</f>
        <v>42537</v>
      </c>
      <c r="CI24" s="59" t="str">
        <f>IF(CH24=CH11,"(d)")</f>
        <v>(d)</v>
      </c>
      <c r="CJ24" s="60">
        <f>+CK24-CG24</f>
        <v>30</v>
      </c>
      <c r="CK24" s="46">
        <v>42565</v>
      </c>
      <c r="CL24" s="45">
        <f>WORKDAY(CK24,2)</f>
        <v>42569</v>
      </c>
      <c r="CM24" s="59" t="str">
        <f>IF(CL24=CL11,"(d)")</f>
        <v>(d)</v>
      </c>
      <c r="CN24" s="60">
        <f>+CO24-CK24</f>
        <v>32</v>
      </c>
      <c r="CO24" s="46">
        <v>42597</v>
      </c>
      <c r="CP24" s="45">
        <f>WORKDAY(CO24,2)</f>
        <v>42599</v>
      </c>
      <c r="CQ24" s="59" t="str">
        <f>IF(CP24=CP11,"(d)")</f>
        <v>(d)</v>
      </c>
      <c r="CR24" s="60">
        <f>+CS24-CO24</f>
        <v>30</v>
      </c>
      <c r="CS24" s="46">
        <v>42627</v>
      </c>
      <c r="CT24" s="45">
        <f>WORKDAY(CS24,2)</f>
        <v>42629</v>
      </c>
      <c r="CU24" s="59" t="str">
        <f>IF(CT24=CT11,"(d)")</f>
        <v>(d)</v>
      </c>
      <c r="CV24" s="60">
        <f>+CW24-CS24</f>
        <v>29</v>
      </c>
      <c r="CW24" s="46">
        <v>42656</v>
      </c>
      <c r="CX24" s="45">
        <f>WORKDAY(CW24,2)</f>
        <v>42660</v>
      </c>
      <c r="CY24" s="59" t="str">
        <f>IF(CX24=CX11,"(d)")</f>
        <v>(d)</v>
      </c>
      <c r="CZ24" s="60">
        <f>+DA24-CW24</f>
        <v>32</v>
      </c>
      <c r="DA24" s="46">
        <v>42688</v>
      </c>
      <c r="DB24" s="45">
        <f>WORKDAY(DA24,2)</f>
        <v>42690</v>
      </c>
      <c r="DC24" s="59" t="str">
        <f>IF(DB24=DB11,"(d)")</f>
        <v>(d)</v>
      </c>
      <c r="DD24" s="60">
        <f>+DE24-DA24</f>
        <v>30</v>
      </c>
      <c r="DE24" s="46">
        <v>42718</v>
      </c>
      <c r="DF24" s="45">
        <f>WORKDAY(DE24,2)</f>
        <v>42720</v>
      </c>
      <c r="DG24" s="59" t="str">
        <f>IF(DF24=DF11,"(d)")</f>
        <v>(d)</v>
      </c>
      <c r="DH24" s="60">
        <f>+DI24-DE24</f>
        <v>34</v>
      </c>
      <c r="DI24" s="46">
        <v>42752</v>
      </c>
      <c r="DJ24" s="45">
        <f>WORKDAY(DI24,2)</f>
        <v>42754</v>
      </c>
      <c r="DK24" s="59" t="str">
        <f>IF(DJ24=DJ11,"(d)")</f>
        <v>(d)</v>
      </c>
      <c r="DL24" s="60">
        <f>+DM24-DI24</f>
        <v>28</v>
      </c>
      <c r="DM24" s="46">
        <v>42780</v>
      </c>
      <c r="DN24" s="45">
        <f>WORKDAY(DM24,2)</f>
        <v>42782</v>
      </c>
      <c r="DO24" s="59" t="str">
        <f>IF(DN24=DN11,"(d)")</f>
        <v>(d)</v>
      </c>
      <c r="DP24" s="60">
        <f>+DQ24-DM24</f>
        <v>29</v>
      </c>
      <c r="DQ24" s="46">
        <v>42809</v>
      </c>
      <c r="DR24" s="45">
        <f>WORKDAY(DQ24,2)</f>
        <v>42811</v>
      </c>
      <c r="DS24" s="59" t="str">
        <f>IF(DR24=DR11,"(d)")</f>
        <v>(d)</v>
      </c>
      <c r="DT24" s="60">
        <f>+DU24-DQ24</f>
        <v>729</v>
      </c>
      <c r="DU24" s="46">
        <v>43538</v>
      </c>
      <c r="DV24" s="45">
        <f>WORKDAY(DU24,2)</f>
        <v>43542</v>
      </c>
      <c r="DW24" s="59" t="b">
        <f>IF(DV24=DV11,"(d)")</f>
        <v>0</v>
      </c>
      <c r="DX24" s="60">
        <f>+DY24-DU24</f>
        <v>32</v>
      </c>
      <c r="DY24" s="46">
        <v>43570</v>
      </c>
      <c r="DZ24" s="45">
        <f>WORKDAY(DY24,2)</f>
        <v>43572</v>
      </c>
      <c r="EA24" s="59" t="str">
        <f>IF(DZ24=DZ11,"(d)")</f>
        <v>(d)</v>
      </c>
      <c r="EB24" s="60">
        <f>+EC24-DY24</f>
        <v>30</v>
      </c>
      <c r="EC24" s="46">
        <v>43600</v>
      </c>
      <c r="ED24" s="45">
        <f t="shared" si="5"/>
        <v>43602</v>
      </c>
      <c r="EE24" s="59" t="str">
        <f>IF(ED24=ED11,"(d)")</f>
        <v>(d)</v>
      </c>
      <c r="EF24" s="60">
        <f>+EG24-EC24</f>
        <v>30</v>
      </c>
      <c r="EG24" s="46">
        <v>43630</v>
      </c>
      <c r="EH24" s="45">
        <f>WORKDAY(EG24,2)</f>
        <v>43634</v>
      </c>
      <c r="EI24" s="59" t="str">
        <f>IF(EH24=EH11,"(d)")</f>
        <v>(d)</v>
      </c>
      <c r="EJ24" s="60">
        <f>+EK24-EG24</f>
        <v>32</v>
      </c>
      <c r="EK24" s="46">
        <v>43662</v>
      </c>
      <c r="EL24" s="45">
        <f>WORKDAY(EK24,2)</f>
        <v>43664</v>
      </c>
      <c r="EM24" s="59" t="str">
        <f>IF(EL24=EL11,"(d)")</f>
        <v>(d)</v>
      </c>
      <c r="EN24" s="60">
        <f>+EO24-EK24</f>
        <v>30</v>
      </c>
      <c r="EO24" s="46">
        <v>43692</v>
      </c>
      <c r="EP24" s="45">
        <f>WORKDAY(EO24,2)</f>
        <v>43696</v>
      </c>
      <c r="EQ24" s="59" t="str">
        <f>IF(EP24=EP11,"(d)")</f>
        <v>(d)</v>
      </c>
    </row>
    <row r="25" spans="1:147" x14ac:dyDescent="0.2">
      <c r="C25" s="46"/>
      <c r="D25" s="45"/>
      <c r="F25" s="46"/>
      <c r="G25" s="45"/>
      <c r="I25" s="46"/>
      <c r="J25" s="45"/>
      <c r="L25" s="46"/>
      <c r="M25" s="45"/>
      <c r="O25" s="46"/>
      <c r="P25" s="45"/>
      <c r="R25" s="46"/>
      <c r="S25" s="45"/>
      <c r="U25" s="46"/>
      <c r="V25" s="45"/>
      <c r="X25" s="46"/>
      <c r="Y25" s="45"/>
      <c r="AA25" s="46"/>
      <c r="AB25" s="45"/>
      <c r="AD25" s="46"/>
      <c r="AE25" s="45"/>
      <c r="AG25" s="46"/>
      <c r="AH25" s="45"/>
      <c r="AJ25" s="58"/>
      <c r="AK25" s="46"/>
      <c r="AL25" s="45"/>
      <c r="AM25" s="59"/>
      <c r="AN25" s="60"/>
      <c r="AO25" s="46"/>
      <c r="AP25" s="45"/>
      <c r="AQ25" s="59"/>
      <c r="AR25" s="60"/>
      <c r="AS25" s="46"/>
      <c r="AT25" s="45"/>
      <c r="AU25" s="59"/>
      <c r="AV25" s="60"/>
      <c r="AW25" s="46"/>
      <c r="AX25" s="45"/>
      <c r="AY25" s="59"/>
      <c r="AZ25" s="60"/>
      <c r="BA25" s="46"/>
      <c r="BB25" s="45"/>
      <c r="BC25" s="59"/>
      <c r="BD25" s="60"/>
      <c r="BE25" s="46"/>
      <c r="BF25" s="45"/>
      <c r="BG25" s="59"/>
      <c r="BH25" s="60"/>
      <c r="BI25" s="46"/>
      <c r="BJ25" s="45"/>
      <c r="BK25" s="59"/>
      <c r="BL25" s="60"/>
      <c r="BM25" s="46"/>
      <c r="BN25" s="45"/>
      <c r="BO25" s="59"/>
      <c r="BP25" s="60"/>
      <c r="BQ25" s="46"/>
      <c r="BR25" s="45"/>
      <c r="BS25" s="59"/>
      <c r="BT25" s="60"/>
      <c r="BU25" s="46"/>
      <c r="BV25" s="45"/>
      <c r="BW25" s="59"/>
      <c r="BX25" s="60"/>
      <c r="BY25" s="46"/>
      <c r="BZ25" s="45"/>
      <c r="CA25" s="59"/>
      <c r="CB25" s="60"/>
      <c r="CC25" s="46"/>
      <c r="CD25" s="45"/>
      <c r="CE25" s="59"/>
      <c r="CF25" s="60"/>
      <c r="CG25" s="46"/>
      <c r="CH25" s="45"/>
      <c r="CI25" s="59"/>
      <c r="CJ25" s="60"/>
      <c r="CK25" s="46"/>
      <c r="CL25" s="45"/>
      <c r="CM25" s="59"/>
      <c r="CN25" s="60"/>
      <c r="CO25" s="46"/>
      <c r="CP25" s="45"/>
      <c r="CQ25" s="59"/>
      <c r="CR25" s="60"/>
      <c r="CS25" s="46"/>
      <c r="CT25" s="45"/>
      <c r="CU25" s="59"/>
      <c r="CV25" s="60"/>
      <c r="CW25" s="46"/>
      <c r="CX25" s="45"/>
      <c r="CY25" s="59"/>
      <c r="CZ25" s="60"/>
      <c r="DA25" s="46"/>
      <c r="DB25" s="45"/>
      <c r="DC25" s="59"/>
      <c r="DD25" s="60"/>
      <c r="DE25" s="46"/>
      <c r="DF25" s="45"/>
      <c r="DG25" s="59"/>
      <c r="DH25" s="60"/>
      <c r="DI25" s="46"/>
      <c r="DJ25" s="45"/>
      <c r="DK25" s="59"/>
      <c r="DL25" s="60"/>
      <c r="DM25" s="46"/>
      <c r="DN25" s="45"/>
      <c r="DO25" s="59"/>
      <c r="DP25" s="60"/>
      <c r="DQ25" s="46"/>
      <c r="DR25" s="45"/>
      <c r="DS25" s="59"/>
      <c r="DT25" s="60"/>
      <c r="DU25" s="46"/>
      <c r="DV25" s="45"/>
      <c r="DW25" s="59"/>
      <c r="DX25" s="60"/>
      <c r="DY25" s="46"/>
      <c r="DZ25" s="45"/>
      <c r="EA25" s="59"/>
      <c r="EB25" s="60"/>
      <c r="EC25" s="46"/>
      <c r="ED25" s="45">
        <f t="shared" si="5"/>
        <v>3</v>
      </c>
      <c r="EE25" s="59"/>
      <c r="EF25" s="60"/>
      <c r="EG25" s="46"/>
      <c r="EH25" s="45"/>
      <c r="EI25" s="59"/>
      <c r="EJ25" s="60"/>
      <c r="EK25" s="46"/>
      <c r="EL25" s="45"/>
      <c r="EM25" s="59"/>
      <c r="EN25" s="60"/>
      <c r="EO25" s="46"/>
      <c r="EP25" s="45"/>
      <c r="EQ25" s="59"/>
    </row>
    <row r="26" spans="1:147" x14ac:dyDescent="0.2">
      <c r="A26">
        <v>15</v>
      </c>
      <c r="C26" s="46"/>
      <c r="D26" s="45"/>
      <c r="F26" s="46"/>
      <c r="G26" s="45"/>
      <c r="I26" s="46"/>
      <c r="J26" s="45"/>
      <c r="L26" s="46"/>
      <c r="M26" s="45"/>
      <c r="O26" s="46"/>
      <c r="P26" s="45"/>
      <c r="R26" s="46"/>
      <c r="S26" s="45"/>
      <c r="U26" s="46"/>
      <c r="V26" s="45"/>
      <c r="X26" s="46"/>
      <c r="Y26" s="45"/>
      <c r="AA26" s="46"/>
      <c r="AB26" s="45"/>
      <c r="AD26" s="46"/>
      <c r="AE26" s="45"/>
      <c r="AG26" s="46"/>
      <c r="AH26" s="45"/>
      <c r="AJ26" s="58"/>
      <c r="AK26" s="46"/>
      <c r="AL26" s="45"/>
      <c r="AM26" s="59"/>
      <c r="AN26" s="60"/>
      <c r="AO26" s="46"/>
      <c r="AP26" s="45"/>
      <c r="AQ26" s="59"/>
      <c r="AR26" s="60"/>
      <c r="AS26" s="46">
        <v>42237</v>
      </c>
      <c r="AT26" s="45">
        <f>WORKDAY(AS26,2,AJ$33:AJ$43)</f>
        <v>42241</v>
      </c>
      <c r="AU26" s="59"/>
      <c r="AV26" s="60">
        <f>+AW26-AS26</f>
        <v>31</v>
      </c>
      <c r="AW26" s="46">
        <v>42268</v>
      </c>
      <c r="AX26" s="45">
        <f>WORKDAY(AW26,2,AN$33:AN$43)</f>
        <v>42270</v>
      </c>
      <c r="AY26" s="59"/>
      <c r="AZ26" s="60">
        <f>+BA26-AW26</f>
        <v>30</v>
      </c>
      <c r="BA26" s="46">
        <v>42298</v>
      </c>
      <c r="BB26" s="45">
        <f>WORKDAY(BA26,2,AR$33:AR$43)</f>
        <v>42300</v>
      </c>
      <c r="BC26" s="59"/>
      <c r="BD26" s="60">
        <f>+BE26-BA26</f>
        <v>28</v>
      </c>
      <c r="BE26" s="46">
        <v>42326</v>
      </c>
      <c r="BF26" s="45">
        <f>WORKDAY(BE26,2,AV$33:AV$43)</f>
        <v>42328</v>
      </c>
      <c r="BG26" s="59"/>
      <c r="BH26" s="60">
        <f>+BI26-BE26</f>
        <v>30</v>
      </c>
      <c r="BI26" s="46">
        <v>42356</v>
      </c>
      <c r="BJ26" s="45">
        <f>WORKDAY(BI26,2,AZ$33:AZ$43)</f>
        <v>42360</v>
      </c>
      <c r="BK26" s="59"/>
      <c r="BL26" s="60">
        <f>+BM26-BI26</f>
        <v>34</v>
      </c>
      <c r="BM26" s="46">
        <v>42390</v>
      </c>
      <c r="BN26" s="45">
        <f>WORKDAY(BM26,2,BD$33:BD$43)</f>
        <v>42394</v>
      </c>
      <c r="BO26" s="59"/>
      <c r="BP26" s="60">
        <f>+BQ26-BM26</f>
        <v>29</v>
      </c>
      <c r="BQ26" s="46">
        <v>42419</v>
      </c>
      <c r="BR26" s="45">
        <f>WORKDAY(BQ26,2,BH$33:BH$43)</f>
        <v>42423</v>
      </c>
      <c r="BS26" s="59"/>
      <c r="BT26" s="60">
        <f>+BU26-BQ26</f>
        <v>31</v>
      </c>
      <c r="BU26" s="46">
        <v>42450</v>
      </c>
      <c r="BV26" s="45">
        <f>WORKDAY(BU26,2,BL$33:BL$43)</f>
        <v>42452</v>
      </c>
      <c r="BW26" s="59"/>
      <c r="BX26" s="60">
        <f>+BY26-BU26</f>
        <v>29</v>
      </c>
      <c r="BY26" s="46">
        <v>42479</v>
      </c>
      <c r="BZ26" s="45">
        <f t="shared" si="3"/>
        <v>42481</v>
      </c>
      <c r="CA26" s="59"/>
      <c r="CB26" s="60">
        <f>+CC26-BY26</f>
        <v>31</v>
      </c>
      <c r="CC26" s="46">
        <v>42510</v>
      </c>
      <c r="CD26" s="45">
        <f t="shared" si="4"/>
        <v>42514</v>
      </c>
      <c r="CE26" s="59"/>
      <c r="CF26" s="60">
        <f>+CG26-CC26</f>
        <v>31</v>
      </c>
      <c r="CG26" s="46">
        <v>42541</v>
      </c>
      <c r="CH26" s="45">
        <f>WORKDAY(CG26,2)</f>
        <v>42543</v>
      </c>
      <c r="CI26" s="59"/>
      <c r="CJ26" s="60">
        <f>+CK26-CG26</f>
        <v>30</v>
      </c>
      <c r="CK26" s="46">
        <v>42571</v>
      </c>
      <c r="CL26" s="45">
        <f>WORKDAY(CK26,2)</f>
        <v>42573</v>
      </c>
      <c r="CM26" s="59"/>
      <c r="CN26" s="60">
        <f>+CO26-CK26</f>
        <v>30</v>
      </c>
      <c r="CO26" s="46">
        <v>42601</v>
      </c>
      <c r="CP26" s="45">
        <f>WORKDAY(CO26,2)</f>
        <v>42605</v>
      </c>
      <c r="CQ26" s="59"/>
      <c r="CR26" s="60">
        <f>+CS26-CO26</f>
        <v>32</v>
      </c>
      <c r="CS26" s="46">
        <v>42633</v>
      </c>
      <c r="CT26" s="45">
        <f>WORKDAY(CS26,2)</f>
        <v>42635</v>
      </c>
      <c r="CU26" s="59"/>
      <c r="CV26" s="60">
        <f>+CW26-CS26</f>
        <v>29</v>
      </c>
      <c r="CW26" s="46">
        <v>42662</v>
      </c>
      <c r="CX26" s="45">
        <f>WORKDAY(CW26,2)</f>
        <v>42664</v>
      </c>
      <c r="CY26" s="59"/>
      <c r="CZ26" s="60">
        <f>+DA26-CW26</f>
        <v>30</v>
      </c>
      <c r="DA26" s="46">
        <v>42692</v>
      </c>
      <c r="DB26" s="45">
        <f>WORKDAY(DA26,2)</f>
        <v>42696</v>
      </c>
      <c r="DC26" s="59"/>
      <c r="DD26" s="60">
        <f>+DE26-DA26</f>
        <v>32</v>
      </c>
      <c r="DE26" s="46">
        <v>42724</v>
      </c>
      <c r="DF26" s="45">
        <f>WORKDAY(DE26,2)</f>
        <v>42726</v>
      </c>
      <c r="DG26" s="59"/>
      <c r="DH26" s="60">
        <f>+DI26-DE26</f>
        <v>34</v>
      </c>
      <c r="DI26" s="46">
        <v>42758</v>
      </c>
      <c r="DJ26" s="45">
        <f>WORKDAY(DI26,2)</f>
        <v>42760</v>
      </c>
      <c r="DK26" s="59"/>
      <c r="DL26" s="60">
        <f>+DM26-DI26</f>
        <v>28</v>
      </c>
      <c r="DM26" s="46">
        <v>42786</v>
      </c>
      <c r="DN26" s="45">
        <f>WORKDAY(DM26,2)</f>
        <v>42788</v>
      </c>
      <c r="DO26" s="59"/>
      <c r="DP26" s="60">
        <f>+DQ26-DM26</f>
        <v>29</v>
      </c>
      <c r="DQ26" s="46">
        <v>42815</v>
      </c>
      <c r="DR26" s="45">
        <f>WORKDAY(DQ26,2)</f>
        <v>42817</v>
      </c>
      <c r="DS26" s="59"/>
      <c r="DT26" s="60">
        <f>+DU26-DQ26</f>
        <v>729</v>
      </c>
      <c r="DU26" s="46">
        <v>43544</v>
      </c>
      <c r="DV26" s="45">
        <f>WORKDAY(DU26,2)</f>
        <v>43546</v>
      </c>
      <c r="DW26" s="59"/>
      <c r="DX26" s="60">
        <f>+DY26-DU26</f>
        <v>33</v>
      </c>
      <c r="DY26" s="46">
        <v>43577</v>
      </c>
      <c r="DZ26" s="45">
        <f>WORKDAY(DY26,2)</f>
        <v>43579</v>
      </c>
      <c r="EA26" s="59"/>
      <c r="EB26" s="60">
        <f>+EC26-DY26</f>
        <v>29</v>
      </c>
      <c r="EC26" s="46">
        <v>43606</v>
      </c>
      <c r="ED26" s="45">
        <f t="shared" si="5"/>
        <v>43608</v>
      </c>
      <c r="EE26" s="59"/>
      <c r="EF26" s="60">
        <f>+EG26-EC26</f>
        <v>30</v>
      </c>
      <c r="EG26" s="46">
        <v>43636</v>
      </c>
      <c r="EH26" s="45">
        <f>WORKDAY(EG26,2)</f>
        <v>43640</v>
      </c>
      <c r="EI26" s="59"/>
      <c r="EJ26" s="60">
        <f>+EK26-EG26</f>
        <v>32</v>
      </c>
      <c r="EK26" s="46">
        <v>43668</v>
      </c>
      <c r="EL26" s="45">
        <f>WORKDAY(EK26,2)</f>
        <v>43670</v>
      </c>
      <c r="EM26" s="59"/>
      <c r="EN26" s="60">
        <f>+EO26-EK26</f>
        <v>30</v>
      </c>
      <c r="EO26" s="46">
        <v>43698</v>
      </c>
      <c r="EP26" s="45">
        <f>WORKDAY(EO26,2)</f>
        <v>43700</v>
      </c>
      <c r="EQ26" s="59"/>
    </row>
    <row r="27" spans="1:147" x14ac:dyDescent="0.2">
      <c r="A27">
        <v>17</v>
      </c>
      <c r="C27" s="46"/>
      <c r="D27" s="45"/>
      <c r="F27" s="46"/>
      <c r="G27" s="45"/>
      <c r="I27" s="46"/>
      <c r="J27" s="45"/>
      <c r="L27" s="46"/>
      <c r="M27" s="45"/>
      <c r="O27" s="46"/>
      <c r="P27" s="45"/>
      <c r="R27" s="46"/>
      <c r="S27" s="45"/>
      <c r="U27" s="46"/>
      <c r="V27" s="45"/>
      <c r="X27" s="46"/>
      <c r="Y27" s="45"/>
      <c r="AA27" s="46"/>
      <c r="AB27" s="45"/>
      <c r="AD27" s="46"/>
      <c r="AE27" s="45"/>
      <c r="AG27" s="46"/>
      <c r="AH27" s="45"/>
      <c r="AJ27" s="58"/>
      <c r="AK27" s="46"/>
      <c r="AL27" s="45"/>
      <c r="AM27" s="59"/>
      <c r="AN27" s="60"/>
      <c r="AO27" s="46"/>
      <c r="AP27" s="45"/>
      <c r="AQ27" s="59"/>
      <c r="AR27" s="60"/>
      <c r="AS27" s="46">
        <v>42241</v>
      </c>
      <c r="AT27" s="45">
        <f>WORKDAY(AS27,2,AJ$33:AJ$43)</f>
        <v>42243</v>
      </c>
      <c r="AU27" s="59"/>
      <c r="AV27" s="60">
        <f>+AW27-AS27</f>
        <v>29</v>
      </c>
      <c r="AW27" s="46">
        <v>42270</v>
      </c>
      <c r="AX27" s="45">
        <f>WORKDAY(AW27,2,AN$33:AN$43)</f>
        <v>42272</v>
      </c>
      <c r="AY27" s="59"/>
      <c r="AZ27" s="60">
        <f>+BA27-AW27</f>
        <v>30</v>
      </c>
      <c r="BA27" s="46">
        <v>42300</v>
      </c>
      <c r="BB27" s="45">
        <f>WORKDAY(BA27,2,AR$33:AR$43)</f>
        <v>42304</v>
      </c>
      <c r="BC27" s="59"/>
      <c r="BD27" s="60">
        <f>+BE27-BA27</f>
        <v>28</v>
      </c>
      <c r="BE27" s="46">
        <v>42328</v>
      </c>
      <c r="BF27" s="45">
        <f>WORKDAY(BE27,2,AV$33:AV$43)</f>
        <v>42332</v>
      </c>
      <c r="BG27" s="59"/>
      <c r="BH27" s="60">
        <f>+BI27-BE27</f>
        <v>32</v>
      </c>
      <c r="BI27" s="46">
        <v>42360</v>
      </c>
      <c r="BJ27" s="45">
        <f>WORKDAY(BI27,2,AZ$33:AZ$43)</f>
        <v>42362</v>
      </c>
      <c r="BK27" s="59"/>
      <c r="BL27" s="60">
        <f>+BM27-BI27</f>
        <v>34</v>
      </c>
      <c r="BM27" s="46">
        <v>42394</v>
      </c>
      <c r="BN27" s="45">
        <f>WORKDAY(BM27,2,BD$33:BD$43)</f>
        <v>42396</v>
      </c>
      <c r="BO27" s="59"/>
      <c r="BP27" s="60">
        <f>+BQ27-BM27</f>
        <v>29</v>
      </c>
      <c r="BQ27" s="46">
        <v>42423</v>
      </c>
      <c r="BR27" s="45">
        <f>WORKDAY(BQ27,2,BH$33:BH$43)</f>
        <v>42425</v>
      </c>
      <c r="BS27" s="59"/>
      <c r="BT27" s="60">
        <f>+BU27-BQ27</f>
        <v>29</v>
      </c>
      <c r="BU27" s="46">
        <v>42452</v>
      </c>
      <c r="BV27" s="45">
        <f>WORKDAY(BU27,2,BL$33:BL$43)</f>
        <v>42454</v>
      </c>
      <c r="BW27" s="59"/>
      <c r="BX27" s="60">
        <f>+BY27-BU27</f>
        <v>30</v>
      </c>
      <c r="BY27" s="46">
        <v>42482</v>
      </c>
      <c r="BZ27" s="45">
        <f t="shared" si="3"/>
        <v>42486</v>
      </c>
      <c r="CA27" s="59"/>
      <c r="CB27" s="60">
        <f>+CC27-BY27</f>
        <v>32</v>
      </c>
      <c r="CC27" s="46">
        <v>42514</v>
      </c>
      <c r="CD27" s="45">
        <f t="shared" si="4"/>
        <v>42516</v>
      </c>
      <c r="CE27" s="59"/>
      <c r="CF27" s="60">
        <f>+CG27-CC27</f>
        <v>29</v>
      </c>
      <c r="CG27" s="46">
        <v>42543</v>
      </c>
      <c r="CH27" s="45">
        <f>WORKDAY(CG27,2)</f>
        <v>42545</v>
      </c>
      <c r="CI27" s="59"/>
      <c r="CJ27" s="60">
        <f>+CK27-CG27</f>
        <v>33</v>
      </c>
      <c r="CK27" s="46">
        <v>42576</v>
      </c>
      <c r="CL27" s="45">
        <f>WORKDAY(CK27,2)</f>
        <v>42578</v>
      </c>
      <c r="CM27" s="59"/>
      <c r="CN27" s="60">
        <f>+CO27-CK27</f>
        <v>29</v>
      </c>
      <c r="CO27" s="46">
        <v>42605</v>
      </c>
      <c r="CP27" s="45">
        <f>WORKDAY(CO27,2)</f>
        <v>42607</v>
      </c>
      <c r="CQ27" s="59"/>
      <c r="CR27" s="60">
        <f>+CS27-CO27</f>
        <v>31</v>
      </c>
      <c r="CS27" s="46">
        <v>42636</v>
      </c>
      <c r="CT27" s="45">
        <f>WORKDAY(CS27,2)</f>
        <v>42640</v>
      </c>
      <c r="CU27" s="59"/>
      <c r="CV27" s="60">
        <f>+CW27-CS27</f>
        <v>31</v>
      </c>
      <c r="CW27" s="46">
        <v>42667</v>
      </c>
      <c r="CX27" s="45">
        <f>WORKDAY(CW27,2)</f>
        <v>42669</v>
      </c>
      <c r="CY27" s="59"/>
      <c r="CZ27" s="60">
        <f>+DA27-CW27</f>
        <v>29</v>
      </c>
      <c r="DA27" s="46">
        <v>42696</v>
      </c>
      <c r="DB27" s="45">
        <f>WORKDAY(DA27,2)</f>
        <v>42698</v>
      </c>
      <c r="DC27" s="59"/>
      <c r="DD27" s="60">
        <f>+DE27-DA27</f>
        <v>30</v>
      </c>
      <c r="DE27" s="46">
        <v>42726</v>
      </c>
      <c r="DF27" s="45">
        <f>WORKDAY(DE27,2)</f>
        <v>42730</v>
      </c>
      <c r="DG27" s="59"/>
      <c r="DH27" s="60">
        <f>+DI27-DE27</f>
        <v>34</v>
      </c>
      <c r="DI27" s="46">
        <v>42760</v>
      </c>
      <c r="DJ27" s="45">
        <f>WORKDAY(DI27,2)</f>
        <v>42762</v>
      </c>
      <c r="DK27" s="59"/>
      <c r="DL27" s="60">
        <f>+DM27-DI27</f>
        <v>28</v>
      </c>
      <c r="DM27" s="46">
        <v>42788</v>
      </c>
      <c r="DN27" s="45">
        <f>WORKDAY(DM27,2)</f>
        <v>42790</v>
      </c>
      <c r="DO27" s="59"/>
      <c r="DP27" s="60">
        <f>+DQ27-DM27</f>
        <v>30</v>
      </c>
      <c r="DQ27" s="46">
        <v>42818</v>
      </c>
      <c r="DR27" s="45">
        <f>WORKDAY(DQ27,2)</f>
        <v>42822</v>
      </c>
      <c r="DS27" s="59"/>
      <c r="DT27" s="60">
        <f>+DU27-DQ27</f>
        <v>731</v>
      </c>
      <c r="DU27" s="46">
        <v>43549</v>
      </c>
      <c r="DV27" s="45">
        <f>WORKDAY(DU27,2)</f>
        <v>43551</v>
      </c>
      <c r="DW27" s="59"/>
      <c r="DX27" s="60">
        <f>+DY27-DU27</f>
        <v>30</v>
      </c>
      <c r="DY27" s="46">
        <v>43579</v>
      </c>
      <c r="DZ27" s="45">
        <f>WORKDAY(DY27,2)</f>
        <v>43581</v>
      </c>
      <c r="EA27" s="59"/>
      <c r="EB27" s="60">
        <f>+EC27-DY27</f>
        <v>30</v>
      </c>
      <c r="EC27" s="46">
        <v>43609</v>
      </c>
      <c r="ED27" s="45">
        <f t="shared" si="5"/>
        <v>43613</v>
      </c>
      <c r="EE27" s="59"/>
      <c r="EF27" s="60">
        <f>+EG27-EC27</f>
        <v>31</v>
      </c>
      <c r="EG27" s="46">
        <v>43640</v>
      </c>
      <c r="EH27" s="45">
        <f>WORKDAY(EG27,2)</f>
        <v>43642</v>
      </c>
      <c r="EI27" s="59"/>
      <c r="EJ27" s="60">
        <f>+EK27-EG27</f>
        <v>30</v>
      </c>
      <c r="EK27" s="46">
        <v>43670</v>
      </c>
      <c r="EL27" s="45">
        <f>WORKDAY(EK27,2)</f>
        <v>43672</v>
      </c>
      <c r="EM27" s="59"/>
      <c r="EN27" s="60">
        <f>+EO27-EK27</f>
        <v>33</v>
      </c>
      <c r="EO27" s="46">
        <v>43703</v>
      </c>
      <c r="EP27" s="45">
        <f>WORKDAY(EO27,2)</f>
        <v>43705</v>
      </c>
      <c r="EQ27" s="59"/>
    </row>
    <row r="28" spans="1:147" x14ac:dyDescent="0.2">
      <c r="AJ28" s="58"/>
      <c r="AM28" s="59"/>
      <c r="AN28" s="60"/>
      <c r="AQ28" s="59"/>
      <c r="AR28" s="60"/>
      <c r="AU28" s="59"/>
      <c r="AV28" s="60"/>
      <c r="AY28" s="59"/>
      <c r="AZ28" s="60"/>
      <c r="BC28" s="59"/>
      <c r="BD28" s="60"/>
      <c r="BG28" s="59"/>
      <c r="BH28" s="60"/>
      <c r="BK28" s="59"/>
      <c r="BL28" s="60"/>
      <c r="BO28" s="59"/>
      <c r="BP28" s="60"/>
      <c r="BS28" s="59"/>
      <c r="BT28" s="60"/>
      <c r="BW28" s="59"/>
      <c r="BX28" s="60"/>
      <c r="BZ28" s="45"/>
      <c r="CA28" s="59"/>
      <c r="CB28" s="60"/>
      <c r="CD28" s="45"/>
      <c r="CE28" s="59"/>
      <c r="CF28" s="60"/>
      <c r="CH28" s="45"/>
      <c r="CI28" s="59"/>
      <c r="CJ28" s="60"/>
      <c r="CL28" s="45"/>
      <c r="CM28" s="59"/>
      <c r="CN28" s="60"/>
      <c r="CP28" s="45"/>
      <c r="CQ28" s="59"/>
      <c r="CR28" s="60"/>
      <c r="CT28" s="45"/>
      <c r="CU28" s="59"/>
      <c r="CV28" s="60"/>
      <c r="CX28" s="45"/>
      <c r="CY28" s="59"/>
      <c r="CZ28" s="60"/>
      <c r="DB28" s="45"/>
      <c r="DC28" s="59"/>
      <c r="DD28" s="60"/>
      <c r="DF28" s="45"/>
      <c r="DG28" s="59"/>
      <c r="DH28" s="60"/>
      <c r="DJ28" s="45"/>
      <c r="DK28" s="59"/>
      <c r="DL28" s="60"/>
      <c r="DN28" s="45"/>
      <c r="DO28" s="59"/>
      <c r="DP28" s="60"/>
      <c r="DR28" s="45"/>
      <c r="DS28" s="59"/>
      <c r="DT28" s="60"/>
      <c r="DV28" s="45"/>
      <c r="DW28" s="59"/>
      <c r="DX28" s="60"/>
      <c r="DZ28" s="45"/>
      <c r="EA28" s="59"/>
      <c r="EB28" s="60"/>
      <c r="ED28" s="45"/>
      <c r="EE28" s="59"/>
      <c r="EF28" s="60"/>
      <c r="EH28" s="45"/>
      <c r="EI28" s="59"/>
      <c r="EJ28" s="60"/>
      <c r="EL28" s="45"/>
      <c r="EM28" s="59"/>
      <c r="EN28" s="60"/>
      <c r="EP28" s="45"/>
      <c r="EQ28" s="59"/>
    </row>
    <row r="29" spans="1:147" x14ac:dyDescent="0.2">
      <c r="A29">
        <v>20</v>
      </c>
      <c r="C29" s="46">
        <v>39261</v>
      </c>
      <c r="D29" s="45">
        <f>WORKDAY(C29,2,$C$33:$C$42)</f>
        <v>39265</v>
      </c>
      <c r="F29" s="46">
        <v>39352</v>
      </c>
      <c r="G29" s="45">
        <f>WORKDAY(F29,2,$C$33:$C$42)</f>
        <v>39356</v>
      </c>
      <c r="I29" s="46">
        <v>39444</v>
      </c>
      <c r="J29" s="45">
        <f>WORKDAY(I29,2,$C$33:$C$42)</f>
        <v>39449</v>
      </c>
      <c r="L29" s="46">
        <v>39535</v>
      </c>
      <c r="M29" s="45">
        <f>WORKDAY(L29,2,$L$33:$L$42)</f>
        <v>39539</v>
      </c>
      <c r="O29" s="46">
        <v>39626</v>
      </c>
      <c r="P29" s="45">
        <f>WORKDAY(O29,2,$L$33:$L$42)</f>
        <v>39630</v>
      </c>
      <c r="R29" s="46">
        <v>39720</v>
      </c>
      <c r="S29" s="45">
        <f>WORKDAY(R29,2,$L$33:$L$42)</f>
        <v>39722</v>
      </c>
      <c r="U29" s="46">
        <v>39812</v>
      </c>
      <c r="V29" s="45">
        <f>WORKDAY(U29,2,$L$33:$L$42)</f>
        <v>39815</v>
      </c>
      <c r="X29" s="46">
        <v>39899</v>
      </c>
      <c r="Y29" s="45">
        <f>WORKDAY(X29,2,X$33:X$43)</f>
        <v>39903</v>
      </c>
      <c r="AA29" s="46">
        <v>39993</v>
      </c>
      <c r="AB29" s="45">
        <f>WORKDAY(AA29,2,$L$33:$L$43)</f>
        <v>39995</v>
      </c>
      <c r="AD29" s="46">
        <v>40085</v>
      </c>
      <c r="AE29" s="45">
        <f>WORKDAY(AD29,2,X$33:X$43)</f>
        <v>40087</v>
      </c>
      <c r="AG29" s="46">
        <v>40176</v>
      </c>
      <c r="AH29" s="45">
        <f>WORKDAY(AG29,2,X$33:X$43)</f>
        <v>40178</v>
      </c>
      <c r="AJ29" s="63"/>
      <c r="AK29" s="54">
        <v>42184</v>
      </c>
      <c r="AL29" s="55">
        <f>WORKDAY(AK29,2,AB$33:AB$43)</f>
        <v>42186</v>
      </c>
      <c r="AM29" s="62"/>
      <c r="AN29" s="61">
        <f>+AO29-AK29</f>
        <v>31</v>
      </c>
      <c r="AO29" s="54">
        <v>42215</v>
      </c>
      <c r="AP29" s="55">
        <f>WORKDAY(AO29,2,AF$33:AF$43)</f>
        <v>42219</v>
      </c>
      <c r="AQ29" s="62"/>
      <c r="AR29" s="61">
        <f>+AS29-AO29</f>
        <v>29</v>
      </c>
      <c r="AS29" s="54">
        <v>42244</v>
      </c>
      <c r="AT29" s="55">
        <f>WORKDAY(AS29,2,AJ$33:AJ$43)</f>
        <v>42248</v>
      </c>
      <c r="AU29" s="62" t="str">
        <f>IF(AT29=AX6,"(**)")</f>
        <v>(**)</v>
      </c>
      <c r="AV29" s="61">
        <f>+AW29-AS29</f>
        <v>32</v>
      </c>
      <c r="AW29" s="54">
        <v>42276</v>
      </c>
      <c r="AX29" s="55">
        <f>WORKDAY(AW29,2,AN$33:AN$43)</f>
        <v>42278</v>
      </c>
      <c r="AY29" s="62" t="str">
        <f>IF(AX29=BB6,"(**)")</f>
        <v>(**)</v>
      </c>
      <c r="AZ29" s="61">
        <f>+BA29-AW29</f>
        <v>29</v>
      </c>
      <c r="BA29" s="54">
        <v>42305</v>
      </c>
      <c r="BB29" s="55">
        <f>WORKDAY(BA29,2,AR$33:AR$43)</f>
        <v>42307</v>
      </c>
      <c r="BC29" s="62" t="str">
        <f>IF(BB29=BF6,"(**)")</f>
        <v>(**)</v>
      </c>
      <c r="BD29" s="61">
        <f>+BE29-BA29</f>
        <v>28</v>
      </c>
      <c r="BE29" s="54">
        <v>42333</v>
      </c>
      <c r="BF29" s="55">
        <f>WORKDAY(BE29,2,AV$33:AV$43)</f>
        <v>42335</v>
      </c>
      <c r="BG29" s="62" t="b">
        <f>IF(BF29=BJ6,"(**)")</f>
        <v>0</v>
      </c>
      <c r="BH29" s="61">
        <f>+BI29-BE29</f>
        <v>34</v>
      </c>
      <c r="BI29" s="54">
        <v>42367</v>
      </c>
      <c r="BJ29" s="55">
        <f>WORKDAY(BI29,2,AZ$33:AZ$43)</f>
        <v>42369</v>
      </c>
      <c r="BK29" s="62" t="str">
        <f>IF(BJ29=BN6,"(**)")</f>
        <v>(**)</v>
      </c>
      <c r="BL29" s="61">
        <f>+BM29-BI29</f>
        <v>30</v>
      </c>
      <c r="BM29" s="54">
        <v>42397</v>
      </c>
      <c r="BN29" s="55">
        <f>WORKDAY(BM29,2,BD$33:BD$43)</f>
        <v>42401</v>
      </c>
      <c r="BO29" s="62" t="str">
        <f>IF(BN29=BR6,"(**)")</f>
        <v>(**)</v>
      </c>
      <c r="BP29" s="61">
        <f>+BQ29-BM29</f>
        <v>29</v>
      </c>
      <c r="BQ29" s="54">
        <v>42426</v>
      </c>
      <c r="BR29" s="55">
        <f>WORKDAY(BQ29,2,BH$33:BH$43)</f>
        <v>42430</v>
      </c>
      <c r="BS29" s="62" t="str">
        <f>IF(BR29=BV6,"(**)")</f>
        <v>(**)</v>
      </c>
      <c r="BT29" s="61">
        <f>+BU29-BQ29</f>
        <v>32</v>
      </c>
      <c r="BU29" s="54">
        <v>42458</v>
      </c>
      <c r="BV29" s="55">
        <f>WORKDAY(BU29,2,BL$33:BL$43)</f>
        <v>42460</v>
      </c>
      <c r="BW29" s="62" t="str">
        <f>IF(BV29=BZ6,"(**)")</f>
        <v>(**)</v>
      </c>
      <c r="BX29" s="61">
        <f>+BY29-BU29</f>
        <v>29</v>
      </c>
      <c r="BY29" s="54">
        <v>42487</v>
      </c>
      <c r="BZ29" s="55">
        <f t="shared" si="3"/>
        <v>42489</v>
      </c>
      <c r="CA29" s="62" t="str">
        <f>IF(BZ29=CD6,"(**)")</f>
        <v>(**)</v>
      </c>
      <c r="CB29" s="61">
        <f>+CC29-BY29</f>
        <v>30</v>
      </c>
      <c r="CC29" s="54">
        <v>42517</v>
      </c>
      <c r="CD29" s="55">
        <f t="shared" si="4"/>
        <v>42521</v>
      </c>
      <c r="CE29" s="62" t="str">
        <f>IF(CD29=CG6,"(**)")</f>
        <v>(**)</v>
      </c>
      <c r="CF29" s="61">
        <f>+CG29-CC29</f>
        <v>32</v>
      </c>
      <c r="CG29" s="54">
        <v>42549</v>
      </c>
      <c r="CH29" s="55">
        <f>WORKDAY(CG29,2)</f>
        <v>42551</v>
      </c>
      <c r="CI29" s="62" t="str">
        <f>IF(CH29=CL6,"(**)")</f>
        <v>(**)</v>
      </c>
      <c r="CJ29" s="61">
        <f>+CK29-CG29</f>
        <v>30</v>
      </c>
      <c r="CK29" s="54">
        <v>42579</v>
      </c>
      <c r="CL29" s="55">
        <f>WORKDAY(CK29,2)</f>
        <v>42583</v>
      </c>
      <c r="CM29" s="62" t="str">
        <f>IF(CL29=CP6,"(**)")</f>
        <v>(**)</v>
      </c>
      <c r="CN29" s="61">
        <f>+CO29-CK29</f>
        <v>32</v>
      </c>
      <c r="CO29" s="54">
        <v>42611</v>
      </c>
      <c r="CP29" s="55">
        <f>WORKDAY(CO29,2)</f>
        <v>42613</v>
      </c>
      <c r="CQ29" s="62" t="str">
        <f>IF(CP29=CT6,"(**)")</f>
        <v>(**)</v>
      </c>
      <c r="CR29" s="61">
        <f>+CS29-CO29</f>
        <v>30</v>
      </c>
      <c r="CS29" s="54">
        <v>42641</v>
      </c>
      <c r="CT29" s="55">
        <f>WORKDAY(CS29,2)</f>
        <v>42643</v>
      </c>
      <c r="CU29" s="62" t="b">
        <f>IF(CT29=CX6,"(**)")</f>
        <v>0</v>
      </c>
      <c r="CV29" s="61">
        <f>+CW29-CS29</f>
        <v>29</v>
      </c>
      <c r="CW29" s="54">
        <v>42670</v>
      </c>
      <c r="CX29" s="55">
        <f>WORKDAY(CW29,2)</f>
        <v>42674</v>
      </c>
      <c r="CY29" s="62" t="str">
        <f>IF(CX29=DB6,"(**)")</f>
        <v>(**)</v>
      </c>
      <c r="CZ29" s="61">
        <f>+DA29-CW29</f>
        <v>33</v>
      </c>
      <c r="DA29" s="54">
        <v>42703</v>
      </c>
      <c r="DB29" s="55">
        <f>WORKDAY(DA29,2)</f>
        <v>42705</v>
      </c>
      <c r="DC29" s="62" t="str">
        <f>IF(DB29=DF6,"(**)")</f>
        <v>(**)</v>
      </c>
      <c r="DD29" s="61">
        <f>+DE29-DA29</f>
        <v>30</v>
      </c>
      <c r="DE29" s="54">
        <v>42733</v>
      </c>
      <c r="DF29" s="55">
        <f>WORKDAY(DE29,2)</f>
        <v>42737</v>
      </c>
      <c r="DG29" s="62" t="str">
        <f>IF(DF29=DJ6,"(**)")</f>
        <v>(**)</v>
      </c>
      <c r="DH29" s="61">
        <f>+DI29-DE29</f>
        <v>32</v>
      </c>
      <c r="DI29" s="54">
        <v>42765</v>
      </c>
      <c r="DJ29" s="55">
        <f>WORKDAY(DI29,2)</f>
        <v>42767</v>
      </c>
      <c r="DK29" s="62" t="str">
        <f>IF(DJ29=DN6,"(**)")</f>
        <v>(**)</v>
      </c>
      <c r="DL29" s="61">
        <f>+DM29-DI29</f>
        <v>28</v>
      </c>
      <c r="DM29" s="54">
        <v>42793</v>
      </c>
      <c r="DN29" s="55">
        <f>WORKDAY(DM29,2)</f>
        <v>42795</v>
      </c>
      <c r="DO29" s="62" t="str">
        <f>IF(DN29=DR6,"(**)")</f>
        <v>(**)</v>
      </c>
      <c r="DP29" s="61">
        <f>+DQ29-DM29</f>
        <v>30</v>
      </c>
      <c r="DQ29" s="54">
        <v>42823</v>
      </c>
      <c r="DR29" s="55">
        <f>WORKDAY(DQ29,2)</f>
        <v>42825</v>
      </c>
      <c r="DS29" s="62" t="b">
        <f>IF(DR29=DV6,"(**)")</f>
        <v>0</v>
      </c>
      <c r="DT29" s="61">
        <f>+DU29-DQ29</f>
        <v>729</v>
      </c>
      <c r="DU29" s="54">
        <v>43552</v>
      </c>
      <c r="DV29" s="55">
        <f>WORKDAY(DU29,2)</f>
        <v>43556</v>
      </c>
      <c r="DW29" s="62" t="str">
        <f>IF(DV29=DZ6,"(**)")</f>
        <v>(**)</v>
      </c>
      <c r="DX29" s="61">
        <f>+DY29-DU29</f>
        <v>32</v>
      </c>
      <c r="DY29" s="54">
        <v>43584</v>
      </c>
      <c r="DZ29" s="55">
        <f>WORKDAY(DY29,2)</f>
        <v>43586</v>
      </c>
      <c r="EA29" s="62" t="str">
        <f>IF(DZ29=ED6,"(**)")</f>
        <v>(**)</v>
      </c>
      <c r="EB29" s="61">
        <f>+EC29-DY29</f>
        <v>31</v>
      </c>
      <c r="EC29" s="54">
        <v>43615</v>
      </c>
      <c r="ED29" s="55">
        <f>WORKDAY(EC29,2)</f>
        <v>43619</v>
      </c>
      <c r="EE29" s="62" t="str">
        <f>IF(ED29=EH6,"(**)")</f>
        <v>(**)</v>
      </c>
      <c r="EF29" s="61">
        <f>+EG29-EC29</f>
        <v>28</v>
      </c>
      <c r="EG29" s="54">
        <v>43643</v>
      </c>
      <c r="EH29" s="55">
        <f>WORKDAY(EG29,2)</f>
        <v>43647</v>
      </c>
      <c r="EI29" s="62" t="b">
        <f>IF(EH29=EK6,"(**)")</f>
        <v>0</v>
      </c>
      <c r="EJ29" s="61">
        <f>+EK29-EG29</f>
        <v>33</v>
      </c>
      <c r="EK29" s="54">
        <v>43676</v>
      </c>
      <c r="EL29" s="55">
        <f>WORKDAY(EK29,2)</f>
        <v>43678</v>
      </c>
      <c r="EM29" s="62" t="str">
        <f>IF(EL29=EP6,"(**)")</f>
        <v>(**)</v>
      </c>
      <c r="EN29" s="61">
        <f>+EO29-EK29</f>
        <v>30</v>
      </c>
      <c r="EO29" s="54">
        <v>43706</v>
      </c>
      <c r="EP29" s="55">
        <f>WORKDAY(EO29,2)</f>
        <v>43710</v>
      </c>
      <c r="EQ29" s="62" t="b">
        <f>IF(EP29=ES6,"(**)")</f>
        <v>0</v>
      </c>
    </row>
    <row r="33" spans="1:34" x14ac:dyDescent="0.2">
      <c r="A33" t="s">
        <v>287</v>
      </c>
      <c r="C33" s="47">
        <v>39083</v>
      </c>
      <c r="L33" s="47">
        <v>39448</v>
      </c>
      <c r="O33" s="47"/>
      <c r="X33" s="47">
        <v>39814</v>
      </c>
      <c r="AA33" s="47"/>
    </row>
    <row r="34" spans="1:34" x14ac:dyDescent="0.2">
      <c r="C34" s="47">
        <v>39178</v>
      </c>
      <c r="L34" s="47">
        <v>39542</v>
      </c>
      <c r="O34" s="47"/>
      <c r="X34" s="47">
        <v>39913</v>
      </c>
      <c r="AA34" s="47"/>
    </row>
    <row r="35" spans="1:34" x14ac:dyDescent="0.2">
      <c r="C35" s="47">
        <v>39230</v>
      </c>
      <c r="L35" s="47">
        <v>39594</v>
      </c>
      <c r="O35" s="47"/>
      <c r="X35" s="47">
        <v>39954</v>
      </c>
      <c r="AA35" s="47"/>
    </row>
    <row r="36" spans="1:34" x14ac:dyDescent="0.2">
      <c r="C36" s="47">
        <v>39267</v>
      </c>
      <c r="L36" s="47">
        <v>39633</v>
      </c>
      <c r="O36" s="47"/>
      <c r="X36" s="47">
        <v>39958</v>
      </c>
      <c r="AA36" s="47"/>
    </row>
    <row r="37" spans="1:34" x14ac:dyDescent="0.2">
      <c r="C37" s="47">
        <v>39328</v>
      </c>
      <c r="L37" s="47">
        <v>39692</v>
      </c>
      <c r="O37" s="47"/>
      <c r="X37" s="47">
        <v>39997</v>
      </c>
      <c r="AA37" s="47"/>
    </row>
    <row r="38" spans="1:34" x14ac:dyDescent="0.2">
      <c r="C38" s="47">
        <v>39408</v>
      </c>
      <c r="L38" s="47">
        <v>39779</v>
      </c>
      <c r="O38" s="47"/>
      <c r="X38" s="47">
        <v>40063</v>
      </c>
      <c r="AA38" s="47"/>
    </row>
    <row r="39" spans="1:34" x14ac:dyDescent="0.2">
      <c r="C39" s="47">
        <v>39409</v>
      </c>
      <c r="L39" s="47">
        <v>39780</v>
      </c>
      <c r="O39" s="47"/>
      <c r="X39" s="47">
        <v>40143</v>
      </c>
      <c r="AA39" s="47"/>
    </row>
    <row r="40" spans="1:34" x14ac:dyDescent="0.2">
      <c r="C40" s="47">
        <v>39440</v>
      </c>
      <c r="L40" s="47">
        <v>39806</v>
      </c>
      <c r="O40" s="47"/>
      <c r="X40" s="47">
        <v>40144</v>
      </c>
      <c r="AA40" s="47"/>
    </row>
    <row r="41" spans="1:34" x14ac:dyDescent="0.2">
      <c r="C41" s="47">
        <v>39441</v>
      </c>
      <c r="L41" s="47">
        <v>39807</v>
      </c>
      <c r="O41" s="47"/>
      <c r="X41" s="47">
        <v>40171</v>
      </c>
      <c r="AA41" s="47"/>
    </row>
    <row r="42" spans="1:34" x14ac:dyDescent="0.2">
      <c r="C42" s="47">
        <v>39448</v>
      </c>
      <c r="L42" s="47">
        <v>39814</v>
      </c>
      <c r="O42" s="47"/>
      <c r="X42" s="47">
        <v>40172</v>
      </c>
      <c r="AA42" s="47"/>
    </row>
    <row r="43" spans="1:34" x14ac:dyDescent="0.2">
      <c r="C43" s="47"/>
      <c r="X43" s="47">
        <v>40179</v>
      </c>
    </row>
    <row r="44" spans="1:34" x14ac:dyDescent="0.2">
      <c r="AH44" t="s">
        <v>288</v>
      </c>
    </row>
    <row r="45" spans="1:34" x14ac:dyDescent="0.2">
      <c r="AH45" t="s">
        <v>289</v>
      </c>
    </row>
    <row r="46" spans="1:34" x14ac:dyDescent="0.2">
      <c r="X46" s="10">
        <f>+X2</f>
        <v>2009</v>
      </c>
      <c r="Y46" t="s">
        <v>290</v>
      </c>
      <c r="AD46" s="10">
        <f>+AD2</f>
        <v>2009</v>
      </c>
      <c r="AE46" t="s">
        <v>291</v>
      </c>
    </row>
    <row r="47" spans="1:34" x14ac:dyDescent="0.2">
      <c r="X47" s="39" t="s">
        <v>278</v>
      </c>
      <c r="Y47" s="39" t="s">
        <v>279</v>
      </c>
      <c r="AD47" s="39" t="s">
        <v>278</v>
      </c>
      <c r="AE47" s="39" t="s">
        <v>279</v>
      </c>
    </row>
    <row r="49" spans="1:31" x14ac:dyDescent="0.2">
      <c r="A49">
        <v>41</v>
      </c>
      <c r="B49" t="s">
        <v>106</v>
      </c>
      <c r="X49" s="46">
        <v>39842</v>
      </c>
      <c r="Y49" s="45">
        <f>WORKDAY(X49,1,X$33:X$43)</f>
        <v>39843</v>
      </c>
      <c r="AD49" s="46">
        <v>40025</v>
      </c>
      <c r="AE49" s="45">
        <f>WORKDAY(AD49,1,AD$33:AD$43)</f>
        <v>40028</v>
      </c>
    </row>
    <row r="50" spans="1:31" x14ac:dyDescent="0.2">
      <c r="A50">
        <v>42</v>
      </c>
      <c r="B50" t="s">
        <v>106</v>
      </c>
      <c r="X50" s="46">
        <v>39843</v>
      </c>
      <c r="Y50" s="45">
        <f>WORKDAY(X50,1,X$33:X$43)</f>
        <v>39846</v>
      </c>
      <c r="AD50" s="46">
        <v>40028</v>
      </c>
      <c r="AE50" s="45">
        <f>WORKDAY(AD50,1,AD$33:AD$43)</f>
        <v>40029</v>
      </c>
    </row>
  </sheetData>
  <phoneticPr fontId="5" type="noConversion"/>
  <pageMargins left="0.75" right="0.75" top="0.75" bottom="0.75" header="0.5" footer="0.5"/>
  <pageSetup scale="84" fitToWidth="2" orientation="landscape" r:id="rId1"/>
  <headerFooter alignWithMargins="0"/>
  <colBreaks count="2" manualBreakCount="2">
    <brk id="11"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AES Indiana Bill Calc.</vt:lpstr>
      <vt:lpstr>Help (Res. and Small C&amp;I)</vt:lpstr>
      <vt:lpstr>Help (Large C&amp;I)</vt:lpstr>
      <vt:lpstr>Help (Rate SE)</vt:lpstr>
      <vt:lpstr>Inputs</vt:lpstr>
      <vt:lpstr>Calc. Oct 2025</vt:lpstr>
      <vt:lpstr>Pwr Factor</vt:lpstr>
      <vt:lpstr>Dates</vt:lpstr>
      <vt:lpstr>'Calc. Oct 2025'!Print_Area</vt:lpstr>
      <vt:lpstr>'Calc. Oct 2025'!Print_Titles</vt:lpstr>
      <vt:lpstr>Dates!Print_Titles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2022-09-01T19:45:24Z</dcterms:created>
  <dcterms:modified xsi:type="dcterms:W3CDTF">2025-10-15T13:42:15Z</dcterms:modified>
  <cp:category/>
  <cp:contentStatus/>
</cp:coreProperties>
</file>