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defaultThemeVersion="124226"/>
  <xr:revisionPtr revIDLastSave="0" documentId="8_{8225215D-3285-4600-9654-4DC8D12BF089}" xr6:coauthVersionLast="47" xr6:coauthVersionMax="47" xr10:uidLastSave="{00000000-0000-0000-0000-000000000000}"/>
  <workbookProtection workbookAlgorithmName="SHA-512" workbookHashValue="Du5/LXPoUjRnvdbXVXPNyFAwgWu33tBvMSnkMC+KBLuzts/hb3WqPTMLPBSmUG1A0000sLMVLEckVCmPyCIafA==" workbookSaltValue="2ljkTOI1OhlMdDqvjf8Bug==" workbookSpinCount="100000" lockStructure="1"/>
  <bookViews>
    <workbookView xWindow="-120" yWindow="-120" windowWidth="29040" windowHeight="1572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Jan 2026" sheetId="15" state="hidden" r:id="rId6"/>
    <sheet name="Pwr Factor" sheetId="2" state="hidden" r:id="rId7"/>
    <sheet name="Dates" sheetId="3" state="hidden" r:id="rId8"/>
  </sheets>
  <definedNames>
    <definedName name="_xlnm.Print_Area" localSheetId="5">'Calc. Jan 2026'!$A$1:$AB$1177</definedName>
    <definedName name="_xlnm.Print_Titles" localSheetId="5">'Calc. Jan 2026'!$1:$43</definedName>
    <definedName name="_xlnm.Print_Titles" localSheetId="7">Dates!$A:$B</definedName>
    <definedName name="solver_adj" localSheetId="5" hidden="1">'Calc. Jan 2026'!#REF!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Jan 2026'!#REF!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0" i="11" l="1"/>
  <c r="B1402" i="15"/>
  <c r="V1402" i="15" s="1"/>
  <c r="B1400" i="15"/>
  <c r="Y1400" i="15" s="1"/>
  <c r="B1398" i="15"/>
  <c r="X1398" i="15" s="1"/>
  <c r="B1396" i="15"/>
  <c r="V1396" i="15" s="1"/>
  <c r="B1394" i="15"/>
  <c r="AA1394" i="15" s="1"/>
  <c r="AC1402" i="15"/>
  <c r="E1402" i="15"/>
  <c r="C1402" i="15" s="1"/>
  <c r="D1402" i="15"/>
  <c r="R1401" i="15" s="1"/>
  <c r="AC1400" i="15"/>
  <c r="E1400" i="15"/>
  <c r="C1400" i="15" s="1"/>
  <c r="M1400" i="15" s="1"/>
  <c r="D1400" i="15"/>
  <c r="R1399" i="15" s="1"/>
  <c r="AC1398" i="15"/>
  <c r="AA1398" i="15"/>
  <c r="Z1398" i="15"/>
  <c r="Y1398" i="15"/>
  <c r="W1398" i="15"/>
  <c r="U1398" i="15"/>
  <c r="T1398" i="15"/>
  <c r="S1398" i="15"/>
  <c r="E1398" i="15"/>
  <c r="C1398" i="15" s="1"/>
  <c r="D1398" i="15"/>
  <c r="R1397" i="15" s="1"/>
  <c r="AC1396" i="15"/>
  <c r="E1396" i="15"/>
  <c r="C1396" i="15" s="1"/>
  <c r="M1396" i="15" s="1"/>
  <c r="D1396" i="15"/>
  <c r="R1395" i="15" s="1"/>
  <c r="K1396" i="15"/>
  <c r="AC1394" i="15"/>
  <c r="E1394" i="15"/>
  <c r="C1394" i="15" s="1"/>
  <c r="M1394" i="15" s="1"/>
  <c r="D1394" i="15"/>
  <c r="R1393" i="15"/>
  <c r="B1285" i="15"/>
  <c r="B1283" i="15"/>
  <c r="K1283" i="15" s="1"/>
  <c r="B1281" i="15"/>
  <c r="B1279" i="15"/>
  <c r="H1279" i="15" s="1"/>
  <c r="B1277" i="15"/>
  <c r="AC1285" i="15"/>
  <c r="E1285" i="15"/>
  <c r="C1285" i="15" s="1"/>
  <c r="D1285" i="15"/>
  <c r="R1284" i="15" s="1"/>
  <c r="AC1283" i="15"/>
  <c r="E1283" i="15"/>
  <c r="C1283" i="15" s="1"/>
  <c r="M1283" i="15" s="1"/>
  <c r="D1283" i="15"/>
  <c r="R1282" i="15" s="1"/>
  <c r="AC1281" i="15"/>
  <c r="E1281" i="15"/>
  <c r="C1281" i="15" s="1"/>
  <c r="M1281" i="15" s="1"/>
  <c r="D1281" i="15"/>
  <c r="R1280" i="15" s="1"/>
  <c r="AC1279" i="15"/>
  <c r="E1279" i="15"/>
  <c r="D1279" i="15"/>
  <c r="R1278" i="15" s="1"/>
  <c r="C1279" i="15"/>
  <c r="M1279" i="15" s="1"/>
  <c r="AC1277" i="15"/>
  <c r="E1277" i="15"/>
  <c r="C1277" i="15" s="1"/>
  <c r="M1277" i="15" s="1"/>
  <c r="D1277" i="15"/>
  <c r="R1276" i="15" s="1"/>
  <c r="B1149" i="15"/>
  <c r="K1149" i="15" s="1"/>
  <c r="N1149" i="15" s="1"/>
  <c r="B1147" i="15"/>
  <c r="K1147" i="15" s="1"/>
  <c r="B1145" i="15"/>
  <c r="B1143" i="15"/>
  <c r="J1143" i="15" s="1"/>
  <c r="B1141" i="15"/>
  <c r="AC1149" i="15"/>
  <c r="E1149" i="15"/>
  <c r="C1149" i="15" s="1"/>
  <c r="D1149" i="15"/>
  <c r="R1148" i="15" s="1"/>
  <c r="AC1148" i="15"/>
  <c r="M1148" i="15"/>
  <c r="L1148" i="15"/>
  <c r="K1148" i="15"/>
  <c r="J1148" i="15"/>
  <c r="H1148" i="15"/>
  <c r="AC1147" i="15"/>
  <c r="E1147" i="15"/>
  <c r="C1147" i="15" s="1"/>
  <c r="L1147" i="15" s="1"/>
  <c r="D1147" i="15"/>
  <c r="R1146" i="15" s="1"/>
  <c r="AC1146" i="15"/>
  <c r="M1146" i="15"/>
  <c r="L1146" i="15"/>
  <c r="K1146" i="15"/>
  <c r="J1146" i="15"/>
  <c r="H1146" i="15"/>
  <c r="AC1145" i="15"/>
  <c r="E1145" i="15"/>
  <c r="C1145" i="15" s="1"/>
  <c r="D1145" i="15"/>
  <c r="R1144" i="15" s="1"/>
  <c r="AC1144" i="15"/>
  <c r="M1144" i="15"/>
  <c r="L1144" i="15"/>
  <c r="K1144" i="15"/>
  <c r="J1144" i="15"/>
  <c r="H1144" i="15"/>
  <c r="AC1143" i="15"/>
  <c r="E1143" i="15"/>
  <c r="C1143" i="15" s="1"/>
  <c r="D1143" i="15"/>
  <c r="R1142" i="15" s="1"/>
  <c r="AC1142" i="15"/>
  <c r="M1142" i="15"/>
  <c r="L1142" i="15"/>
  <c r="K1142" i="15"/>
  <c r="J1142" i="15"/>
  <c r="H1142" i="15"/>
  <c r="AC1141" i="15"/>
  <c r="E1141" i="15"/>
  <c r="C1141" i="15" s="1"/>
  <c r="M1141" i="15" s="1"/>
  <c r="D1141" i="15"/>
  <c r="R1140" i="15" s="1"/>
  <c r="AC1140" i="15"/>
  <c r="M1140" i="15"/>
  <c r="L1140" i="15"/>
  <c r="K1140" i="15"/>
  <c r="J1140" i="15"/>
  <c r="H1140" i="15"/>
  <c r="V781" i="15"/>
  <c r="V656" i="15"/>
  <c r="L71" i="11"/>
  <c r="L72" i="11"/>
  <c r="G72" i="11" s="1"/>
  <c r="L73" i="11"/>
  <c r="L74" i="11"/>
  <c r="L75" i="11"/>
  <c r="L76" i="11"/>
  <c r="L77" i="11"/>
  <c r="L78" i="11"/>
  <c r="L79" i="11"/>
  <c r="L80" i="11"/>
  <c r="L81" i="11"/>
  <c r="L70" i="11"/>
  <c r="I72" i="11"/>
  <c r="K72" i="11" s="1"/>
  <c r="I73" i="11"/>
  <c r="K73" i="11" s="1"/>
  <c r="I74" i="11"/>
  <c r="G74" i="11" s="1"/>
  <c r="I75" i="11"/>
  <c r="K75" i="11" s="1"/>
  <c r="I76" i="11"/>
  <c r="K76" i="11" s="1"/>
  <c r="I77" i="11"/>
  <c r="K77" i="11" s="1"/>
  <c r="I78" i="11"/>
  <c r="K78" i="11" s="1"/>
  <c r="I79" i="11"/>
  <c r="K79" i="11" s="1"/>
  <c r="I80" i="11"/>
  <c r="G80" i="11" s="1"/>
  <c r="I81" i="11"/>
  <c r="K81" i="11" s="1"/>
  <c r="I71" i="11"/>
  <c r="I70" i="11"/>
  <c r="G70" i="11" s="1"/>
  <c r="N70" i="11"/>
  <c r="N71" i="11"/>
  <c r="N72" i="11"/>
  <c r="N73" i="11"/>
  <c r="N74" i="11"/>
  <c r="N75" i="11"/>
  <c r="N76" i="11"/>
  <c r="N79" i="11"/>
  <c r="N80" i="11"/>
  <c r="N81" i="11"/>
  <c r="K71" i="11"/>
  <c r="G71" i="11"/>
  <c r="G75" i="11"/>
  <c r="G76" i="11"/>
  <c r="G79" i="11"/>
  <c r="C70" i="11"/>
  <c r="D70" i="11" s="1"/>
  <c r="E70" i="11" s="1"/>
  <c r="F70" i="11" s="1"/>
  <c r="C71" i="11"/>
  <c r="D71" i="11"/>
  <c r="E71" i="11" s="1"/>
  <c r="F71" i="11" s="1"/>
  <c r="C72" i="11"/>
  <c r="D72" i="11"/>
  <c r="E72" i="11" s="1"/>
  <c r="F72" i="11" s="1"/>
  <c r="C73" i="11"/>
  <c r="D73" i="11" s="1"/>
  <c r="E73" i="11" s="1"/>
  <c r="F73" i="11" s="1"/>
  <c r="C74" i="11"/>
  <c r="D74" i="11"/>
  <c r="E74" i="11"/>
  <c r="F74" i="11" s="1"/>
  <c r="C75" i="11"/>
  <c r="D75" i="11"/>
  <c r="E75" i="11" s="1"/>
  <c r="F75" i="11" s="1"/>
  <c r="C76" i="11"/>
  <c r="D76" i="11"/>
  <c r="E76" i="11" s="1"/>
  <c r="F76" i="11" s="1"/>
  <c r="C77" i="11"/>
  <c r="D77" i="11"/>
  <c r="E77" i="11"/>
  <c r="F77" i="11" s="1"/>
  <c r="C78" i="11"/>
  <c r="D78" i="11"/>
  <c r="E78" i="11" s="1"/>
  <c r="F78" i="11" s="1"/>
  <c r="C79" i="11"/>
  <c r="D79" i="11"/>
  <c r="E79" i="11" s="1"/>
  <c r="F79" i="11" s="1"/>
  <c r="C80" i="11"/>
  <c r="D80" i="11"/>
  <c r="E80" i="11" s="1"/>
  <c r="F80" i="11" s="1"/>
  <c r="C81" i="11"/>
  <c r="D81" i="11" s="1"/>
  <c r="E81" i="11" s="1"/>
  <c r="F81" i="11" s="1"/>
  <c r="S1396" i="15" l="1"/>
  <c r="T1396" i="15"/>
  <c r="U1396" i="15"/>
  <c r="W1396" i="15"/>
  <c r="G81" i="11"/>
  <c r="K80" i="11"/>
  <c r="G78" i="11"/>
  <c r="G77" i="11"/>
  <c r="X1396" i="15"/>
  <c r="Y1396" i="15"/>
  <c r="Z1396" i="15"/>
  <c r="H1149" i="15"/>
  <c r="J1149" i="15"/>
  <c r="K1398" i="15"/>
  <c r="H1402" i="15"/>
  <c r="AA1396" i="15"/>
  <c r="J1402" i="15"/>
  <c r="AA1402" i="15"/>
  <c r="M1398" i="15"/>
  <c r="L1398" i="15"/>
  <c r="Q1398" i="15" s="1"/>
  <c r="K1402" i="15"/>
  <c r="N1402" i="15" s="1"/>
  <c r="S1402" i="15"/>
  <c r="T1402" i="15"/>
  <c r="U1402" i="15"/>
  <c r="W1402" i="15"/>
  <c r="X1402" i="15"/>
  <c r="H1283" i="15"/>
  <c r="J1283" i="15"/>
  <c r="Y1402" i="15"/>
  <c r="Z1402" i="15"/>
  <c r="L1400" i="15"/>
  <c r="Q1400" i="15" s="1"/>
  <c r="V1394" i="15"/>
  <c r="V1398" i="15"/>
  <c r="V1400" i="15"/>
  <c r="Z1400" i="15"/>
  <c r="AA1400" i="15"/>
  <c r="H1400" i="15"/>
  <c r="J1400" i="15"/>
  <c r="K1400" i="15"/>
  <c r="S1400" i="15"/>
  <c r="T1400" i="15"/>
  <c r="U1400" i="15"/>
  <c r="W1400" i="15"/>
  <c r="X1400" i="15"/>
  <c r="S1394" i="15"/>
  <c r="T1394" i="15"/>
  <c r="U1394" i="15"/>
  <c r="W1394" i="15"/>
  <c r="X1394" i="15"/>
  <c r="Y1394" i="15"/>
  <c r="Z1394" i="15"/>
  <c r="M1402" i="15"/>
  <c r="L1402" i="15"/>
  <c r="N1396" i="15"/>
  <c r="H1394" i="15"/>
  <c r="J1394" i="15"/>
  <c r="L1394" i="15"/>
  <c r="Q1394" i="15" s="1"/>
  <c r="L1396" i="15"/>
  <c r="Q1396" i="15" s="1"/>
  <c r="H1398" i="15"/>
  <c r="J1398" i="15"/>
  <c r="K1394" i="15"/>
  <c r="N1394" i="15" s="1"/>
  <c r="H1396" i="15"/>
  <c r="J1396" i="15"/>
  <c r="L1281" i="15"/>
  <c r="Q1281" i="15" s="1"/>
  <c r="L1283" i="15"/>
  <c r="Q1283" i="15" s="1"/>
  <c r="H1285" i="15"/>
  <c r="J1285" i="15"/>
  <c r="K1285" i="15"/>
  <c r="N1285" i="15" s="1"/>
  <c r="K1281" i="15"/>
  <c r="N1281" i="15"/>
  <c r="L1285" i="15"/>
  <c r="M1285" i="15"/>
  <c r="N1283" i="15"/>
  <c r="L1279" i="15"/>
  <c r="Q1279" i="15" s="1"/>
  <c r="H1281" i="15"/>
  <c r="H1277" i="15"/>
  <c r="K1277" i="15"/>
  <c r="N1277" i="15" s="1"/>
  <c r="L1277" i="15"/>
  <c r="Q1277" i="15" s="1"/>
  <c r="J1279" i="15"/>
  <c r="K1279" i="15"/>
  <c r="J1281" i="15"/>
  <c r="J1277" i="15"/>
  <c r="M1143" i="15"/>
  <c r="L1143" i="15"/>
  <c r="H1145" i="15"/>
  <c r="K1143" i="15"/>
  <c r="N1143" i="15" s="1"/>
  <c r="M1149" i="15"/>
  <c r="L1149" i="15"/>
  <c r="N1147" i="15"/>
  <c r="M1145" i="15"/>
  <c r="L1145" i="15"/>
  <c r="J1145" i="15"/>
  <c r="K1145" i="15"/>
  <c r="N1145" i="15" s="1"/>
  <c r="H1141" i="15"/>
  <c r="H1147" i="15"/>
  <c r="L1141" i="15"/>
  <c r="Q1141" i="15" s="1"/>
  <c r="J1147" i="15"/>
  <c r="M1147" i="15"/>
  <c r="R1147" i="15" s="1"/>
  <c r="J1141" i="15"/>
  <c r="K1141" i="15"/>
  <c r="N1141" i="15" s="1"/>
  <c r="H1143" i="15"/>
  <c r="K74" i="11"/>
  <c r="G73" i="11"/>
  <c r="N78" i="11"/>
  <c r="N77" i="11"/>
  <c r="K70" i="11"/>
  <c r="R1398" i="15" l="1"/>
  <c r="G1398" i="15" s="1"/>
  <c r="R1281" i="15"/>
  <c r="N1398" i="15"/>
  <c r="R1400" i="15"/>
  <c r="G1400" i="15" s="1"/>
  <c r="Q1149" i="15"/>
  <c r="Q1143" i="15"/>
  <c r="N1400" i="15"/>
  <c r="R1396" i="15"/>
  <c r="G1396" i="15" s="1"/>
  <c r="Q1402" i="15"/>
  <c r="R1402" i="15"/>
  <c r="G1402" i="15" s="1"/>
  <c r="R1394" i="15"/>
  <c r="G1394" i="15" s="1"/>
  <c r="Q1145" i="15"/>
  <c r="G1281" i="15"/>
  <c r="R1283" i="15"/>
  <c r="G1283" i="15" s="1"/>
  <c r="N1279" i="15"/>
  <c r="R1279" i="15"/>
  <c r="G1279" i="15" s="1"/>
  <c r="Q1285" i="15"/>
  <c r="R1277" i="15"/>
  <c r="G1277" i="15" s="1"/>
  <c r="R1285" i="15"/>
  <c r="G1285" i="15" s="1"/>
  <c r="Q1147" i="15"/>
  <c r="R1143" i="15"/>
  <c r="G1143" i="15" s="1"/>
  <c r="R1145" i="15"/>
  <c r="G1145" i="15" s="1"/>
  <c r="G1147" i="15"/>
  <c r="R1149" i="15"/>
  <c r="G1149" i="15" s="1"/>
  <c r="R1141" i="15"/>
  <c r="G1141" i="15" s="1"/>
  <c r="V908" i="15" l="1"/>
  <c r="V1035" i="15" s="1"/>
  <c r="V1161" i="15" s="1"/>
  <c r="B1022" i="15"/>
  <c r="V1022" i="15" s="1"/>
  <c r="B1020" i="15"/>
  <c r="J1020" i="15" s="1"/>
  <c r="B1018" i="15"/>
  <c r="K1018" i="15" s="1"/>
  <c r="B1016" i="15"/>
  <c r="B1014" i="15"/>
  <c r="AC1022" i="15"/>
  <c r="AB1022" i="15"/>
  <c r="E1022" i="15"/>
  <c r="C1022" i="15" s="1"/>
  <c r="D1022" i="15"/>
  <c r="R1021" i="15" s="1"/>
  <c r="AC1020" i="15"/>
  <c r="AB1020" i="15"/>
  <c r="E1020" i="15"/>
  <c r="C1020" i="15" s="1"/>
  <c r="D1020" i="15"/>
  <c r="R1019" i="15" s="1"/>
  <c r="AC1018" i="15"/>
  <c r="AB1018" i="15"/>
  <c r="E1018" i="15"/>
  <c r="C1018" i="15" s="1"/>
  <c r="M1018" i="15" s="1"/>
  <c r="D1018" i="15"/>
  <c r="R1017" i="15" s="1"/>
  <c r="AC1016" i="15"/>
  <c r="AB1016" i="15"/>
  <c r="E1016" i="15"/>
  <c r="C1016" i="15" s="1"/>
  <c r="M1016" i="15" s="1"/>
  <c r="D1016" i="15"/>
  <c r="R1015" i="15" s="1"/>
  <c r="AC1014" i="15"/>
  <c r="AB1014" i="15"/>
  <c r="E1014" i="15"/>
  <c r="C1014" i="15" s="1"/>
  <c r="M1014" i="15" s="1"/>
  <c r="D1014" i="15"/>
  <c r="R1013" i="15" s="1"/>
  <c r="B895" i="15"/>
  <c r="V895" i="15" s="1"/>
  <c r="B893" i="15"/>
  <c r="B891" i="15"/>
  <c r="B889" i="15"/>
  <c r="H889" i="15" s="1"/>
  <c r="B887" i="15"/>
  <c r="H887" i="15" s="1"/>
  <c r="AC895" i="15"/>
  <c r="AB895" i="15"/>
  <c r="E895" i="15"/>
  <c r="C895" i="15" s="1"/>
  <c r="D895" i="15"/>
  <c r="R894" i="15" s="1"/>
  <c r="Q894" i="15"/>
  <c r="AC893" i="15"/>
  <c r="AB893" i="15"/>
  <c r="E893" i="15"/>
  <c r="I893" i="15" s="1"/>
  <c r="D893" i="15"/>
  <c r="R892" i="15" s="1"/>
  <c r="Q892" i="15"/>
  <c r="AC891" i="15"/>
  <c r="AB891" i="15"/>
  <c r="E891" i="15"/>
  <c r="I891" i="15" s="1"/>
  <c r="D891" i="15"/>
  <c r="R890" i="15" s="1"/>
  <c r="Q890" i="15"/>
  <c r="AC889" i="15"/>
  <c r="AB889" i="15"/>
  <c r="E889" i="15"/>
  <c r="C889" i="15" s="1"/>
  <c r="D889" i="15"/>
  <c r="R888" i="15" s="1"/>
  <c r="Q888" i="15"/>
  <c r="AC887" i="15"/>
  <c r="AB887" i="15"/>
  <c r="E887" i="15"/>
  <c r="I887" i="15" s="1"/>
  <c r="D887" i="15"/>
  <c r="R886" i="15" s="1"/>
  <c r="Q886" i="15"/>
  <c r="B770" i="15"/>
  <c r="V770" i="15" s="1"/>
  <c r="B768" i="15"/>
  <c r="V768" i="15" s="1"/>
  <c r="B766" i="15"/>
  <c r="V766" i="15" s="1"/>
  <c r="B764" i="15"/>
  <c r="V764" i="15" s="1"/>
  <c r="B762" i="15"/>
  <c r="V762" i="15" s="1"/>
  <c r="AC770" i="15"/>
  <c r="E770" i="15"/>
  <c r="C770" i="15" s="1"/>
  <c r="D770" i="15"/>
  <c r="R769" i="15" s="1"/>
  <c r="AC768" i="15"/>
  <c r="E768" i="15"/>
  <c r="C768" i="15" s="1"/>
  <c r="D768" i="15"/>
  <c r="R767" i="15" s="1"/>
  <c r="AC766" i="15"/>
  <c r="E766" i="15"/>
  <c r="C766" i="15" s="1"/>
  <c r="M766" i="15" s="1"/>
  <c r="D766" i="15"/>
  <c r="R765" i="15" s="1"/>
  <c r="AC764" i="15"/>
  <c r="E764" i="15"/>
  <c r="C764" i="15" s="1"/>
  <c r="M764" i="15" s="1"/>
  <c r="D764" i="15"/>
  <c r="R763" i="15" s="1"/>
  <c r="AC762" i="15"/>
  <c r="E762" i="15"/>
  <c r="C762" i="15" s="1"/>
  <c r="M762" i="15" s="1"/>
  <c r="D762" i="15"/>
  <c r="R761" i="15" s="1"/>
  <c r="B645" i="15"/>
  <c r="B643" i="15"/>
  <c r="K643" i="15" s="1"/>
  <c r="N643" i="15" s="1"/>
  <c r="B641" i="15"/>
  <c r="B639" i="15"/>
  <c r="K639" i="15" s="1"/>
  <c r="N639" i="15" s="1"/>
  <c r="B637" i="15"/>
  <c r="AC645" i="15"/>
  <c r="E645" i="15"/>
  <c r="C645" i="15" s="1"/>
  <c r="D645" i="15"/>
  <c r="R644" i="15" s="1"/>
  <c r="AC643" i="15"/>
  <c r="E643" i="15"/>
  <c r="C643" i="15" s="1"/>
  <c r="P643" i="15" s="1"/>
  <c r="D643" i="15"/>
  <c r="R642" i="15" s="1"/>
  <c r="AC641" i="15"/>
  <c r="E641" i="15"/>
  <c r="C641" i="15" s="1"/>
  <c r="D641" i="15"/>
  <c r="R640" i="15" s="1"/>
  <c r="AC639" i="15"/>
  <c r="E639" i="15"/>
  <c r="C639" i="15" s="1"/>
  <c r="P639" i="15" s="1"/>
  <c r="D639" i="15"/>
  <c r="R638" i="15" s="1"/>
  <c r="AC637" i="15"/>
  <c r="E637" i="15"/>
  <c r="C637" i="15" s="1"/>
  <c r="O637" i="15" s="1"/>
  <c r="D637" i="15"/>
  <c r="R636" i="15" s="1"/>
  <c r="V531" i="15"/>
  <c r="B467" i="15"/>
  <c r="B465" i="15"/>
  <c r="B463" i="15"/>
  <c r="B461" i="15"/>
  <c r="B459" i="15"/>
  <c r="AC467" i="15"/>
  <c r="AB467" i="15"/>
  <c r="C467" i="15"/>
  <c r="D467" i="15" s="1"/>
  <c r="AC465" i="15"/>
  <c r="AB465" i="15"/>
  <c r="C465" i="15"/>
  <c r="D465" i="15" s="1"/>
  <c r="AC463" i="15"/>
  <c r="AB463" i="15"/>
  <c r="C463" i="15"/>
  <c r="D463" i="15" s="1"/>
  <c r="K462" i="15" s="1"/>
  <c r="AC461" i="15"/>
  <c r="AB461" i="15"/>
  <c r="C461" i="15"/>
  <c r="D461" i="15" s="1"/>
  <c r="AC459" i="15"/>
  <c r="AB459" i="15"/>
  <c r="C459" i="15"/>
  <c r="D459" i="15" s="1"/>
  <c r="V353" i="15"/>
  <c r="V226" i="15"/>
  <c r="V98" i="15"/>
  <c r="B340" i="15"/>
  <c r="B338" i="15"/>
  <c r="B336" i="15"/>
  <c r="B334" i="15"/>
  <c r="B332" i="15"/>
  <c r="AC340" i="15"/>
  <c r="AC338" i="15"/>
  <c r="AC336" i="15"/>
  <c r="AC334" i="15"/>
  <c r="AC332" i="15"/>
  <c r="B212" i="15"/>
  <c r="B210" i="15"/>
  <c r="B208" i="15"/>
  <c r="K208" i="15" s="1"/>
  <c r="B206" i="15"/>
  <c r="B204" i="15"/>
  <c r="G83" i="11"/>
  <c r="L59" i="11"/>
  <c r="L60" i="11"/>
  <c r="L61" i="11"/>
  <c r="L62" i="11"/>
  <c r="L63" i="11"/>
  <c r="L64" i="11"/>
  <c r="L65" i="11"/>
  <c r="L66" i="11"/>
  <c r="L67" i="11"/>
  <c r="L68" i="11"/>
  <c r="L69" i="11"/>
  <c r="I60" i="11"/>
  <c r="I61" i="11"/>
  <c r="I62" i="11"/>
  <c r="I63" i="11"/>
  <c r="I64" i="11"/>
  <c r="I65" i="11"/>
  <c r="I66" i="11"/>
  <c r="I67" i="11"/>
  <c r="I68" i="11"/>
  <c r="I69" i="11"/>
  <c r="I59" i="11"/>
  <c r="L58" i="11"/>
  <c r="I58" i="11"/>
  <c r="V1285" i="15" l="1"/>
  <c r="V1277" i="15"/>
  <c r="V1281" i="15"/>
  <c r="V1279" i="15"/>
  <c r="V1283" i="15"/>
  <c r="H1022" i="15"/>
  <c r="K1022" i="15"/>
  <c r="N1022" i="15" s="1"/>
  <c r="V1014" i="15"/>
  <c r="V1016" i="15"/>
  <c r="J1022" i="15"/>
  <c r="K1016" i="15"/>
  <c r="N1016" i="15" s="1"/>
  <c r="V1020" i="15"/>
  <c r="L1020" i="15"/>
  <c r="M1020" i="15"/>
  <c r="V1018" i="15"/>
  <c r="L1018" i="15"/>
  <c r="Q1018" i="15" s="1"/>
  <c r="H895" i="15"/>
  <c r="J895" i="15"/>
  <c r="V887" i="15"/>
  <c r="V889" i="15"/>
  <c r="V891" i="15"/>
  <c r="V212" i="15"/>
  <c r="V893" i="15"/>
  <c r="H1020" i="15"/>
  <c r="K1020" i="15"/>
  <c r="N1020" i="15" s="1"/>
  <c r="L1022" i="15"/>
  <c r="M1022" i="15"/>
  <c r="N1018" i="15"/>
  <c r="H1014" i="15"/>
  <c r="L1014" i="15"/>
  <c r="Q1014" i="15" s="1"/>
  <c r="H1016" i="15"/>
  <c r="J1016" i="15"/>
  <c r="K1014" i="15"/>
  <c r="N1014" i="15" s="1"/>
  <c r="J1014" i="15"/>
  <c r="L1016" i="15"/>
  <c r="Q1016" i="15" s="1"/>
  <c r="H1018" i="15"/>
  <c r="J1018" i="15"/>
  <c r="I889" i="15"/>
  <c r="C891" i="15"/>
  <c r="K890" i="15" s="1"/>
  <c r="K891" i="15" s="1"/>
  <c r="V334" i="15"/>
  <c r="V336" i="15"/>
  <c r="V338" i="15"/>
  <c r="V340" i="15"/>
  <c r="V641" i="15"/>
  <c r="V332" i="15"/>
  <c r="C893" i="15"/>
  <c r="J889" i="15"/>
  <c r="K894" i="15"/>
  <c r="M895" i="15"/>
  <c r="Q895" i="15" s="1"/>
  <c r="M889" i="15"/>
  <c r="Q889" i="15" s="1"/>
  <c r="K888" i="15"/>
  <c r="C887" i="15"/>
  <c r="J891" i="15"/>
  <c r="J887" i="15"/>
  <c r="H893" i="15"/>
  <c r="H891" i="15"/>
  <c r="J893" i="15"/>
  <c r="I895" i="15"/>
  <c r="K766" i="15"/>
  <c r="M768" i="15"/>
  <c r="L768" i="15"/>
  <c r="O643" i="15"/>
  <c r="Q643" i="15" s="1"/>
  <c r="H639" i="15"/>
  <c r="L766" i="15"/>
  <c r="Q766" i="15" s="1"/>
  <c r="J641" i="15"/>
  <c r="H770" i="15"/>
  <c r="J770" i="15"/>
  <c r="K770" i="15"/>
  <c r="N770" i="15" s="1"/>
  <c r="H768" i="15"/>
  <c r="J768" i="15"/>
  <c r="K768" i="15"/>
  <c r="K764" i="15"/>
  <c r="N764" i="15" s="1"/>
  <c r="M770" i="15"/>
  <c r="L770" i="15"/>
  <c r="H764" i="15"/>
  <c r="H762" i="15"/>
  <c r="J762" i="15"/>
  <c r="K762" i="15"/>
  <c r="N762" i="15" s="1"/>
  <c r="L762" i="15"/>
  <c r="Q762" i="15" s="1"/>
  <c r="J764" i="15"/>
  <c r="L764" i="15"/>
  <c r="Q764" i="15" s="1"/>
  <c r="H766" i="15"/>
  <c r="J766" i="15"/>
  <c r="P641" i="15"/>
  <c r="O641" i="15"/>
  <c r="V639" i="15"/>
  <c r="K641" i="15"/>
  <c r="N641" i="15" s="1"/>
  <c r="H643" i="15"/>
  <c r="V637" i="15"/>
  <c r="J643" i="15"/>
  <c r="V643" i="15"/>
  <c r="V645" i="15"/>
  <c r="J645" i="15"/>
  <c r="H645" i="15"/>
  <c r="K645" i="15"/>
  <c r="N645" i="15" s="1"/>
  <c r="P645" i="15"/>
  <c r="O645" i="15"/>
  <c r="H637" i="15"/>
  <c r="J637" i="15"/>
  <c r="J639" i="15"/>
  <c r="P637" i="15"/>
  <c r="Q637" i="15" s="1"/>
  <c r="H641" i="15"/>
  <c r="K637" i="15"/>
  <c r="N637" i="15" s="1"/>
  <c r="O639" i="15"/>
  <c r="Q639" i="15" s="1"/>
  <c r="V459" i="15"/>
  <c r="V467" i="15"/>
  <c r="L462" i="15"/>
  <c r="L463" i="15" s="1"/>
  <c r="K463" i="15"/>
  <c r="M464" i="15"/>
  <c r="M465" i="15" s="1"/>
  <c r="H465" i="15"/>
  <c r="J465" i="15"/>
  <c r="V461" i="15"/>
  <c r="V463" i="15"/>
  <c r="V465" i="15"/>
  <c r="H461" i="15"/>
  <c r="V204" i="15"/>
  <c r="V206" i="15"/>
  <c r="J461" i="15"/>
  <c r="V210" i="15"/>
  <c r="M462" i="15"/>
  <c r="M463" i="15" s="1"/>
  <c r="H463" i="15"/>
  <c r="J463" i="15"/>
  <c r="J459" i="15"/>
  <c r="M458" i="15"/>
  <c r="M459" i="15" s="1"/>
  <c r="K458" i="15"/>
  <c r="K459" i="15" s="1"/>
  <c r="K464" i="15"/>
  <c r="K465" i="15" s="1"/>
  <c r="M460" i="15"/>
  <c r="M461" i="15" s="1"/>
  <c r="K460" i="15"/>
  <c r="K461" i="15" s="1"/>
  <c r="K466" i="15"/>
  <c r="K467" i="15" s="1"/>
  <c r="M466" i="15"/>
  <c r="M467" i="15" s="1"/>
  <c r="H467" i="15"/>
  <c r="H459" i="15"/>
  <c r="J467" i="15"/>
  <c r="L208" i="15"/>
  <c r="N208" i="15" s="1"/>
  <c r="V208" i="15"/>
  <c r="J208" i="15"/>
  <c r="H334" i="15"/>
  <c r="J334" i="15"/>
  <c r="K334" i="15"/>
  <c r="N334" i="15" s="1"/>
  <c r="H332" i="15"/>
  <c r="H340" i="15"/>
  <c r="J340" i="15"/>
  <c r="K340" i="15"/>
  <c r="N340" i="15" s="1"/>
  <c r="H336" i="15"/>
  <c r="J336" i="15"/>
  <c r="K336" i="15"/>
  <c r="N336" i="15" s="1"/>
  <c r="J332" i="15"/>
  <c r="K332" i="15"/>
  <c r="N332" i="15" s="1"/>
  <c r="H338" i="15"/>
  <c r="J338" i="15"/>
  <c r="K338" i="15"/>
  <c r="N338" i="15" s="1"/>
  <c r="L210" i="15"/>
  <c r="K206" i="15"/>
  <c r="L206" i="15"/>
  <c r="L212" i="15"/>
  <c r="K204" i="15"/>
  <c r="L204" i="15"/>
  <c r="H210" i="15"/>
  <c r="J210" i="15"/>
  <c r="K210" i="15"/>
  <c r="H206" i="15"/>
  <c r="J212" i="15"/>
  <c r="H204" i="15"/>
  <c r="K212" i="15"/>
  <c r="J206" i="15"/>
  <c r="H212" i="15"/>
  <c r="J204" i="15"/>
  <c r="H208" i="15"/>
  <c r="L891" i="15" l="1"/>
  <c r="N891" i="15" s="1"/>
  <c r="L890" i="15"/>
  <c r="Q1020" i="15"/>
  <c r="R1022" i="15"/>
  <c r="G1022" i="15" s="1"/>
  <c r="M891" i="15"/>
  <c r="Q891" i="15" s="1"/>
  <c r="R1018" i="15"/>
  <c r="G1018" i="15" s="1"/>
  <c r="R1016" i="15"/>
  <c r="G1016" i="15" s="1"/>
  <c r="R1020" i="15"/>
  <c r="G1020" i="15" s="1"/>
  <c r="R1014" i="15"/>
  <c r="G1014" i="15" s="1"/>
  <c r="Q1022" i="15"/>
  <c r="Q768" i="15"/>
  <c r="R766" i="15"/>
  <c r="G766" i="15" s="1"/>
  <c r="M893" i="15"/>
  <c r="Q893" i="15" s="1"/>
  <c r="K892" i="15"/>
  <c r="L888" i="15"/>
  <c r="L889" i="15"/>
  <c r="K889" i="15"/>
  <c r="L895" i="15"/>
  <c r="L894" i="15"/>
  <c r="K895" i="15"/>
  <c r="M887" i="15"/>
  <c r="Q887" i="15" s="1"/>
  <c r="K886" i="15"/>
  <c r="R643" i="15"/>
  <c r="G643" i="15" s="1"/>
  <c r="R768" i="15"/>
  <c r="G768" i="15" s="1"/>
  <c r="N766" i="15"/>
  <c r="R641" i="15"/>
  <c r="G641" i="15" s="1"/>
  <c r="Q641" i="15"/>
  <c r="L464" i="15"/>
  <c r="L465" i="15" s="1"/>
  <c r="N465" i="15" s="1"/>
  <c r="L460" i="15"/>
  <c r="L461" i="15" s="1"/>
  <c r="N461" i="15" s="1"/>
  <c r="N768" i="15"/>
  <c r="R637" i="15"/>
  <c r="R764" i="15"/>
  <c r="G764" i="15" s="1"/>
  <c r="Q770" i="15"/>
  <c r="R770" i="15"/>
  <c r="G770" i="15" s="1"/>
  <c r="R762" i="15"/>
  <c r="G762" i="15" s="1"/>
  <c r="N463" i="15"/>
  <c r="L458" i="15"/>
  <c r="L459" i="15" s="1"/>
  <c r="N459" i="15" s="1"/>
  <c r="Q645" i="15"/>
  <c r="G637" i="15"/>
  <c r="R639" i="15"/>
  <c r="G639" i="15" s="1"/>
  <c r="R645" i="15"/>
  <c r="G645" i="15" s="1"/>
  <c r="L466" i="15"/>
  <c r="L467" i="15" s="1"/>
  <c r="N467" i="15" s="1"/>
  <c r="N212" i="15"/>
  <c r="N210" i="15"/>
  <c r="N206" i="15"/>
  <c r="N204" i="15"/>
  <c r="R891" i="15" l="1"/>
  <c r="P890" i="15" s="1"/>
  <c r="G891" i="15" s="1"/>
  <c r="L892" i="15"/>
  <c r="L893" i="15"/>
  <c r="K893" i="15"/>
  <c r="L886" i="15"/>
  <c r="L887" i="15"/>
  <c r="K887" i="15"/>
  <c r="N889" i="15"/>
  <c r="R889" i="15"/>
  <c r="P888" i="15" s="1"/>
  <c r="G889" i="15" s="1"/>
  <c r="N895" i="15"/>
  <c r="R895" i="15"/>
  <c r="P894" i="15" s="1"/>
  <c r="G895" i="15" s="1"/>
  <c r="N893" i="15" l="1"/>
  <c r="R893" i="15"/>
  <c r="P892" i="15" s="1"/>
  <c r="G893" i="15" s="1"/>
  <c r="N887" i="15"/>
  <c r="R887" i="15"/>
  <c r="P886" i="15" s="1"/>
  <c r="G887" i="15" s="1"/>
  <c r="N58" i="11"/>
  <c r="N59" i="11"/>
  <c r="N60" i="11"/>
  <c r="N61" i="11"/>
  <c r="N62" i="11"/>
  <c r="N63" i="11"/>
  <c r="N64" i="11"/>
  <c r="N65" i="11"/>
  <c r="N66" i="11"/>
  <c r="N67" i="11"/>
  <c r="N68" i="11"/>
  <c r="N69" i="11"/>
  <c r="K58" i="11"/>
  <c r="K59" i="11"/>
  <c r="K60" i="11"/>
  <c r="K61" i="11"/>
  <c r="K62" i="11"/>
  <c r="K63" i="11"/>
  <c r="K64" i="11"/>
  <c r="K65" i="11"/>
  <c r="K66" i="11"/>
  <c r="K67" i="11"/>
  <c r="K68" i="11"/>
  <c r="K69" i="11"/>
  <c r="G58" i="11" l="1"/>
  <c r="G59" i="11"/>
  <c r="G60" i="11"/>
  <c r="G61" i="11"/>
  <c r="G62" i="11"/>
  <c r="G63" i="11"/>
  <c r="G64" i="11"/>
  <c r="G65" i="11"/>
  <c r="G66" i="11"/>
  <c r="G67" i="11"/>
  <c r="G68" i="11"/>
  <c r="G69" i="11"/>
  <c r="C58" i="11"/>
  <c r="D58" i="11" s="1"/>
  <c r="E58" i="11" s="1"/>
  <c r="F58" i="11" s="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c r="E65" i="11" s="1"/>
  <c r="F65" i="11" s="1"/>
  <c r="C66" i="11"/>
  <c r="D66" i="11" s="1"/>
  <c r="E66" i="11" s="1"/>
  <c r="F66" i="11" s="1"/>
  <c r="C67" i="11"/>
  <c r="D67" i="11" s="1"/>
  <c r="E67" i="11" s="1"/>
  <c r="F67" i="11" s="1"/>
  <c r="C68" i="11"/>
  <c r="D68" i="11" s="1"/>
  <c r="E68" i="11" s="1"/>
  <c r="F68" i="11" s="1"/>
  <c r="C69" i="11"/>
  <c r="D69" i="11" s="1"/>
  <c r="E69" i="11" s="1"/>
  <c r="F69" i="11" s="1"/>
  <c r="X35" i="15"/>
  <c r="W35" i="15"/>
  <c r="R4" i="15"/>
  <c r="G34" i="11"/>
  <c r="G84" i="11"/>
  <c r="C35" i="11"/>
  <c r="D35" i="11" s="1"/>
  <c r="E35" i="11" s="1"/>
  <c r="F35" i="11" s="1"/>
  <c r="C36" i="11"/>
  <c r="D36" i="11" s="1"/>
  <c r="E36" i="11" s="1"/>
  <c r="F36" i="11" s="1"/>
  <c r="C37" i="11"/>
  <c r="D37" i="11" s="1"/>
  <c r="E37" i="11" s="1"/>
  <c r="F37" i="11" s="1"/>
  <c r="C38" i="11"/>
  <c r="D38" i="11" s="1"/>
  <c r="E38" i="11" s="1"/>
  <c r="F38" i="11" s="1"/>
  <c r="C39" i="11"/>
  <c r="D39" i="11" s="1"/>
  <c r="E39" i="11" s="1"/>
  <c r="F39" i="11" s="1"/>
  <c r="C40" i="11"/>
  <c r="D40" i="11" s="1"/>
  <c r="E40" i="11" s="1"/>
  <c r="F40" i="11" s="1"/>
  <c r="C41" i="11"/>
  <c r="D41" i="11" s="1"/>
  <c r="E41" i="11" s="1"/>
  <c r="F41" i="11" s="1"/>
  <c r="C42" i="11"/>
  <c r="D42" i="11" s="1"/>
  <c r="E42" i="11" s="1"/>
  <c r="F42" i="11" s="1"/>
  <c r="C43" i="11"/>
  <c r="D43" i="11" s="1"/>
  <c r="E43" i="11" s="1"/>
  <c r="F43" i="11" s="1"/>
  <c r="C44" i="11"/>
  <c r="D44" i="11" s="1"/>
  <c r="E44" i="11" s="1"/>
  <c r="F44" i="11" s="1"/>
  <c r="C45" i="11"/>
  <c r="D45" i="11" s="1"/>
  <c r="E45" i="11" s="1"/>
  <c r="F45" i="11" s="1"/>
  <c r="C46" i="11"/>
  <c r="D46" i="11" s="1"/>
  <c r="E46" i="11" s="1"/>
  <c r="F46" i="11" s="1"/>
  <c r="C47" i="11"/>
  <c r="D47" i="11" s="1"/>
  <c r="E47" i="11" s="1"/>
  <c r="F47" i="11" s="1"/>
  <c r="C48" i="11"/>
  <c r="D48" i="11" s="1"/>
  <c r="E48" i="11" s="1"/>
  <c r="F48" i="11" s="1"/>
  <c r="C49" i="11"/>
  <c r="D49" i="11" s="1"/>
  <c r="E49" i="11" s="1"/>
  <c r="F49" i="11" s="1"/>
  <c r="C50" i="11"/>
  <c r="D50" i="11" s="1"/>
  <c r="E50" i="11" s="1"/>
  <c r="F50" i="11" s="1"/>
  <c r="C51" i="11"/>
  <c r="D51" i="11" s="1"/>
  <c r="E51" i="11" s="1"/>
  <c r="F51" i="11" s="1"/>
  <c r="C52" i="11"/>
  <c r="D52" i="11" s="1"/>
  <c r="E52" i="11" s="1"/>
  <c r="F52" i="11" s="1"/>
  <c r="C53" i="11"/>
  <c r="D53" i="11" s="1"/>
  <c r="E53" i="11" s="1"/>
  <c r="F53" i="11" s="1"/>
  <c r="C54" i="11"/>
  <c r="D54" i="11" s="1"/>
  <c r="E54" i="11" s="1"/>
  <c r="F54" i="11" s="1"/>
  <c r="C55" i="11"/>
  <c r="D55" i="11" s="1"/>
  <c r="E55" i="11" s="1"/>
  <c r="F55" i="11" s="1"/>
  <c r="C56" i="11"/>
  <c r="D56" i="11" s="1"/>
  <c r="E56" i="11" s="1"/>
  <c r="F56" i="11" s="1"/>
  <c r="C57" i="11"/>
  <c r="D57" i="11" s="1"/>
  <c r="E57" i="11" s="1"/>
  <c r="F57" i="11" s="1"/>
  <c r="C34" i="11"/>
  <c r="D34" i="11" s="1"/>
  <c r="E34" i="11" s="1"/>
  <c r="F3" i="15"/>
  <c r="B82" i="11"/>
  <c r="B83" i="11"/>
  <c r="B84" i="11"/>
  <c r="B85" i="11"/>
  <c r="B86" i="11"/>
  <c r="L50" i="11"/>
  <c r="N50" i="11" s="1"/>
  <c r="L51" i="11"/>
  <c r="N51" i="11" s="1"/>
  <c r="L52" i="11"/>
  <c r="N52" i="11" s="1"/>
  <c r="L53" i="11"/>
  <c r="L54" i="11"/>
  <c r="N54" i="11" s="1"/>
  <c r="L55" i="11"/>
  <c r="N55" i="11" s="1"/>
  <c r="L56" i="11"/>
  <c r="N56" i="11" s="1"/>
  <c r="L57" i="11"/>
  <c r="N57" i="11" s="1"/>
  <c r="L49" i="11"/>
  <c r="N49" i="11" s="1"/>
  <c r="L48" i="11"/>
  <c r="N48" i="11" s="1"/>
  <c r="L47" i="11"/>
  <c r="N47" i="11" s="1"/>
  <c r="L46" i="11"/>
  <c r="N46" i="11" s="1"/>
  <c r="I46" i="11"/>
  <c r="I57" i="11"/>
  <c r="K57" i="11" s="1"/>
  <c r="I56" i="11"/>
  <c r="K56" i="11" s="1"/>
  <c r="I55" i="11"/>
  <c r="K55" i="11" s="1"/>
  <c r="I54" i="11"/>
  <c r="I53" i="11"/>
  <c r="K53" i="11" s="1"/>
  <c r="I52" i="11"/>
  <c r="K52" i="11" s="1"/>
  <c r="I51" i="11"/>
  <c r="I50" i="11"/>
  <c r="I49" i="11"/>
  <c r="K49" i="11" s="1"/>
  <c r="I48" i="11"/>
  <c r="K48" i="11" s="1"/>
  <c r="I47" i="11"/>
  <c r="K47" i="11" s="1"/>
  <c r="O69" i="11" l="1"/>
  <c r="O72" i="11"/>
  <c r="O75" i="11"/>
  <c r="O77" i="11"/>
  <c r="O79" i="11"/>
  <c r="O81" i="11"/>
  <c r="O71" i="11"/>
  <c r="O73" i="11"/>
  <c r="O74" i="11"/>
  <c r="O76" i="11"/>
  <c r="O78" i="11"/>
  <c r="O80" i="11"/>
  <c r="O62" i="11"/>
  <c r="O61" i="11"/>
  <c r="O59" i="11"/>
  <c r="O64" i="11"/>
  <c r="O63" i="11"/>
  <c r="O58" i="11"/>
  <c r="O60" i="11"/>
  <c r="O68" i="11"/>
  <c r="O67" i="11"/>
  <c r="O66" i="11"/>
  <c r="O65" i="11"/>
  <c r="G50" i="11"/>
  <c r="G54" i="11"/>
  <c r="G46" i="11"/>
  <c r="G51" i="11"/>
  <c r="G47" i="11"/>
  <c r="G57" i="11"/>
  <c r="G49" i="11"/>
  <c r="G56" i="11"/>
  <c r="G48" i="11"/>
  <c r="G55" i="11"/>
  <c r="G53" i="11"/>
  <c r="G52" i="11"/>
  <c r="O35" i="11"/>
  <c r="F34" i="11"/>
  <c r="O34" i="11" s="1"/>
  <c r="O47" i="11"/>
  <c r="O42" i="11"/>
  <c r="O41" i="11"/>
  <c r="O39" i="11"/>
  <c r="O57" i="11"/>
  <c r="O55" i="11"/>
  <c r="O50" i="11"/>
  <c r="O49" i="11"/>
  <c r="O56" i="11"/>
  <c r="O48" i="11"/>
  <c r="O40" i="11"/>
  <c r="O54" i="11"/>
  <c r="O46" i="11"/>
  <c r="O38" i="11"/>
  <c r="O53" i="11"/>
  <c r="O45" i="11"/>
  <c r="O37" i="11"/>
  <c r="O52" i="11"/>
  <c r="O44" i="11"/>
  <c r="O36" i="11"/>
  <c r="O51" i="11"/>
  <c r="O43" i="11"/>
  <c r="K46" i="11"/>
  <c r="K54" i="11"/>
  <c r="K51" i="11"/>
  <c r="K50" i="11"/>
  <c r="N53" i="11"/>
  <c r="E1392" i="15" l="1"/>
  <c r="C1392" i="15" s="1"/>
  <c r="D1392" i="15"/>
  <c r="R1391" i="15" s="1"/>
  <c r="B1392" i="15"/>
  <c r="E1390" i="15"/>
  <c r="C1390" i="15" s="1"/>
  <c r="L1390" i="15" s="1"/>
  <c r="D1390" i="15"/>
  <c r="R1389" i="15" s="1"/>
  <c r="B1390" i="15"/>
  <c r="E1388" i="15"/>
  <c r="C1388" i="15" s="1"/>
  <c r="D1388" i="15"/>
  <c r="R1387" i="15" s="1"/>
  <c r="B1388" i="15"/>
  <c r="E1386" i="15"/>
  <c r="C1386" i="15" s="1"/>
  <c r="D1386" i="15"/>
  <c r="R1385" i="15" s="1"/>
  <c r="B1386" i="15"/>
  <c r="E1384" i="15"/>
  <c r="C1384" i="15" s="1"/>
  <c r="D1384" i="15"/>
  <c r="R1383" i="15" s="1"/>
  <c r="B1384" i="15"/>
  <c r="AC1392" i="15"/>
  <c r="AC1390" i="15"/>
  <c r="AC1388" i="15"/>
  <c r="AC1386" i="15"/>
  <c r="AC1384" i="15"/>
  <c r="E1275" i="15"/>
  <c r="C1275" i="15" s="1"/>
  <c r="D1275" i="15"/>
  <c r="R1274" i="15" s="1"/>
  <c r="B1275" i="15"/>
  <c r="E1273" i="15"/>
  <c r="C1273" i="15" s="1"/>
  <c r="L1273" i="15" s="1"/>
  <c r="D1273" i="15"/>
  <c r="R1272" i="15" s="1"/>
  <c r="B1273" i="15"/>
  <c r="E1271" i="15"/>
  <c r="C1271" i="15" s="1"/>
  <c r="D1271" i="15"/>
  <c r="R1270" i="15" s="1"/>
  <c r="B1271" i="15"/>
  <c r="E1269" i="15"/>
  <c r="C1269" i="15" s="1"/>
  <c r="D1269" i="15"/>
  <c r="R1268" i="15" s="1"/>
  <c r="B1269" i="15"/>
  <c r="E1267" i="15"/>
  <c r="C1267" i="15" s="1"/>
  <c r="D1267" i="15"/>
  <c r="R1266" i="15" s="1"/>
  <c r="B1267" i="15"/>
  <c r="AC1275" i="15"/>
  <c r="AC1273" i="15"/>
  <c r="AC1271" i="15"/>
  <c r="AC1269" i="15"/>
  <c r="AC1267" i="15"/>
  <c r="E1139" i="15"/>
  <c r="C1139" i="15" s="1"/>
  <c r="D1139" i="15"/>
  <c r="R1138" i="15" s="1"/>
  <c r="B1139" i="15"/>
  <c r="E1137" i="15"/>
  <c r="C1137" i="15" s="1"/>
  <c r="D1137" i="15"/>
  <c r="R1136" i="15" s="1"/>
  <c r="B1137" i="15"/>
  <c r="E1135" i="15"/>
  <c r="C1135" i="15" s="1"/>
  <c r="M1135" i="15" s="1"/>
  <c r="D1135" i="15"/>
  <c r="R1134" i="15" s="1"/>
  <c r="B1135" i="15"/>
  <c r="K1135" i="15" s="1"/>
  <c r="N1135" i="15" s="1"/>
  <c r="E1133" i="15"/>
  <c r="C1133" i="15" s="1"/>
  <c r="D1133" i="15"/>
  <c r="R1132" i="15" s="1"/>
  <c r="B1133" i="15"/>
  <c r="E1131" i="15"/>
  <c r="C1131" i="15" s="1"/>
  <c r="M1131" i="15" s="1"/>
  <c r="D1131" i="15"/>
  <c r="R1130" i="15" s="1"/>
  <c r="B1131" i="15"/>
  <c r="AC1139" i="15"/>
  <c r="AC1138" i="15"/>
  <c r="M1138" i="15"/>
  <c r="L1138" i="15"/>
  <c r="K1138" i="15"/>
  <c r="J1138" i="15"/>
  <c r="H1138" i="15"/>
  <c r="AC1137" i="15"/>
  <c r="AC1136" i="15"/>
  <c r="M1136" i="15"/>
  <c r="L1136" i="15"/>
  <c r="K1136" i="15"/>
  <c r="J1136" i="15"/>
  <c r="H1136" i="15"/>
  <c r="AC1135" i="15"/>
  <c r="AC1134" i="15"/>
  <c r="M1134" i="15"/>
  <c r="L1134" i="15"/>
  <c r="K1134" i="15"/>
  <c r="J1134" i="15"/>
  <c r="H1134" i="15"/>
  <c r="AC1133" i="15"/>
  <c r="AC1132" i="15"/>
  <c r="M1132" i="15"/>
  <c r="L1132" i="15"/>
  <c r="K1132" i="15"/>
  <c r="J1132" i="15"/>
  <c r="H1132" i="15"/>
  <c r="AC1131" i="15"/>
  <c r="AC1130" i="15"/>
  <c r="M1130" i="15"/>
  <c r="L1130" i="15"/>
  <c r="K1130" i="15"/>
  <c r="J1130" i="15"/>
  <c r="H1130" i="15"/>
  <c r="E1012" i="15"/>
  <c r="C1012" i="15" s="1"/>
  <c r="D1012" i="15"/>
  <c r="R1011" i="15" s="1"/>
  <c r="B1012" i="15"/>
  <c r="E1010" i="15"/>
  <c r="C1010" i="15" s="1"/>
  <c r="L1010" i="15" s="1"/>
  <c r="D1010" i="15"/>
  <c r="R1009" i="15" s="1"/>
  <c r="B1010" i="15"/>
  <c r="E1008" i="15"/>
  <c r="C1008" i="15" s="1"/>
  <c r="D1008" i="15"/>
  <c r="R1007" i="15" s="1"/>
  <c r="B1008" i="15"/>
  <c r="H1008" i="15" s="1"/>
  <c r="E1006" i="15"/>
  <c r="C1006" i="15" s="1"/>
  <c r="D1006" i="15"/>
  <c r="R1005" i="15" s="1"/>
  <c r="B1006" i="15"/>
  <c r="E1004" i="15"/>
  <c r="C1004" i="15" s="1"/>
  <c r="D1004" i="15"/>
  <c r="R1003" i="15" s="1"/>
  <c r="B1004" i="15"/>
  <c r="K1004" i="15" s="1"/>
  <c r="N1004" i="15" s="1"/>
  <c r="AC1012" i="15"/>
  <c r="AB1012" i="15"/>
  <c r="AC1010" i="15"/>
  <c r="AB1010" i="15"/>
  <c r="AC1008" i="15"/>
  <c r="AB1008" i="15"/>
  <c r="AC1006" i="15"/>
  <c r="AB1006" i="15"/>
  <c r="AC1004" i="15"/>
  <c r="AB1004" i="15"/>
  <c r="E885" i="15"/>
  <c r="I885" i="15" s="1"/>
  <c r="D885" i="15"/>
  <c r="R884" i="15" s="1"/>
  <c r="B885" i="15"/>
  <c r="E883" i="15"/>
  <c r="I883" i="15" s="1"/>
  <c r="D883" i="15"/>
  <c r="R882" i="15" s="1"/>
  <c r="B883" i="15"/>
  <c r="E881" i="15"/>
  <c r="I881" i="15" s="1"/>
  <c r="D881" i="15"/>
  <c r="R880" i="15" s="1"/>
  <c r="B881" i="15"/>
  <c r="H881" i="15" s="1"/>
  <c r="E879" i="15"/>
  <c r="C879" i="15" s="1"/>
  <c r="D879" i="15"/>
  <c r="R878" i="15" s="1"/>
  <c r="B879" i="15"/>
  <c r="E877" i="15"/>
  <c r="I877" i="15" s="1"/>
  <c r="D877" i="15"/>
  <c r="R876" i="15" s="1"/>
  <c r="B877" i="15"/>
  <c r="AC885" i="15"/>
  <c r="AB885" i="15"/>
  <c r="Q884" i="15"/>
  <c r="AC883" i="15"/>
  <c r="AB883" i="15"/>
  <c r="Q882" i="15"/>
  <c r="AC881" i="15"/>
  <c r="AB881" i="15"/>
  <c r="Q880" i="15"/>
  <c r="AC879" i="15"/>
  <c r="AB879" i="15"/>
  <c r="Q878" i="15"/>
  <c r="AC877" i="15"/>
  <c r="AB877" i="15"/>
  <c r="Q876" i="15"/>
  <c r="E760" i="15"/>
  <c r="C760" i="15" s="1"/>
  <c r="D760" i="15"/>
  <c r="R759" i="15" s="1"/>
  <c r="B760" i="15"/>
  <c r="E758" i="15"/>
  <c r="C758" i="15" s="1"/>
  <c r="L758" i="15" s="1"/>
  <c r="D758" i="15"/>
  <c r="R757" i="15" s="1"/>
  <c r="B758" i="15"/>
  <c r="E756" i="15"/>
  <c r="C756" i="15" s="1"/>
  <c r="D756" i="15"/>
  <c r="R755" i="15" s="1"/>
  <c r="B756" i="15"/>
  <c r="E754" i="15"/>
  <c r="C754" i="15" s="1"/>
  <c r="D754" i="15"/>
  <c r="R753" i="15" s="1"/>
  <c r="B754" i="15"/>
  <c r="J754" i="15" s="1"/>
  <c r="E752" i="15"/>
  <c r="C752" i="15" s="1"/>
  <c r="D752" i="15"/>
  <c r="R751" i="15" s="1"/>
  <c r="B752" i="15"/>
  <c r="AC760" i="15"/>
  <c r="AC758" i="15"/>
  <c r="AC756" i="15"/>
  <c r="AC754" i="15"/>
  <c r="AC752" i="15"/>
  <c r="E635" i="15"/>
  <c r="C635" i="15" s="1"/>
  <c r="P635" i="15" s="1"/>
  <c r="D635" i="15"/>
  <c r="R634" i="15" s="1"/>
  <c r="B635" i="15"/>
  <c r="E633" i="15"/>
  <c r="C633" i="15" s="1"/>
  <c r="P633" i="15" s="1"/>
  <c r="D633" i="15"/>
  <c r="R632" i="15" s="1"/>
  <c r="B633" i="15"/>
  <c r="E631" i="15"/>
  <c r="C631" i="15" s="1"/>
  <c r="D631" i="15"/>
  <c r="R630" i="15" s="1"/>
  <c r="B631" i="15"/>
  <c r="E629" i="15"/>
  <c r="C629" i="15" s="1"/>
  <c r="D629" i="15"/>
  <c r="R628" i="15" s="1"/>
  <c r="B629" i="15"/>
  <c r="K629" i="15" s="1"/>
  <c r="N629" i="15" s="1"/>
  <c r="E627" i="15"/>
  <c r="C627" i="15" s="1"/>
  <c r="O627" i="15" s="1"/>
  <c r="D627" i="15"/>
  <c r="R626" i="15" s="1"/>
  <c r="B627" i="15"/>
  <c r="K627" i="15" s="1"/>
  <c r="N627" i="15" s="1"/>
  <c r="AC635" i="15"/>
  <c r="AC633" i="15"/>
  <c r="AC631" i="15"/>
  <c r="AC629" i="15"/>
  <c r="AC627" i="15"/>
  <c r="C457" i="15"/>
  <c r="D457" i="15" s="1"/>
  <c r="C455" i="15"/>
  <c r="D455" i="15" s="1"/>
  <c r="C453" i="15"/>
  <c r="D453" i="15" s="1"/>
  <c r="C449" i="15"/>
  <c r="D449" i="15" s="1"/>
  <c r="K448" i="15" s="1"/>
  <c r="L448" i="15" s="1"/>
  <c r="L449" i="15" s="1"/>
  <c r="C451" i="15"/>
  <c r="D451" i="15" s="1"/>
  <c r="C447" i="15"/>
  <c r="C445" i="15"/>
  <c r="C443" i="15"/>
  <c r="D443" i="15" s="1"/>
  <c r="C441" i="15"/>
  <c r="C439" i="15"/>
  <c r="C437" i="15"/>
  <c r="C435" i="15"/>
  <c r="C433" i="15"/>
  <c r="C431" i="15"/>
  <c r="C429" i="15"/>
  <c r="B449" i="15"/>
  <c r="C27" i="10" a="1"/>
  <c r="C27" i="10" s="1"/>
  <c r="B457" i="15"/>
  <c r="J457" i="15" s="1"/>
  <c r="B455" i="15"/>
  <c r="B453" i="15"/>
  <c r="B451" i="15"/>
  <c r="AC457" i="15"/>
  <c r="AB457" i="15"/>
  <c r="AC455" i="15"/>
  <c r="AB455" i="15"/>
  <c r="AC453" i="15"/>
  <c r="AB453" i="15"/>
  <c r="AC451" i="15"/>
  <c r="AB451" i="15"/>
  <c r="AC449" i="15"/>
  <c r="AB449" i="15"/>
  <c r="B330" i="15"/>
  <c r="B328" i="15"/>
  <c r="B326" i="15"/>
  <c r="B324" i="15"/>
  <c r="H324" i="15" s="1"/>
  <c r="B322" i="15"/>
  <c r="AC330" i="15"/>
  <c r="AC328" i="15"/>
  <c r="AC326" i="15"/>
  <c r="AC324" i="15"/>
  <c r="AC322" i="15"/>
  <c r="B202" i="15"/>
  <c r="B200" i="15"/>
  <c r="B198" i="15"/>
  <c r="B196" i="15"/>
  <c r="B194" i="15"/>
  <c r="V1160" i="15"/>
  <c r="V1034" i="15"/>
  <c r="V907" i="15"/>
  <c r="V780" i="15"/>
  <c r="V655" i="15"/>
  <c r="V530" i="15"/>
  <c r="V352" i="15"/>
  <c r="V225" i="15"/>
  <c r="V97" i="15"/>
  <c r="V1149" i="15" l="1"/>
  <c r="V1147" i="15"/>
  <c r="V1141" i="15"/>
  <c r="V1143" i="15"/>
  <c r="V1145" i="15"/>
  <c r="V1131" i="15"/>
  <c r="V1269" i="15"/>
  <c r="V1133" i="15"/>
  <c r="V1267" i="15"/>
  <c r="K1269" i="15"/>
  <c r="N1269" i="15" s="1"/>
  <c r="V1384" i="15"/>
  <c r="V1386" i="15"/>
  <c r="V1388" i="15"/>
  <c r="V1390" i="15"/>
  <c r="V1392" i="15"/>
  <c r="W1390" i="15"/>
  <c r="H1388" i="15"/>
  <c r="W1388" i="15"/>
  <c r="W1386" i="15"/>
  <c r="H1386" i="15"/>
  <c r="J1386" i="15"/>
  <c r="K1386" i="15"/>
  <c r="N1386" i="15" s="1"/>
  <c r="H1384" i="15"/>
  <c r="J1384" i="15"/>
  <c r="K1384" i="15"/>
  <c r="N1384" i="15" s="1"/>
  <c r="M1384" i="15"/>
  <c r="L1384" i="15"/>
  <c r="M1388" i="15"/>
  <c r="L1388" i="15"/>
  <c r="M1392" i="15"/>
  <c r="L1392" i="15"/>
  <c r="M1386" i="15"/>
  <c r="L1386" i="15"/>
  <c r="W1392" i="15"/>
  <c r="J1388" i="15"/>
  <c r="H1390" i="15"/>
  <c r="M1390" i="15"/>
  <c r="Q1390" i="15" s="1"/>
  <c r="W1384" i="15"/>
  <c r="K1388" i="15"/>
  <c r="N1388" i="15" s="1"/>
  <c r="J1390" i="15"/>
  <c r="H1392" i="15"/>
  <c r="K1390" i="15"/>
  <c r="N1390" i="15" s="1"/>
  <c r="J1392" i="15"/>
  <c r="K1392" i="15"/>
  <c r="N1392" i="15" s="1"/>
  <c r="V1271" i="15"/>
  <c r="V1273" i="15"/>
  <c r="V1010" i="15"/>
  <c r="V1275" i="15"/>
  <c r="H1271" i="15"/>
  <c r="H1269" i="15"/>
  <c r="J1269" i="15"/>
  <c r="H1267" i="15"/>
  <c r="J1267" i="15"/>
  <c r="K1267" i="15"/>
  <c r="N1267" i="15" s="1"/>
  <c r="M1271" i="15"/>
  <c r="L1271" i="15"/>
  <c r="M1267" i="15"/>
  <c r="L1267" i="15"/>
  <c r="L1275" i="15"/>
  <c r="M1275" i="15"/>
  <c r="M1269" i="15"/>
  <c r="L1269" i="15"/>
  <c r="M1273" i="15"/>
  <c r="Q1273" i="15" s="1"/>
  <c r="J1271" i="15"/>
  <c r="H1273" i="15"/>
  <c r="K1271" i="15"/>
  <c r="N1271" i="15" s="1"/>
  <c r="J1273" i="15"/>
  <c r="H1275" i="15"/>
  <c r="K1273" i="15"/>
  <c r="N1273" i="15" s="1"/>
  <c r="J1275" i="15"/>
  <c r="K1275" i="15"/>
  <c r="N1275" i="15" s="1"/>
  <c r="V1004" i="15"/>
  <c r="V1006" i="15"/>
  <c r="V1135" i="15"/>
  <c r="V1137" i="15"/>
  <c r="V1139" i="15"/>
  <c r="M1139" i="15"/>
  <c r="L1139" i="15"/>
  <c r="K1137" i="15"/>
  <c r="N1137" i="15" s="1"/>
  <c r="J1135" i="15"/>
  <c r="M1133" i="15"/>
  <c r="L1133" i="15"/>
  <c r="H1133" i="15"/>
  <c r="J1133" i="15"/>
  <c r="J1131" i="15"/>
  <c r="K1131" i="15"/>
  <c r="N1131" i="15" s="1"/>
  <c r="H1131" i="15"/>
  <c r="M1137" i="15"/>
  <c r="L1137" i="15"/>
  <c r="K1133" i="15"/>
  <c r="N1133" i="15" s="1"/>
  <c r="L1135" i="15"/>
  <c r="Q1135" i="15" s="1"/>
  <c r="L1131" i="15"/>
  <c r="H1139" i="15"/>
  <c r="H1137" i="15"/>
  <c r="J1139" i="15"/>
  <c r="H1135" i="15"/>
  <c r="J1137" i="15"/>
  <c r="K1139" i="15"/>
  <c r="N1139" i="15" s="1"/>
  <c r="V877" i="15"/>
  <c r="V1008" i="15"/>
  <c r="V879" i="15"/>
  <c r="V1012" i="15"/>
  <c r="M1012" i="15"/>
  <c r="L1012" i="15"/>
  <c r="H1006" i="15"/>
  <c r="J1006" i="15"/>
  <c r="K1006" i="15"/>
  <c r="N1006" i="15" s="1"/>
  <c r="H1004" i="15"/>
  <c r="J1004" i="15"/>
  <c r="M1006" i="15"/>
  <c r="L1006" i="15"/>
  <c r="M1004" i="15"/>
  <c r="L1004" i="15"/>
  <c r="M1008" i="15"/>
  <c r="L1008" i="15"/>
  <c r="M1010" i="15"/>
  <c r="Q1010" i="15" s="1"/>
  <c r="J1008" i="15"/>
  <c r="H1010" i="15"/>
  <c r="K1008" i="15"/>
  <c r="N1008" i="15" s="1"/>
  <c r="J1010" i="15"/>
  <c r="H1012" i="15"/>
  <c r="K1010" i="15"/>
  <c r="N1010" i="15" s="1"/>
  <c r="J1012" i="15"/>
  <c r="K1012" i="15"/>
  <c r="N1012" i="15" s="1"/>
  <c r="V752" i="15"/>
  <c r="V881" i="15"/>
  <c r="V883" i="15"/>
  <c r="V885" i="15"/>
  <c r="C885" i="15"/>
  <c r="K884" i="15" s="1"/>
  <c r="K885" i="15" s="1"/>
  <c r="H885" i="15"/>
  <c r="J883" i="15"/>
  <c r="C881" i="15"/>
  <c r="K880" i="15" s="1"/>
  <c r="L880" i="15" s="1"/>
  <c r="J879" i="15"/>
  <c r="C877" i="15"/>
  <c r="K876" i="15" s="1"/>
  <c r="L876" i="15" s="1"/>
  <c r="H877" i="15"/>
  <c r="M879" i="15"/>
  <c r="Q879" i="15" s="1"/>
  <c r="K878" i="15"/>
  <c r="L878" i="15" s="1"/>
  <c r="H879" i="15"/>
  <c r="J881" i="15"/>
  <c r="C883" i="15"/>
  <c r="I879" i="15"/>
  <c r="J877" i="15"/>
  <c r="H883" i="15"/>
  <c r="J885" i="15"/>
  <c r="V758" i="15"/>
  <c r="V754" i="15"/>
  <c r="V629" i="15"/>
  <c r="V631" i="15"/>
  <c r="H756" i="15"/>
  <c r="V756" i="15"/>
  <c r="V449" i="15"/>
  <c r="V633" i="15"/>
  <c r="J629" i="15"/>
  <c r="V760" i="15"/>
  <c r="M760" i="15"/>
  <c r="L760" i="15"/>
  <c r="H754" i="15"/>
  <c r="H752" i="15"/>
  <c r="J752" i="15"/>
  <c r="K752" i="15"/>
  <c r="N752" i="15" s="1"/>
  <c r="M752" i="15"/>
  <c r="L752" i="15"/>
  <c r="M754" i="15"/>
  <c r="L754" i="15"/>
  <c r="M756" i="15"/>
  <c r="L756" i="15"/>
  <c r="M758" i="15"/>
  <c r="Q758" i="15" s="1"/>
  <c r="K754" i="15"/>
  <c r="J756" i="15"/>
  <c r="H758" i="15"/>
  <c r="K756" i="15"/>
  <c r="N756" i="15" s="1"/>
  <c r="J758" i="15"/>
  <c r="H760" i="15"/>
  <c r="K758" i="15"/>
  <c r="N758" i="15" s="1"/>
  <c r="J760" i="15"/>
  <c r="K760" i="15"/>
  <c r="N760" i="15" s="1"/>
  <c r="P627" i="15"/>
  <c r="R627" i="15" s="1"/>
  <c r="V627" i="15"/>
  <c r="V635" i="15"/>
  <c r="V322" i="15"/>
  <c r="V457" i="15"/>
  <c r="H631" i="15"/>
  <c r="H629" i="15"/>
  <c r="H627" i="15"/>
  <c r="J627" i="15"/>
  <c r="P629" i="15"/>
  <c r="O629" i="15"/>
  <c r="O631" i="15"/>
  <c r="P631" i="15"/>
  <c r="O633" i="15"/>
  <c r="Q633" i="15" s="1"/>
  <c r="O635" i="15"/>
  <c r="Q635" i="15" s="1"/>
  <c r="J631" i="15"/>
  <c r="H633" i="15"/>
  <c r="K631" i="15"/>
  <c r="N631" i="15" s="1"/>
  <c r="J633" i="15"/>
  <c r="H635" i="15"/>
  <c r="K633" i="15"/>
  <c r="N633" i="15" s="1"/>
  <c r="J635" i="15"/>
  <c r="K635" i="15"/>
  <c r="N635" i="15" s="1"/>
  <c r="V453" i="15"/>
  <c r="V455" i="15"/>
  <c r="K442" i="15"/>
  <c r="L442" i="15" s="1"/>
  <c r="M448" i="15"/>
  <c r="M449" i="15" s="1"/>
  <c r="K449" i="15"/>
  <c r="V451" i="15"/>
  <c r="J455" i="15"/>
  <c r="J453" i="15"/>
  <c r="J451" i="15"/>
  <c r="J449" i="15"/>
  <c r="K456" i="15"/>
  <c r="K457" i="15" s="1"/>
  <c r="K450" i="15"/>
  <c r="K451" i="15" s="1"/>
  <c r="K454" i="15"/>
  <c r="K455" i="15" s="1"/>
  <c r="K452" i="15"/>
  <c r="K453" i="15" s="1"/>
  <c r="M450" i="15"/>
  <c r="M451" i="15" s="1"/>
  <c r="M452" i="15"/>
  <c r="M453" i="15" s="1"/>
  <c r="M454" i="15"/>
  <c r="M455" i="15" s="1"/>
  <c r="M456" i="15"/>
  <c r="M457" i="15" s="1"/>
  <c r="H449" i="15"/>
  <c r="H451" i="15"/>
  <c r="H453" i="15"/>
  <c r="H455" i="15"/>
  <c r="H457" i="15"/>
  <c r="V326" i="15"/>
  <c r="V328" i="15"/>
  <c r="V330" i="15"/>
  <c r="V324" i="15"/>
  <c r="K330" i="15"/>
  <c r="N330" i="15" s="1"/>
  <c r="H328" i="15"/>
  <c r="J326" i="15"/>
  <c r="H326" i="15"/>
  <c r="K324" i="15"/>
  <c r="N324" i="15" s="1"/>
  <c r="J324" i="15"/>
  <c r="K326" i="15"/>
  <c r="N326" i="15" s="1"/>
  <c r="J328" i="15"/>
  <c r="H330" i="15"/>
  <c r="K328" i="15"/>
  <c r="N328" i="15" s="1"/>
  <c r="J330" i="15"/>
  <c r="H322" i="15"/>
  <c r="J322" i="15"/>
  <c r="K322" i="15"/>
  <c r="N322" i="15" s="1"/>
  <c r="V196" i="15"/>
  <c r="V194" i="15"/>
  <c r="V198" i="15"/>
  <c r="V200" i="15"/>
  <c r="V202" i="15"/>
  <c r="L194" i="15"/>
  <c r="L196" i="15"/>
  <c r="L198" i="15"/>
  <c r="L200" i="15"/>
  <c r="L202" i="15"/>
  <c r="H194" i="15"/>
  <c r="H196" i="15"/>
  <c r="H200" i="15"/>
  <c r="J194" i="15"/>
  <c r="J196" i="15"/>
  <c r="J198" i="15"/>
  <c r="J200" i="15"/>
  <c r="K194" i="15"/>
  <c r="K196" i="15"/>
  <c r="K198" i="15"/>
  <c r="K200" i="15"/>
  <c r="K202" i="15"/>
  <c r="H198" i="15"/>
  <c r="H202" i="15"/>
  <c r="J202" i="15"/>
  <c r="B114" i="15"/>
  <c r="E607" i="15"/>
  <c r="D607" i="15"/>
  <c r="E609" i="15"/>
  <c r="D609" i="15"/>
  <c r="E611" i="15"/>
  <c r="D611" i="15"/>
  <c r="E613" i="15"/>
  <c r="D613" i="15"/>
  <c r="E615" i="15"/>
  <c r="D615" i="15"/>
  <c r="E617" i="15"/>
  <c r="C617" i="15" s="1"/>
  <c r="D617" i="15"/>
  <c r="R616" i="15" s="1"/>
  <c r="E619" i="15"/>
  <c r="C619" i="15" s="1"/>
  <c r="D619" i="15"/>
  <c r="R618" i="15" s="1"/>
  <c r="E621" i="15"/>
  <c r="C621" i="15" s="1"/>
  <c r="D621" i="15"/>
  <c r="R620" i="15" s="1"/>
  <c r="E623" i="15"/>
  <c r="C623" i="15" s="1"/>
  <c r="O623" i="15" s="1"/>
  <c r="D623" i="15"/>
  <c r="R622" i="15" s="1"/>
  <c r="E625" i="15"/>
  <c r="C625" i="15" s="1"/>
  <c r="D625" i="15"/>
  <c r="R624" i="15" s="1"/>
  <c r="E732" i="15"/>
  <c r="D732" i="15"/>
  <c r="E734" i="15"/>
  <c r="D734" i="15"/>
  <c r="E736" i="15"/>
  <c r="D736" i="15"/>
  <c r="E738" i="15"/>
  <c r="D738" i="15"/>
  <c r="E740" i="15"/>
  <c r="D740" i="15"/>
  <c r="E742" i="15"/>
  <c r="C742" i="15" s="1"/>
  <c r="D742" i="15"/>
  <c r="R741" i="15" s="1"/>
  <c r="E744" i="15"/>
  <c r="C744" i="15" s="1"/>
  <c r="D744" i="15"/>
  <c r="R743" i="15" s="1"/>
  <c r="E746" i="15"/>
  <c r="C746" i="15" s="1"/>
  <c r="D746" i="15"/>
  <c r="R745" i="15" s="1"/>
  <c r="E748" i="15"/>
  <c r="C748" i="15" s="1"/>
  <c r="D748" i="15"/>
  <c r="R747" i="15" s="1"/>
  <c r="E750" i="15"/>
  <c r="C750" i="15" s="1"/>
  <c r="D750" i="15"/>
  <c r="R749" i="15" s="1"/>
  <c r="E857" i="15"/>
  <c r="D857" i="15"/>
  <c r="E859" i="15"/>
  <c r="D859" i="15"/>
  <c r="E861" i="15"/>
  <c r="D861" i="15"/>
  <c r="E863" i="15"/>
  <c r="D863" i="15"/>
  <c r="E865" i="15"/>
  <c r="D865" i="15"/>
  <c r="E867" i="15"/>
  <c r="I867" i="15" s="1"/>
  <c r="D867" i="15"/>
  <c r="R866" i="15" s="1"/>
  <c r="E869" i="15"/>
  <c r="C869" i="15" s="1"/>
  <c r="D869" i="15"/>
  <c r="R868" i="15" s="1"/>
  <c r="E871" i="15"/>
  <c r="I871" i="15" s="1"/>
  <c r="D871" i="15"/>
  <c r="R870" i="15" s="1"/>
  <c r="E873" i="15"/>
  <c r="I873" i="15" s="1"/>
  <c r="D873" i="15"/>
  <c r="R872" i="15" s="1"/>
  <c r="E875" i="15"/>
  <c r="I875" i="15" s="1"/>
  <c r="D875" i="15"/>
  <c r="R874" i="15" s="1"/>
  <c r="E984" i="15"/>
  <c r="D984" i="15"/>
  <c r="E986" i="15"/>
  <c r="D986" i="15"/>
  <c r="E988" i="15"/>
  <c r="D988" i="15"/>
  <c r="E990" i="15"/>
  <c r="D990" i="15"/>
  <c r="E992" i="15"/>
  <c r="D992" i="15"/>
  <c r="E994" i="15"/>
  <c r="C994" i="15" s="1"/>
  <c r="D994" i="15"/>
  <c r="R993" i="15" s="1"/>
  <c r="E996" i="15"/>
  <c r="C996" i="15" s="1"/>
  <c r="D996" i="15"/>
  <c r="R995" i="15" s="1"/>
  <c r="E998" i="15"/>
  <c r="C998" i="15" s="1"/>
  <c r="M998" i="15" s="1"/>
  <c r="D998" i="15"/>
  <c r="R997" i="15" s="1"/>
  <c r="E1000" i="15"/>
  <c r="C1000" i="15" s="1"/>
  <c r="L1000" i="15" s="1"/>
  <c r="D1000" i="15"/>
  <c r="R999" i="15" s="1"/>
  <c r="E1002" i="15"/>
  <c r="C1002" i="15" s="1"/>
  <c r="D1002" i="15"/>
  <c r="R1001" i="15" s="1"/>
  <c r="E1111" i="15"/>
  <c r="D1111" i="15"/>
  <c r="E1113" i="15"/>
  <c r="D1113" i="15"/>
  <c r="E1115" i="15"/>
  <c r="D1115" i="15"/>
  <c r="E1117" i="15"/>
  <c r="D1117" i="15"/>
  <c r="E1119" i="15"/>
  <c r="D1119" i="15"/>
  <c r="E1121" i="15"/>
  <c r="C1121" i="15" s="1"/>
  <c r="D1121" i="15"/>
  <c r="R1120" i="15" s="1"/>
  <c r="E1123" i="15"/>
  <c r="C1123" i="15" s="1"/>
  <c r="D1123" i="15"/>
  <c r="R1122" i="15" s="1"/>
  <c r="E1125" i="15"/>
  <c r="C1125" i="15" s="1"/>
  <c r="M1125" i="15" s="1"/>
  <c r="D1125" i="15"/>
  <c r="R1124" i="15" s="1"/>
  <c r="E1127" i="15"/>
  <c r="C1127" i="15" s="1"/>
  <c r="M1127" i="15" s="1"/>
  <c r="D1127" i="15"/>
  <c r="R1126" i="15" s="1"/>
  <c r="E1129" i="15"/>
  <c r="C1129" i="15" s="1"/>
  <c r="D1129" i="15"/>
  <c r="R1128" i="15" s="1"/>
  <c r="D1245" i="15"/>
  <c r="E1245" i="15"/>
  <c r="E1247" i="15"/>
  <c r="D1247" i="15"/>
  <c r="E1249" i="15"/>
  <c r="D1249" i="15"/>
  <c r="E1251" i="15"/>
  <c r="D1251" i="15"/>
  <c r="E1253" i="15"/>
  <c r="D1253" i="15"/>
  <c r="D1255" i="15"/>
  <c r="E1255" i="15"/>
  <c r="E1257" i="15"/>
  <c r="C1257" i="15" s="1"/>
  <c r="D1257" i="15"/>
  <c r="R1256" i="15" s="1"/>
  <c r="E1259" i="15"/>
  <c r="C1259" i="15" s="1"/>
  <c r="D1259" i="15"/>
  <c r="R1258" i="15" s="1"/>
  <c r="E1261" i="15"/>
  <c r="C1261" i="15" s="1"/>
  <c r="D1261" i="15"/>
  <c r="R1260" i="15" s="1"/>
  <c r="E1263" i="15"/>
  <c r="C1263" i="15" s="1"/>
  <c r="L1263" i="15" s="1"/>
  <c r="D1263" i="15"/>
  <c r="R1262" i="15" s="1"/>
  <c r="E1265" i="15"/>
  <c r="C1265" i="15" s="1"/>
  <c r="M1265" i="15" s="1"/>
  <c r="D1265" i="15"/>
  <c r="R1264" i="15" s="1"/>
  <c r="E1363" i="15"/>
  <c r="D1363" i="15"/>
  <c r="E1365" i="15"/>
  <c r="D1365" i="15"/>
  <c r="E1367" i="15"/>
  <c r="D1367" i="15"/>
  <c r="E1369" i="15"/>
  <c r="D1369" i="15"/>
  <c r="E1371" i="15"/>
  <c r="D1371" i="15"/>
  <c r="E1374" i="15"/>
  <c r="C1374" i="15" s="1"/>
  <c r="D1374" i="15"/>
  <c r="R1373" i="15" s="1"/>
  <c r="E1376" i="15"/>
  <c r="C1376" i="15" s="1"/>
  <c r="D1376" i="15"/>
  <c r="R1375" i="15" s="1"/>
  <c r="E1378" i="15"/>
  <c r="C1378" i="15" s="1"/>
  <c r="D1378" i="15"/>
  <c r="R1377" i="15" s="1"/>
  <c r="E1380" i="15"/>
  <c r="C1380" i="15" s="1"/>
  <c r="L1380" i="15" s="1"/>
  <c r="D1380" i="15"/>
  <c r="R1379" i="15" s="1"/>
  <c r="E1382" i="15"/>
  <c r="C1382" i="15" s="1"/>
  <c r="D1382" i="15"/>
  <c r="R1381" i="15" s="1"/>
  <c r="B1002" i="15"/>
  <c r="B1000" i="15"/>
  <c r="B998" i="15"/>
  <c r="B996" i="15"/>
  <c r="B994" i="15"/>
  <c r="AC1002" i="15"/>
  <c r="AB1002" i="15"/>
  <c r="AC1000" i="15"/>
  <c r="AB1000" i="15"/>
  <c r="AC998" i="15"/>
  <c r="AB998" i="15"/>
  <c r="AC996" i="15"/>
  <c r="AB996" i="15"/>
  <c r="AC994" i="15"/>
  <c r="AB994" i="15"/>
  <c r="B192" i="15"/>
  <c r="B190" i="15"/>
  <c r="B188" i="15"/>
  <c r="B186" i="15"/>
  <c r="B184" i="15"/>
  <c r="V215" i="15"/>
  <c r="V216" i="15"/>
  <c r="V217" i="15"/>
  <c r="V218" i="15"/>
  <c r="V219" i="15"/>
  <c r="V220" i="15"/>
  <c r="V221" i="15"/>
  <c r="V222" i="15"/>
  <c r="B320" i="15"/>
  <c r="J320" i="15" s="1"/>
  <c r="B318" i="15"/>
  <c r="B316" i="15"/>
  <c r="J316" i="15" s="1"/>
  <c r="B314" i="15"/>
  <c r="J314" i="15" s="1"/>
  <c r="B312" i="15"/>
  <c r="AC320" i="15"/>
  <c r="AC318" i="15"/>
  <c r="AC316" i="15"/>
  <c r="AC314" i="15"/>
  <c r="AC312" i="15"/>
  <c r="B447" i="15"/>
  <c r="B445" i="15"/>
  <c r="B443" i="15"/>
  <c r="M442" i="15" s="1"/>
  <c r="B441" i="15"/>
  <c r="B439" i="15"/>
  <c r="AC447" i="15"/>
  <c r="AB447" i="15"/>
  <c r="D447" i="15"/>
  <c r="K446" i="15" s="1"/>
  <c r="L446" i="15" s="1"/>
  <c r="AC445" i="15"/>
  <c r="AB445" i="15"/>
  <c r="D445" i="15"/>
  <c r="K444" i="15" s="1"/>
  <c r="L444" i="15" s="1"/>
  <c r="AC443" i="15"/>
  <c r="AB443" i="15"/>
  <c r="AC441" i="15"/>
  <c r="AB441" i="15"/>
  <c r="D441" i="15"/>
  <c r="K440" i="15" s="1"/>
  <c r="L440" i="15" s="1"/>
  <c r="AC439" i="15"/>
  <c r="AB439" i="15"/>
  <c r="D439" i="15"/>
  <c r="K438" i="15" s="1"/>
  <c r="L438" i="15" s="1"/>
  <c r="B625" i="15"/>
  <c r="B623" i="15"/>
  <c r="B621" i="15"/>
  <c r="B619" i="15"/>
  <c r="B617" i="15"/>
  <c r="AC625" i="15"/>
  <c r="AC623" i="15"/>
  <c r="AC621" i="15"/>
  <c r="AC619" i="15"/>
  <c r="AC617" i="15"/>
  <c r="B750" i="15"/>
  <c r="B748" i="15"/>
  <c r="B746" i="15"/>
  <c r="B744" i="15"/>
  <c r="B742" i="15"/>
  <c r="K742" i="15" s="1"/>
  <c r="N742" i="15" s="1"/>
  <c r="AC750" i="15"/>
  <c r="AC748" i="15"/>
  <c r="AC746" i="15"/>
  <c r="AC744" i="15"/>
  <c r="AC742" i="15"/>
  <c r="B875" i="15"/>
  <c r="B873" i="15"/>
  <c r="J873" i="15" s="1"/>
  <c r="B871" i="15"/>
  <c r="B869" i="15"/>
  <c r="H869" i="15" s="1"/>
  <c r="B867" i="15"/>
  <c r="AC875" i="15"/>
  <c r="AB875" i="15"/>
  <c r="Q874" i="15"/>
  <c r="AC873" i="15"/>
  <c r="AB873" i="15"/>
  <c r="Q872" i="15"/>
  <c r="AC871" i="15"/>
  <c r="AB871" i="15"/>
  <c r="Q870" i="15"/>
  <c r="AC869" i="15"/>
  <c r="AB869" i="15"/>
  <c r="Q868" i="15"/>
  <c r="AC867" i="15"/>
  <c r="AB867" i="15"/>
  <c r="Q866" i="15"/>
  <c r="B1129" i="15"/>
  <c r="B1127" i="15"/>
  <c r="B1125" i="15"/>
  <c r="J1125" i="15" s="1"/>
  <c r="B1123" i="15"/>
  <c r="B1121" i="15"/>
  <c r="K1121" i="15" s="1"/>
  <c r="N1121" i="15" s="1"/>
  <c r="AC1129" i="15"/>
  <c r="AC1128" i="15"/>
  <c r="M1128" i="15"/>
  <c r="L1128" i="15"/>
  <c r="K1128" i="15"/>
  <c r="J1128" i="15"/>
  <c r="H1128" i="15"/>
  <c r="AC1127" i="15"/>
  <c r="AC1126" i="15"/>
  <c r="M1126" i="15"/>
  <c r="L1126" i="15"/>
  <c r="K1126" i="15"/>
  <c r="J1126" i="15"/>
  <c r="H1126" i="15"/>
  <c r="AC1125" i="15"/>
  <c r="AC1124" i="15"/>
  <c r="M1124" i="15"/>
  <c r="L1124" i="15"/>
  <c r="K1124" i="15"/>
  <c r="J1124" i="15"/>
  <c r="H1124" i="15"/>
  <c r="AC1123" i="15"/>
  <c r="AC1122" i="15"/>
  <c r="M1122" i="15"/>
  <c r="L1122" i="15"/>
  <c r="K1122" i="15"/>
  <c r="J1122" i="15"/>
  <c r="H1122" i="15"/>
  <c r="AC1121" i="15"/>
  <c r="AC1120" i="15"/>
  <c r="M1120" i="15"/>
  <c r="L1120" i="15"/>
  <c r="K1120" i="15"/>
  <c r="J1120" i="15"/>
  <c r="H1120" i="15"/>
  <c r="V1151" i="15"/>
  <c r="B1265" i="15"/>
  <c r="B1263" i="15"/>
  <c r="B1261" i="15"/>
  <c r="J1261" i="15" s="1"/>
  <c r="B1259" i="15"/>
  <c r="J1259" i="15" s="1"/>
  <c r="B1257" i="15"/>
  <c r="AC1265" i="15"/>
  <c r="AC1263" i="15"/>
  <c r="AC1261" i="15"/>
  <c r="AC1259" i="15"/>
  <c r="AC1257" i="15"/>
  <c r="B1382" i="15"/>
  <c r="B1380" i="15"/>
  <c r="W1380" i="15" s="1"/>
  <c r="B1378" i="15"/>
  <c r="H1378" i="15" s="1"/>
  <c r="B1376" i="15"/>
  <c r="W1376" i="15" s="1"/>
  <c r="B1374" i="15"/>
  <c r="K1374" i="15" s="1"/>
  <c r="N1374" i="15" s="1"/>
  <c r="AC1382" i="15"/>
  <c r="AC1380" i="15"/>
  <c r="AC1378" i="15"/>
  <c r="AC1376" i="15"/>
  <c r="AC1374" i="15"/>
  <c r="V96" i="15"/>
  <c r="V224" i="15"/>
  <c r="V351" i="15"/>
  <c r="V529" i="15"/>
  <c r="V654" i="15"/>
  <c r="V779" i="15"/>
  <c r="V906" i="15"/>
  <c r="V1033" i="15"/>
  <c r="V1159" i="15"/>
  <c r="B1371" i="15"/>
  <c r="B1369" i="15"/>
  <c r="B1367" i="15"/>
  <c r="B1365" i="15"/>
  <c r="B1363" i="15"/>
  <c r="L45" i="11"/>
  <c r="N45" i="11" s="1"/>
  <c r="I45" i="11"/>
  <c r="L44" i="11"/>
  <c r="N44" i="11" s="1"/>
  <c r="I44" i="11"/>
  <c r="L43" i="11"/>
  <c r="N43" i="11" s="1"/>
  <c r="I43" i="11"/>
  <c r="L42" i="11"/>
  <c r="N42" i="11" s="1"/>
  <c r="I42" i="11"/>
  <c r="L41" i="11"/>
  <c r="I41" i="11"/>
  <c r="L40" i="11"/>
  <c r="N40" i="11" s="1"/>
  <c r="I40" i="11"/>
  <c r="L39" i="11"/>
  <c r="N39" i="11" s="1"/>
  <c r="I39" i="11"/>
  <c r="L38" i="11"/>
  <c r="N38" i="11" s="1"/>
  <c r="I38" i="11"/>
  <c r="L37" i="11"/>
  <c r="N37" i="11" s="1"/>
  <c r="I37" i="11"/>
  <c r="L36" i="11"/>
  <c r="N36" i="11" s="1"/>
  <c r="I36" i="11"/>
  <c r="N35" i="11"/>
  <c r="I35" i="11"/>
  <c r="G35" i="11" s="1"/>
  <c r="N34" i="11"/>
  <c r="K34" i="11"/>
  <c r="K489" i="15"/>
  <c r="J489" i="15"/>
  <c r="M74" i="15"/>
  <c r="L74" i="15"/>
  <c r="K74" i="15"/>
  <c r="J74" i="15"/>
  <c r="F74" i="15"/>
  <c r="V445" i="15" l="1"/>
  <c r="V447" i="15"/>
  <c r="Q1133" i="15"/>
  <c r="K39" i="11"/>
  <c r="G39" i="11"/>
  <c r="K43" i="11"/>
  <c r="G43" i="11"/>
  <c r="K36" i="11"/>
  <c r="G36" i="11"/>
  <c r="K40" i="11"/>
  <c r="G40" i="11"/>
  <c r="K44" i="11"/>
  <c r="G44" i="11"/>
  <c r="K37" i="11"/>
  <c r="G37" i="11"/>
  <c r="K41" i="11"/>
  <c r="G41" i="11"/>
  <c r="K45" i="11"/>
  <c r="G45" i="11"/>
  <c r="K38" i="11"/>
  <c r="G38" i="11"/>
  <c r="K42" i="11"/>
  <c r="G42" i="11"/>
  <c r="Q1139" i="15"/>
  <c r="Q1275" i="15"/>
  <c r="Q1271" i="15"/>
  <c r="Q1012" i="15"/>
  <c r="R1384" i="15"/>
  <c r="G1384" i="15" s="1"/>
  <c r="R1390" i="15"/>
  <c r="G1390" i="15" s="1"/>
  <c r="R1388" i="15"/>
  <c r="G1388" i="15" s="1"/>
  <c r="Q1388" i="15"/>
  <c r="R1392" i="15"/>
  <c r="G1392" i="15" s="1"/>
  <c r="Q1386" i="15"/>
  <c r="R1386" i="15"/>
  <c r="G1386" i="15" s="1"/>
  <c r="Q1384" i="15"/>
  <c r="Q1392" i="15"/>
  <c r="R1269" i="15"/>
  <c r="G1269" i="15" s="1"/>
  <c r="R1275" i="15"/>
  <c r="G1275" i="15" s="1"/>
  <c r="R1267" i="15"/>
  <c r="Q1267" i="15"/>
  <c r="Q1269" i="15"/>
  <c r="R1273" i="15"/>
  <c r="G1273" i="15" s="1"/>
  <c r="R1271" i="15"/>
  <c r="K877" i="15"/>
  <c r="L877" i="15"/>
  <c r="R1133" i="15"/>
  <c r="G1133" i="15" s="1"/>
  <c r="Q754" i="15"/>
  <c r="Q760" i="15"/>
  <c r="Q1131" i="15"/>
  <c r="R1131" i="15"/>
  <c r="Q1137" i="15"/>
  <c r="R1137" i="15"/>
  <c r="G1137" i="15" s="1"/>
  <c r="R1139" i="15"/>
  <c r="G1139" i="15" s="1"/>
  <c r="R1135" i="15"/>
  <c r="L885" i="15"/>
  <c r="N885" i="15" s="1"/>
  <c r="L884" i="15"/>
  <c r="M885" i="15"/>
  <c r="Q885" i="15" s="1"/>
  <c r="Q756" i="15"/>
  <c r="Q1008" i="15"/>
  <c r="R1004" i="15"/>
  <c r="G1004" i="15" s="1"/>
  <c r="R1008" i="15"/>
  <c r="Q1006" i="15"/>
  <c r="R1010" i="15"/>
  <c r="G1010" i="15" s="1"/>
  <c r="R1006" i="15"/>
  <c r="G1006" i="15" s="1"/>
  <c r="Q1004" i="15"/>
  <c r="R1012" i="15"/>
  <c r="G1012" i="15" s="1"/>
  <c r="M877" i="15"/>
  <c r="Q877" i="15" s="1"/>
  <c r="M881" i="15"/>
  <c r="Q881" i="15" s="1"/>
  <c r="K881" i="15"/>
  <c r="L881" i="15"/>
  <c r="K879" i="15"/>
  <c r="M883" i="15"/>
  <c r="Q883" i="15" s="1"/>
  <c r="K882" i="15"/>
  <c r="L879" i="15"/>
  <c r="N754" i="15"/>
  <c r="R754" i="15"/>
  <c r="G754" i="15" s="1"/>
  <c r="Q752" i="15"/>
  <c r="R752" i="15"/>
  <c r="G752" i="15" s="1"/>
  <c r="R760" i="15"/>
  <c r="G760" i="15" s="1"/>
  <c r="R756" i="15"/>
  <c r="R758" i="15"/>
  <c r="G758" i="15" s="1"/>
  <c r="R635" i="15"/>
  <c r="G635" i="15" s="1"/>
  <c r="R633" i="15"/>
  <c r="G633" i="15" s="1"/>
  <c r="R631" i="15"/>
  <c r="G631" i="15" s="1"/>
  <c r="Q631" i="15"/>
  <c r="Q629" i="15"/>
  <c r="R629" i="15"/>
  <c r="G629" i="15" s="1"/>
  <c r="Q627" i="15"/>
  <c r="M444" i="15"/>
  <c r="M445" i="15" s="1"/>
  <c r="J447" i="15"/>
  <c r="M446" i="15"/>
  <c r="M447" i="15" s="1"/>
  <c r="M438" i="15"/>
  <c r="M439" i="15" s="1"/>
  <c r="M440" i="15"/>
  <c r="M441" i="15" s="1"/>
  <c r="N449" i="15"/>
  <c r="J439" i="15"/>
  <c r="L452" i="15"/>
  <c r="L453" i="15" s="1"/>
  <c r="N453" i="15" s="1"/>
  <c r="L450" i="15"/>
  <c r="L451" i="15" s="1"/>
  <c r="N451" i="15" s="1"/>
  <c r="L456" i="15"/>
  <c r="L457" i="15" s="1"/>
  <c r="L454" i="15"/>
  <c r="L455" i="15" s="1"/>
  <c r="N455" i="15" s="1"/>
  <c r="N200" i="15"/>
  <c r="N198" i="15"/>
  <c r="N202" i="15"/>
  <c r="N194" i="15"/>
  <c r="N196" i="15"/>
  <c r="N41" i="11"/>
  <c r="K35" i="11"/>
  <c r="V314" i="15"/>
  <c r="V1000" i="15"/>
  <c r="V1002" i="15"/>
  <c r="V994" i="15"/>
  <c r="V996" i="15"/>
  <c r="J996" i="15"/>
  <c r="V998" i="15"/>
  <c r="H998" i="15"/>
  <c r="H996" i="15"/>
  <c r="K996" i="15"/>
  <c r="N996" i="15" s="1"/>
  <c r="H994" i="15"/>
  <c r="J994" i="15"/>
  <c r="K994" i="15"/>
  <c r="N994" i="15" s="1"/>
  <c r="M994" i="15"/>
  <c r="L994" i="15"/>
  <c r="L1002" i="15"/>
  <c r="M1002" i="15"/>
  <c r="M996" i="15"/>
  <c r="L996" i="15"/>
  <c r="M1000" i="15"/>
  <c r="Q1000" i="15" s="1"/>
  <c r="J998" i="15"/>
  <c r="H1000" i="15"/>
  <c r="K998" i="15"/>
  <c r="N998" i="15" s="1"/>
  <c r="J1000" i="15"/>
  <c r="H1002" i="15"/>
  <c r="L998" i="15"/>
  <c r="Q998" i="15" s="1"/>
  <c r="K1000" i="15"/>
  <c r="N1000" i="15" s="1"/>
  <c r="J1002" i="15"/>
  <c r="K1002" i="15"/>
  <c r="N1002" i="15" s="1"/>
  <c r="V617" i="15"/>
  <c r="V441" i="15"/>
  <c r="V312" i="15"/>
  <c r="V318" i="15"/>
  <c r="V192" i="15"/>
  <c r="V188" i="15"/>
  <c r="V190" i="15"/>
  <c r="V625" i="15"/>
  <c r="H318" i="15"/>
  <c r="K318" i="15"/>
  <c r="N318" i="15" s="1"/>
  <c r="V184" i="15"/>
  <c r="V186" i="15"/>
  <c r="H184" i="15"/>
  <c r="H186" i="15"/>
  <c r="H188" i="15"/>
  <c r="H190" i="15"/>
  <c r="H192" i="15"/>
  <c r="J184" i="15"/>
  <c r="J186" i="15"/>
  <c r="J188" i="15"/>
  <c r="J190" i="15"/>
  <c r="J192" i="15"/>
  <c r="K184" i="15"/>
  <c r="K186" i="15"/>
  <c r="K188" i="15"/>
  <c r="K190" i="15"/>
  <c r="K192" i="15"/>
  <c r="L184" i="15"/>
  <c r="L186" i="15"/>
  <c r="L188" i="15"/>
  <c r="L190" i="15"/>
  <c r="L192" i="15"/>
  <c r="H617" i="15"/>
  <c r="J617" i="15"/>
  <c r="K617" i="15"/>
  <c r="N617" i="15" s="1"/>
  <c r="V619" i="15"/>
  <c r="V443" i="15"/>
  <c r="V316" i="15"/>
  <c r="V621" i="15"/>
  <c r="V623" i="15"/>
  <c r="V439" i="15"/>
  <c r="V320" i="15"/>
  <c r="H316" i="15"/>
  <c r="H314" i="15"/>
  <c r="K314" i="15"/>
  <c r="N314" i="15" s="1"/>
  <c r="K316" i="15"/>
  <c r="N316" i="15" s="1"/>
  <c r="J318" i="15"/>
  <c r="H320" i="15"/>
  <c r="K320" i="15"/>
  <c r="N320" i="15" s="1"/>
  <c r="H312" i="15"/>
  <c r="J312" i="15"/>
  <c r="K312" i="15"/>
  <c r="N312" i="15" s="1"/>
  <c r="J445" i="15"/>
  <c r="J441" i="15"/>
  <c r="K445" i="15"/>
  <c r="K447" i="15"/>
  <c r="J443" i="15"/>
  <c r="H439" i="15"/>
  <c r="H441" i="15"/>
  <c r="H443" i="15"/>
  <c r="H445" i="15"/>
  <c r="H447" i="15"/>
  <c r="O621" i="15"/>
  <c r="P621" i="15"/>
  <c r="V871" i="15"/>
  <c r="C873" i="15"/>
  <c r="K872" i="15" s="1"/>
  <c r="K873" i="15" s="1"/>
  <c r="H619" i="15"/>
  <c r="J619" i="15"/>
  <c r="P619" i="15"/>
  <c r="O619" i="15"/>
  <c r="P625" i="15"/>
  <c r="O625" i="15"/>
  <c r="P617" i="15"/>
  <c r="O617" i="15"/>
  <c r="P623" i="15"/>
  <c r="Q623" i="15" s="1"/>
  <c r="H621" i="15"/>
  <c r="K619" i="15"/>
  <c r="N619" i="15" s="1"/>
  <c r="J621" i="15"/>
  <c r="H623" i="15"/>
  <c r="K621" i="15"/>
  <c r="N621" i="15" s="1"/>
  <c r="J623" i="15"/>
  <c r="H625" i="15"/>
  <c r="K623" i="15"/>
  <c r="N623" i="15" s="1"/>
  <c r="J625" i="15"/>
  <c r="K625" i="15"/>
  <c r="N625" i="15" s="1"/>
  <c r="C875" i="15"/>
  <c r="K874" i="15" s="1"/>
  <c r="L874" i="15" s="1"/>
  <c r="V867" i="15"/>
  <c r="V748" i="15"/>
  <c r="V869" i="15"/>
  <c r="H746" i="15"/>
  <c r="V742" i="15"/>
  <c r="C871" i="15"/>
  <c r="K870" i="15" s="1"/>
  <c r="L870" i="15" s="1"/>
  <c r="V744" i="15"/>
  <c r="V746" i="15"/>
  <c r="V750" i="15"/>
  <c r="J744" i="15"/>
  <c r="H744" i="15"/>
  <c r="H742" i="15"/>
  <c r="J742" i="15"/>
  <c r="M746" i="15"/>
  <c r="L746" i="15"/>
  <c r="M744" i="15"/>
  <c r="L744" i="15"/>
  <c r="M750" i="15"/>
  <c r="L750" i="15"/>
  <c r="M742" i="15"/>
  <c r="L742" i="15"/>
  <c r="L748" i="15"/>
  <c r="M748" i="15"/>
  <c r="K744" i="15"/>
  <c r="N744" i="15" s="1"/>
  <c r="J746" i="15"/>
  <c r="H748" i="15"/>
  <c r="K746" i="15"/>
  <c r="N746" i="15" s="1"/>
  <c r="J748" i="15"/>
  <c r="H750" i="15"/>
  <c r="K748" i="15"/>
  <c r="N748" i="15" s="1"/>
  <c r="J750" i="15"/>
  <c r="K750" i="15"/>
  <c r="N750" i="15" s="1"/>
  <c r="V1121" i="15"/>
  <c r="V1123" i="15"/>
  <c r="H1376" i="15"/>
  <c r="V1376" i="15"/>
  <c r="V1129" i="15"/>
  <c r="V873" i="15"/>
  <c r="J1121" i="15"/>
  <c r="C867" i="15"/>
  <c r="K866" i="15" s="1"/>
  <c r="L867" i="15" s="1"/>
  <c r="V875" i="15"/>
  <c r="H871" i="15"/>
  <c r="J871" i="15"/>
  <c r="J869" i="15"/>
  <c r="H867" i="15"/>
  <c r="M869" i="15"/>
  <c r="Q869" i="15" s="1"/>
  <c r="K868" i="15"/>
  <c r="L868" i="15" s="1"/>
  <c r="I869" i="15"/>
  <c r="H875" i="15"/>
  <c r="J867" i="15"/>
  <c r="H873" i="15"/>
  <c r="J875" i="15"/>
  <c r="M1121" i="15"/>
  <c r="L1121" i="15"/>
  <c r="M1123" i="15"/>
  <c r="L1123" i="15"/>
  <c r="L1125" i="15"/>
  <c r="Q1125" i="15" s="1"/>
  <c r="V1125" i="15"/>
  <c r="V1257" i="15"/>
  <c r="V1127" i="15"/>
  <c r="V1259" i="15"/>
  <c r="H1259" i="15"/>
  <c r="K1127" i="15"/>
  <c r="N1127" i="15" s="1"/>
  <c r="H1123" i="15"/>
  <c r="K1123" i="15"/>
  <c r="N1123" i="15" s="1"/>
  <c r="H1121" i="15"/>
  <c r="M1129" i="15"/>
  <c r="L1129" i="15"/>
  <c r="J1123" i="15"/>
  <c r="K1125" i="15"/>
  <c r="N1125" i="15" s="1"/>
  <c r="L1127" i="15"/>
  <c r="Q1127" i="15" s="1"/>
  <c r="H1129" i="15"/>
  <c r="H1127" i="15"/>
  <c r="J1129" i="15"/>
  <c r="H1125" i="15"/>
  <c r="J1127" i="15"/>
  <c r="K1129" i="15"/>
  <c r="N1129" i="15" s="1"/>
  <c r="V1374" i="15"/>
  <c r="L1265" i="15"/>
  <c r="Q1265" i="15" s="1"/>
  <c r="V1378" i="15"/>
  <c r="V1261" i="15"/>
  <c r="V1380" i="15"/>
  <c r="V1263" i="15"/>
  <c r="V1382" i="15"/>
  <c r="V1265" i="15"/>
  <c r="H1263" i="15"/>
  <c r="H1261" i="15"/>
  <c r="K1259" i="15"/>
  <c r="N1259" i="15" s="1"/>
  <c r="H1257" i="15"/>
  <c r="K1257" i="15"/>
  <c r="N1257" i="15" s="1"/>
  <c r="M1259" i="15"/>
  <c r="L1259" i="15"/>
  <c r="M1257" i="15"/>
  <c r="L1257" i="15"/>
  <c r="M1261" i="15"/>
  <c r="L1261" i="15"/>
  <c r="M1263" i="15"/>
  <c r="J1257" i="15"/>
  <c r="K1261" i="15"/>
  <c r="N1261" i="15" s="1"/>
  <c r="J1263" i="15"/>
  <c r="H1265" i="15"/>
  <c r="K1263" i="15"/>
  <c r="N1263" i="15" s="1"/>
  <c r="J1265" i="15"/>
  <c r="K1265" i="15"/>
  <c r="N1265" i="15" s="1"/>
  <c r="W1378" i="15"/>
  <c r="J1376" i="15"/>
  <c r="W1374" i="15"/>
  <c r="H1374" i="15"/>
  <c r="J1374" i="15"/>
  <c r="M1378" i="15"/>
  <c r="L1378" i="15"/>
  <c r="M1376" i="15"/>
  <c r="L1376" i="15"/>
  <c r="M1382" i="15"/>
  <c r="L1382" i="15"/>
  <c r="M1374" i="15"/>
  <c r="L1374" i="15"/>
  <c r="M1380" i="15"/>
  <c r="Q1380" i="15" s="1"/>
  <c r="W1382" i="15"/>
  <c r="K1376" i="15"/>
  <c r="N1376" i="15" s="1"/>
  <c r="J1378" i="15"/>
  <c r="H1380" i="15"/>
  <c r="K1378" i="15"/>
  <c r="N1378" i="15" s="1"/>
  <c r="J1380" i="15"/>
  <c r="H1382" i="15"/>
  <c r="K1380" i="15"/>
  <c r="N1380" i="15" s="1"/>
  <c r="J1382" i="15"/>
  <c r="K1382" i="15"/>
  <c r="N1382" i="15" s="1"/>
  <c r="V647" i="15"/>
  <c r="V648" i="15"/>
  <c r="V649" i="15"/>
  <c r="V650" i="15"/>
  <c r="V651" i="15"/>
  <c r="V652" i="15"/>
  <c r="V653" i="15"/>
  <c r="V520" i="15"/>
  <c r="V521" i="15"/>
  <c r="V522" i="15"/>
  <c r="V523" i="15"/>
  <c r="V524" i="15"/>
  <c r="V525" i="15"/>
  <c r="V526" i="15"/>
  <c r="V527" i="15"/>
  <c r="V528" i="15"/>
  <c r="V532" i="15"/>
  <c r="N877" i="15" l="1"/>
  <c r="R877" i="15"/>
  <c r="P876" i="15" s="1"/>
  <c r="G877" i="15" s="1"/>
  <c r="R885" i="15"/>
  <c r="P884" i="15" s="1"/>
  <c r="G885" i="15" s="1"/>
  <c r="N879" i="15"/>
  <c r="N881" i="15"/>
  <c r="R881" i="15"/>
  <c r="L883" i="15"/>
  <c r="K883" i="15"/>
  <c r="L882" i="15"/>
  <c r="R879" i="15"/>
  <c r="P878" i="15" s="1"/>
  <c r="G879" i="15" s="1"/>
  <c r="K441" i="15"/>
  <c r="K443" i="15"/>
  <c r="L439" i="15"/>
  <c r="K439" i="15"/>
  <c r="N457" i="15"/>
  <c r="Q994" i="15"/>
  <c r="Q1129" i="15"/>
  <c r="Q996" i="15"/>
  <c r="Q1002" i="15"/>
  <c r="R1000" i="15"/>
  <c r="G1000" i="15" s="1"/>
  <c r="R1002" i="15"/>
  <c r="G1002" i="15" s="1"/>
  <c r="R994" i="15"/>
  <c r="R998" i="15"/>
  <c r="G998" i="15" s="1"/>
  <c r="R996" i="15"/>
  <c r="G996" i="15" s="1"/>
  <c r="N186" i="15"/>
  <c r="L875" i="15"/>
  <c r="K875" i="15"/>
  <c r="N192" i="15"/>
  <c r="N184" i="15"/>
  <c r="M875" i="15"/>
  <c r="Q875" i="15" s="1"/>
  <c r="N190" i="15"/>
  <c r="N188" i="15"/>
  <c r="Q1257" i="15"/>
  <c r="Q1121" i="15"/>
  <c r="R621" i="15"/>
  <c r="G621" i="15" s="1"/>
  <c r="R625" i="15"/>
  <c r="L443" i="15"/>
  <c r="Q621" i="15"/>
  <c r="Q742" i="15"/>
  <c r="L441" i="15"/>
  <c r="L447" i="15"/>
  <c r="L445" i="15"/>
  <c r="Q1123" i="15"/>
  <c r="L872" i="15"/>
  <c r="Q746" i="15"/>
  <c r="M873" i="15"/>
  <c r="Q873" i="15" s="1"/>
  <c r="L873" i="15"/>
  <c r="N873" i="15" s="1"/>
  <c r="R623" i="15"/>
  <c r="G623" i="15" s="1"/>
  <c r="R619" i="15"/>
  <c r="G619" i="15" s="1"/>
  <c r="Q619" i="15"/>
  <c r="Q617" i="15"/>
  <c r="Q625" i="15"/>
  <c r="R617" i="15"/>
  <c r="L871" i="15"/>
  <c r="Q744" i="15"/>
  <c r="K871" i="15"/>
  <c r="M871" i="15"/>
  <c r="Q871" i="15" s="1"/>
  <c r="K867" i="15"/>
  <c r="N867" i="15" s="1"/>
  <c r="R750" i="15"/>
  <c r="Q748" i="15"/>
  <c r="R744" i="15"/>
  <c r="R742" i="15"/>
  <c r="G742" i="15" s="1"/>
  <c r="R748" i="15"/>
  <c r="G748" i="15" s="1"/>
  <c r="R746" i="15"/>
  <c r="G746" i="15" s="1"/>
  <c r="Q750" i="15"/>
  <c r="R1123" i="15"/>
  <c r="G1123" i="15" s="1"/>
  <c r="L869" i="15"/>
  <c r="M867" i="15"/>
  <c r="Q867" i="15" s="1"/>
  <c r="Q1376" i="15"/>
  <c r="L866" i="15"/>
  <c r="Q1261" i="15"/>
  <c r="R1121" i="15"/>
  <c r="G1121" i="15" s="1"/>
  <c r="K869" i="15"/>
  <c r="R1257" i="15"/>
  <c r="G1257" i="15" s="1"/>
  <c r="R1259" i="15"/>
  <c r="G1259" i="15" s="1"/>
  <c r="R1125" i="15"/>
  <c r="G1125" i="15" s="1"/>
  <c r="R1127" i="15"/>
  <c r="G1127" i="15" s="1"/>
  <c r="R1129" i="15"/>
  <c r="Q1378" i="15"/>
  <c r="R1263" i="15"/>
  <c r="G1263" i="15" s="1"/>
  <c r="Q1382" i="15"/>
  <c r="R1261" i="15"/>
  <c r="Q1263" i="15"/>
  <c r="R1265" i="15"/>
  <c r="Q1259" i="15"/>
  <c r="R1382" i="15"/>
  <c r="Q1374" i="15"/>
  <c r="R1380" i="15"/>
  <c r="R1376" i="15"/>
  <c r="G1376" i="15" s="1"/>
  <c r="R1374" i="15"/>
  <c r="G1374" i="15" s="1"/>
  <c r="R1378" i="15"/>
  <c r="V44" i="15"/>
  <c r="N883" i="15" l="1"/>
  <c r="R883" i="15"/>
  <c r="P882" i="15" s="1"/>
  <c r="G883" i="15" s="1"/>
  <c r="N441" i="15"/>
  <c r="N439" i="15"/>
  <c r="N875" i="15"/>
  <c r="R875" i="15"/>
  <c r="P874" i="15" s="1"/>
  <c r="G875" i="15" s="1"/>
  <c r="N871" i="15"/>
  <c r="N445" i="15"/>
  <c r="N447" i="15"/>
  <c r="R873" i="15"/>
  <c r="P872" i="15" s="1"/>
  <c r="G873" i="15" s="1"/>
  <c r="N869" i="15"/>
  <c r="R867" i="15"/>
  <c r="P866" i="15" s="1"/>
  <c r="G867" i="15" s="1"/>
  <c r="R871" i="15"/>
  <c r="P870" i="15" s="1"/>
  <c r="G871" i="15" s="1"/>
  <c r="R869" i="15"/>
  <c r="G60" i="15" l="1"/>
  <c r="H60" i="15"/>
  <c r="I60" i="15"/>
  <c r="J1050" i="15" l="1"/>
  <c r="AC1371" i="15" l="1"/>
  <c r="AB1371" i="15"/>
  <c r="C1371" i="15"/>
  <c r="R1370" i="15"/>
  <c r="W1371" i="15"/>
  <c r="AC1369" i="15"/>
  <c r="AB1369" i="15"/>
  <c r="C1369" i="15"/>
  <c r="R1368" i="15"/>
  <c r="W1369" i="15"/>
  <c r="AC1367" i="15"/>
  <c r="AB1367" i="15"/>
  <c r="C1367" i="15"/>
  <c r="R1366" i="15"/>
  <c r="W1367" i="15"/>
  <c r="AC1365" i="15"/>
  <c r="AB1365" i="15"/>
  <c r="C1365" i="15"/>
  <c r="R1364" i="15"/>
  <c r="W1365" i="15"/>
  <c r="AC1363" i="15"/>
  <c r="AB1363" i="15"/>
  <c r="C1363" i="15"/>
  <c r="R1362" i="15"/>
  <c r="W1363" i="15"/>
  <c r="AC1361" i="15"/>
  <c r="AB1361" i="15"/>
  <c r="E1361" i="15"/>
  <c r="C1361" i="15" s="1"/>
  <c r="D1361" i="15"/>
  <c r="R1360" i="15" s="1"/>
  <c r="B1361" i="15"/>
  <c r="J1361" i="15" s="1"/>
  <c r="AC1359" i="15"/>
  <c r="AB1359" i="15"/>
  <c r="E1359" i="15"/>
  <c r="C1359" i="15" s="1"/>
  <c r="M1359" i="15" s="1"/>
  <c r="D1359" i="15"/>
  <c r="R1358" i="15" s="1"/>
  <c r="B1359" i="15"/>
  <c r="W1359" i="15" s="1"/>
  <c r="AC1357" i="15"/>
  <c r="AB1357" i="15"/>
  <c r="E1357" i="15"/>
  <c r="C1357" i="15" s="1"/>
  <c r="D1357" i="15"/>
  <c r="R1356" i="15" s="1"/>
  <c r="B1357" i="15"/>
  <c r="AC1355" i="15"/>
  <c r="AB1355" i="15"/>
  <c r="E1355" i="15"/>
  <c r="C1355" i="15" s="1"/>
  <c r="D1355" i="15"/>
  <c r="R1354" i="15" s="1"/>
  <c r="B1355" i="15"/>
  <c r="AC1353" i="15"/>
  <c r="AB1353" i="15"/>
  <c r="E1353" i="15"/>
  <c r="C1353" i="15" s="1"/>
  <c r="D1353" i="15"/>
  <c r="R1352" i="15" s="1"/>
  <c r="B1353" i="15"/>
  <c r="W1353" i="15" s="1"/>
  <c r="AC1351" i="15"/>
  <c r="AB1351" i="15"/>
  <c r="E1351" i="15"/>
  <c r="C1351" i="15" s="1"/>
  <c r="D1351" i="15"/>
  <c r="R1350" i="15" s="1"/>
  <c r="B1351" i="15"/>
  <c r="AC1349" i="15"/>
  <c r="AB1349" i="15"/>
  <c r="E1349" i="15"/>
  <c r="C1349" i="15" s="1"/>
  <c r="D1349" i="15"/>
  <c r="R1348" i="15" s="1"/>
  <c r="B1349" i="15"/>
  <c r="W1349" i="15" s="1"/>
  <c r="AC1347" i="15"/>
  <c r="AB1347" i="15"/>
  <c r="E1347" i="15"/>
  <c r="C1347" i="15" s="1"/>
  <c r="D1347" i="15"/>
  <c r="R1346" i="15" s="1"/>
  <c r="B1347" i="15"/>
  <c r="AC1345" i="15"/>
  <c r="AB1345" i="15"/>
  <c r="E1345" i="15"/>
  <c r="C1345" i="15" s="1"/>
  <c r="M1345" i="15" s="1"/>
  <c r="D1345" i="15"/>
  <c r="R1344" i="15" s="1"/>
  <c r="B1345" i="15"/>
  <c r="AC1343" i="15"/>
  <c r="AB1343" i="15"/>
  <c r="E1343" i="15"/>
  <c r="C1343" i="15" s="1"/>
  <c r="D1343" i="15"/>
  <c r="R1342" i="15" s="1"/>
  <c r="B1343" i="15"/>
  <c r="W1343" i="15" s="1"/>
  <c r="AC1341" i="15"/>
  <c r="AB1341" i="15"/>
  <c r="E1341" i="15"/>
  <c r="C1341" i="15" s="1"/>
  <c r="M1341" i="15" s="1"/>
  <c r="D1341" i="15"/>
  <c r="R1340" i="15" s="1"/>
  <c r="B1341" i="15"/>
  <c r="K1341" i="15" s="1"/>
  <c r="N1341" i="15" s="1"/>
  <c r="AC1339" i="15"/>
  <c r="AB1339" i="15"/>
  <c r="E1339" i="15"/>
  <c r="C1339" i="15" s="1"/>
  <c r="D1339" i="15"/>
  <c r="R1338" i="15" s="1"/>
  <c r="B1339" i="15"/>
  <c r="K1339" i="15" s="1"/>
  <c r="N1339" i="15" s="1"/>
  <c r="AC1337" i="15"/>
  <c r="AB1337" i="15"/>
  <c r="E1337" i="15"/>
  <c r="C1337" i="15" s="1"/>
  <c r="M1337" i="15" s="1"/>
  <c r="D1337" i="15"/>
  <c r="R1336" i="15" s="1"/>
  <c r="B1337" i="15"/>
  <c r="W1337" i="15" s="1"/>
  <c r="AC1335" i="15"/>
  <c r="AB1335" i="15"/>
  <c r="E1335" i="15"/>
  <c r="C1335" i="15" s="1"/>
  <c r="D1335" i="15"/>
  <c r="R1334" i="15" s="1"/>
  <c r="B1335" i="15"/>
  <c r="H1335" i="15" s="1"/>
  <c r="AC1333" i="15"/>
  <c r="AB1333" i="15"/>
  <c r="E1333" i="15"/>
  <c r="C1333" i="15" s="1"/>
  <c r="D1333" i="15"/>
  <c r="R1332" i="15" s="1"/>
  <c r="B1333" i="15"/>
  <c r="W1333" i="15" s="1"/>
  <c r="AC1331" i="15"/>
  <c r="AB1331" i="15"/>
  <c r="E1331" i="15"/>
  <c r="C1331" i="15" s="1"/>
  <c r="D1331" i="15"/>
  <c r="R1330" i="15" s="1"/>
  <c r="B1331" i="15"/>
  <c r="AC1329" i="15"/>
  <c r="AB1329" i="15"/>
  <c r="E1329" i="15"/>
  <c r="C1329" i="15" s="1"/>
  <c r="D1329" i="15"/>
  <c r="R1328" i="15" s="1"/>
  <c r="B1329" i="15"/>
  <c r="AC1327" i="15"/>
  <c r="AB1327" i="15"/>
  <c r="E1327" i="15"/>
  <c r="C1327" i="15" s="1"/>
  <c r="D1327" i="15"/>
  <c r="R1326" i="15" s="1"/>
  <c r="B1327" i="15"/>
  <c r="H1327" i="15" s="1"/>
  <c r="AC1325" i="15"/>
  <c r="E1325" i="15"/>
  <c r="C1325" i="15" s="1"/>
  <c r="M1325" i="15" s="1"/>
  <c r="D1325" i="15"/>
  <c r="R1324" i="15" s="1"/>
  <c r="B1325" i="15"/>
  <c r="W1325" i="15" s="1"/>
  <c r="AC1323" i="15"/>
  <c r="E1323" i="15"/>
  <c r="C1323" i="15" s="1"/>
  <c r="D1323" i="15"/>
  <c r="R1322" i="15" s="1"/>
  <c r="B1323" i="15"/>
  <c r="K1323" i="15" s="1"/>
  <c r="N1323" i="15" s="1"/>
  <c r="AC1321" i="15"/>
  <c r="E1321" i="15"/>
  <c r="C1321" i="15" s="1"/>
  <c r="D1321" i="15"/>
  <c r="R1320" i="15" s="1"/>
  <c r="B1321" i="15"/>
  <c r="W1321" i="15" s="1"/>
  <c r="AC1319" i="15"/>
  <c r="E1319" i="15"/>
  <c r="C1319" i="15" s="1"/>
  <c r="D1319" i="15"/>
  <c r="R1318" i="15" s="1"/>
  <c r="B1319" i="15"/>
  <c r="J1319" i="15" s="1"/>
  <c r="AC1317" i="15"/>
  <c r="E1317" i="15"/>
  <c r="C1317" i="15" s="1"/>
  <c r="D1317" i="15"/>
  <c r="R1316" i="15" s="1"/>
  <c r="B1317" i="15"/>
  <c r="W1317" i="15" s="1"/>
  <c r="AC1315" i="15"/>
  <c r="E1315" i="15"/>
  <c r="C1315" i="15" s="1"/>
  <c r="D1315" i="15"/>
  <c r="R1314" i="15" s="1"/>
  <c r="B1315" i="15"/>
  <c r="H1315" i="15" s="1"/>
  <c r="AC1313" i="15"/>
  <c r="E1313" i="15"/>
  <c r="C1313" i="15" s="1"/>
  <c r="M1313" i="15" s="1"/>
  <c r="D1313" i="15"/>
  <c r="R1312" i="15" s="1"/>
  <c r="B1313" i="15"/>
  <c r="J1313" i="15" s="1"/>
  <c r="AC1311" i="15"/>
  <c r="E1311" i="15"/>
  <c r="C1311" i="15" s="1"/>
  <c r="L1311" i="15" s="1"/>
  <c r="D1311" i="15"/>
  <c r="R1310" i="15" s="1"/>
  <c r="B1311" i="15"/>
  <c r="AC1309" i="15"/>
  <c r="E1309" i="15"/>
  <c r="C1309" i="15" s="1"/>
  <c r="D1309" i="15"/>
  <c r="R1308" i="15" s="1"/>
  <c r="B1309" i="15"/>
  <c r="W1309" i="15" s="1"/>
  <c r="AC1307" i="15"/>
  <c r="E1307" i="15"/>
  <c r="C1307" i="15" s="1"/>
  <c r="D1307" i="15"/>
  <c r="R1306" i="15" s="1"/>
  <c r="B1307" i="15"/>
  <c r="W1307" i="15" s="1"/>
  <c r="AC1305" i="15"/>
  <c r="E1305" i="15"/>
  <c r="C1305" i="15" s="1"/>
  <c r="L1305" i="15" s="1"/>
  <c r="D1305" i="15"/>
  <c r="R1304" i="15" s="1"/>
  <c r="B1305" i="15"/>
  <c r="K1305" i="15" s="1"/>
  <c r="N1305" i="15" s="1"/>
  <c r="AC1303" i="15"/>
  <c r="E1303" i="15"/>
  <c r="C1303" i="15" s="1"/>
  <c r="D1303" i="15"/>
  <c r="R1302" i="15" s="1"/>
  <c r="B1303" i="15"/>
  <c r="AC1301" i="15"/>
  <c r="E1301" i="15"/>
  <c r="C1301" i="15" s="1"/>
  <c r="D1301" i="15"/>
  <c r="R1300" i="15" s="1"/>
  <c r="B1301" i="15"/>
  <c r="AC1299" i="15"/>
  <c r="E1299" i="15"/>
  <c r="C1299" i="15" s="1"/>
  <c r="D1299" i="15"/>
  <c r="R1298" i="15" s="1"/>
  <c r="B1299" i="15"/>
  <c r="AC1297" i="15"/>
  <c r="E1297" i="15"/>
  <c r="C1297" i="15" s="1"/>
  <c r="D1297" i="15"/>
  <c r="R1296" i="15" s="1"/>
  <c r="B1297" i="15"/>
  <c r="H1297" i="15" s="1"/>
  <c r="AC1295" i="15"/>
  <c r="E1295" i="15"/>
  <c r="C1295" i="15" s="1"/>
  <c r="D1295" i="15"/>
  <c r="R1294" i="15" s="1"/>
  <c r="B1295" i="15"/>
  <c r="AC1293" i="15"/>
  <c r="E1293" i="15"/>
  <c r="C1293" i="15" s="1"/>
  <c r="D1293" i="15"/>
  <c r="R1292" i="15" s="1"/>
  <c r="B1293" i="15"/>
  <c r="K1293" i="15" s="1"/>
  <c r="N1293" i="15" s="1"/>
  <c r="V1288" i="15"/>
  <c r="U1288" i="15"/>
  <c r="AC1255" i="15"/>
  <c r="C1255" i="15"/>
  <c r="R1254" i="15"/>
  <c r="B1255" i="15"/>
  <c r="AC1253" i="15"/>
  <c r="C1253" i="15"/>
  <c r="M1253" i="15" s="1"/>
  <c r="R1252" i="15"/>
  <c r="B1253" i="15"/>
  <c r="J1253" i="15" s="1"/>
  <c r="AC1251" i="15"/>
  <c r="C1251" i="15"/>
  <c r="M1251" i="15" s="1"/>
  <c r="R1250" i="15"/>
  <c r="B1251" i="15"/>
  <c r="K1251" i="15" s="1"/>
  <c r="N1251" i="15" s="1"/>
  <c r="AC1249" i="15"/>
  <c r="C1249" i="15"/>
  <c r="M1249" i="15" s="1"/>
  <c r="R1248" i="15"/>
  <c r="B1249" i="15"/>
  <c r="AC1247" i="15"/>
  <c r="C1247" i="15"/>
  <c r="R1246" i="15"/>
  <c r="B1247" i="15"/>
  <c r="H1247" i="15" s="1"/>
  <c r="AC1245" i="15"/>
  <c r="C1245" i="15"/>
  <c r="R1244" i="15"/>
  <c r="B1245" i="15"/>
  <c r="J1245" i="15" s="1"/>
  <c r="AC1243" i="15"/>
  <c r="E1243" i="15"/>
  <c r="C1243" i="15" s="1"/>
  <c r="D1243" i="15"/>
  <c r="R1242" i="15" s="1"/>
  <c r="B1243" i="15"/>
  <c r="K1243" i="15" s="1"/>
  <c r="N1243" i="15" s="1"/>
  <c r="AC1241" i="15"/>
  <c r="E1241" i="15"/>
  <c r="C1241" i="15" s="1"/>
  <c r="M1241" i="15" s="1"/>
  <c r="D1241" i="15"/>
  <c r="R1240" i="15" s="1"/>
  <c r="B1241" i="15"/>
  <c r="H1241" i="15" s="1"/>
  <c r="AC1239" i="15"/>
  <c r="E1239" i="15"/>
  <c r="C1239" i="15" s="1"/>
  <c r="L1239" i="15" s="1"/>
  <c r="D1239" i="15"/>
  <c r="R1238" i="15" s="1"/>
  <c r="B1239" i="15"/>
  <c r="K1239" i="15" s="1"/>
  <c r="N1239" i="15" s="1"/>
  <c r="AC1237" i="15"/>
  <c r="E1237" i="15"/>
  <c r="C1237" i="15" s="1"/>
  <c r="D1237" i="15"/>
  <c r="R1236" i="15" s="1"/>
  <c r="B1237" i="15"/>
  <c r="AC1235" i="15"/>
  <c r="E1235" i="15"/>
  <c r="C1235" i="15" s="1"/>
  <c r="D1235" i="15"/>
  <c r="R1234" i="15" s="1"/>
  <c r="B1235" i="15"/>
  <c r="K1235" i="15" s="1"/>
  <c r="N1235" i="15" s="1"/>
  <c r="AC1233" i="15"/>
  <c r="E1233" i="15"/>
  <c r="C1233" i="15" s="1"/>
  <c r="D1233" i="15"/>
  <c r="R1232" i="15" s="1"/>
  <c r="B1233" i="15"/>
  <c r="J1233" i="15" s="1"/>
  <c r="AC1231" i="15"/>
  <c r="E1231" i="15"/>
  <c r="C1231" i="15" s="1"/>
  <c r="D1231" i="15"/>
  <c r="R1230" i="15" s="1"/>
  <c r="B1231" i="15"/>
  <c r="K1231" i="15" s="1"/>
  <c r="N1231" i="15" s="1"/>
  <c r="AC1229" i="15"/>
  <c r="E1229" i="15"/>
  <c r="C1229" i="15" s="1"/>
  <c r="D1229" i="15"/>
  <c r="R1228" i="15" s="1"/>
  <c r="B1229" i="15"/>
  <c r="J1229" i="15" s="1"/>
  <c r="AC1227" i="15"/>
  <c r="E1227" i="15"/>
  <c r="C1227" i="15" s="1"/>
  <c r="D1227" i="15"/>
  <c r="R1226" i="15" s="1"/>
  <c r="B1227" i="15"/>
  <c r="H1227" i="15" s="1"/>
  <c r="AC1225" i="15"/>
  <c r="E1225" i="15"/>
  <c r="C1225" i="15" s="1"/>
  <c r="D1225" i="15"/>
  <c r="R1224" i="15" s="1"/>
  <c r="B1225" i="15"/>
  <c r="AC1223" i="15"/>
  <c r="E1223" i="15"/>
  <c r="C1223" i="15" s="1"/>
  <c r="D1223" i="15"/>
  <c r="R1222" i="15" s="1"/>
  <c r="B1223" i="15"/>
  <c r="AC1221" i="15"/>
  <c r="E1221" i="15"/>
  <c r="C1221" i="15" s="1"/>
  <c r="D1221" i="15"/>
  <c r="R1220" i="15" s="1"/>
  <c r="B1221" i="15"/>
  <c r="AC1219" i="15"/>
  <c r="E1219" i="15"/>
  <c r="C1219" i="15" s="1"/>
  <c r="D1219" i="15"/>
  <c r="R1218" i="15" s="1"/>
  <c r="B1219" i="15"/>
  <c r="AC1217" i="15"/>
  <c r="E1217" i="15"/>
  <c r="C1217" i="15" s="1"/>
  <c r="D1217" i="15"/>
  <c r="R1216" i="15" s="1"/>
  <c r="B1217" i="15"/>
  <c r="J1217" i="15" s="1"/>
  <c r="AC1215" i="15"/>
  <c r="E1215" i="15"/>
  <c r="C1215" i="15" s="1"/>
  <c r="D1215" i="15"/>
  <c r="R1214" i="15" s="1"/>
  <c r="B1215" i="15"/>
  <c r="K1215" i="15" s="1"/>
  <c r="N1215" i="15" s="1"/>
  <c r="AC1213" i="15"/>
  <c r="E1213" i="15"/>
  <c r="C1213" i="15" s="1"/>
  <c r="M1213" i="15" s="1"/>
  <c r="D1213" i="15"/>
  <c r="R1212" i="15" s="1"/>
  <c r="B1213" i="15"/>
  <c r="AC1211" i="15"/>
  <c r="E1211" i="15"/>
  <c r="C1211" i="15" s="1"/>
  <c r="M1211" i="15" s="1"/>
  <c r="D1211" i="15"/>
  <c r="R1210" i="15" s="1"/>
  <c r="B1211" i="15"/>
  <c r="AC1209" i="15"/>
  <c r="E1209" i="15"/>
  <c r="C1209" i="15" s="1"/>
  <c r="L1209" i="15" s="1"/>
  <c r="D1209" i="15"/>
  <c r="R1208" i="15" s="1"/>
  <c r="B1209" i="15"/>
  <c r="AC1207" i="15"/>
  <c r="E1207" i="15"/>
  <c r="C1207" i="15" s="1"/>
  <c r="D1207" i="15"/>
  <c r="R1206" i="15" s="1"/>
  <c r="B1207" i="15"/>
  <c r="AC1205" i="15"/>
  <c r="E1205" i="15"/>
  <c r="C1205" i="15" s="1"/>
  <c r="L1205" i="15" s="1"/>
  <c r="D1205" i="15"/>
  <c r="R1204" i="15" s="1"/>
  <c r="B1205" i="15"/>
  <c r="AC1203" i="15"/>
  <c r="E1203" i="15"/>
  <c r="C1203" i="15" s="1"/>
  <c r="L1203" i="15" s="1"/>
  <c r="D1203" i="15"/>
  <c r="R1202" i="15" s="1"/>
  <c r="B1203" i="15"/>
  <c r="AC1201" i="15"/>
  <c r="E1201" i="15"/>
  <c r="C1201" i="15" s="1"/>
  <c r="D1201" i="15"/>
  <c r="R1200" i="15" s="1"/>
  <c r="B1201" i="15"/>
  <c r="J1201" i="15" s="1"/>
  <c r="AC1199" i="15"/>
  <c r="E1199" i="15"/>
  <c r="C1199" i="15" s="1"/>
  <c r="D1199" i="15"/>
  <c r="R1198" i="15" s="1"/>
  <c r="B1199" i="15"/>
  <c r="AC1197" i="15"/>
  <c r="E1197" i="15"/>
  <c r="C1197" i="15" s="1"/>
  <c r="D1197" i="15"/>
  <c r="R1196" i="15" s="1"/>
  <c r="B1197" i="15"/>
  <c r="AC1195" i="15"/>
  <c r="E1195" i="15"/>
  <c r="C1195" i="15" s="1"/>
  <c r="D1195" i="15"/>
  <c r="R1194" i="15" s="1"/>
  <c r="B1195" i="15"/>
  <c r="K1195" i="15" s="1"/>
  <c r="N1195" i="15" s="1"/>
  <c r="AC1193" i="15"/>
  <c r="E1193" i="15"/>
  <c r="C1193" i="15" s="1"/>
  <c r="D1193" i="15"/>
  <c r="R1192" i="15" s="1"/>
  <c r="B1193" i="15"/>
  <c r="AC1191" i="15"/>
  <c r="E1191" i="15"/>
  <c r="C1191" i="15" s="1"/>
  <c r="D1191" i="15"/>
  <c r="R1190" i="15" s="1"/>
  <c r="B1191" i="15"/>
  <c r="K1191" i="15" s="1"/>
  <c r="N1191" i="15" s="1"/>
  <c r="AC1189" i="15"/>
  <c r="E1189" i="15"/>
  <c r="C1189" i="15" s="1"/>
  <c r="D1189" i="15"/>
  <c r="R1188" i="15" s="1"/>
  <c r="B1189" i="15"/>
  <c r="AC1187" i="15"/>
  <c r="E1187" i="15"/>
  <c r="C1187" i="15" s="1"/>
  <c r="D1187" i="15"/>
  <c r="R1186" i="15" s="1"/>
  <c r="B1187" i="15"/>
  <c r="AC1185" i="15"/>
  <c r="E1185" i="15"/>
  <c r="C1185" i="15" s="1"/>
  <c r="M1185" i="15" s="1"/>
  <c r="D1185" i="15"/>
  <c r="R1184" i="15" s="1"/>
  <c r="B1185" i="15"/>
  <c r="AC1183" i="15"/>
  <c r="E1183" i="15"/>
  <c r="C1183" i="15" s="1"/>
  <c r="L1183" i="15" s="1"/>
  <c r="D1183" i="15"/>
  <c r="R1182" i="15" s="1"/>
  <c r="B1183" i="15"/>
  <c r="AC1181" i="15"/>
  <c r="E1181" i="15"/>
  <c r="C1181" i="15" s="1"/>
  <c r="D1181" i="15"/>
  <c r="R1180" i="15" s="1"/>
  <c r="B1181" i="15"/>
  <c r="K1181" i="15" s="1"/>
  <c r="N1181" i="15" s="1"/>
  <c r="AC1179" i="15"/>
  <c r="E1179" i="15"/>
  <c r="C1179" i="15" s="1"/>
  <c r="M1179" i="15" s="1"/>
  <c r="D1179" i="15"/>
  <c r="R1178" i="15" s="1"/>
  <c r="B1179" i="15"/>
  <c r="K1179" i="15" s="1"/>
  <c r="N1179" i="15" s="1"/>
  <c r="AC1177" i="15"/>
  <c r="E1177" i="15"/>
  <c r="C1177" i="15" s="1"/>
  <c r="M1177" i="15" s="1"/>
  <c r="D1177" i="15"/>
  <c r="R1176" i="15" s="1"/>
  <c r="B1177" i="15"/>
  <c r="AC1175" i="15"/>
  <c r="E1175" i="15"/>
  <c r="C1175" i="15" s="1"/>
  <c r="L1175" i="15" s="1"/>
  <c r="D1175" i="15"/>
  <c r="R1174" i="15" s="1"/>
  <c r="B1175" i="15"/>
  <c r="AC1173" i="15"/>
  <c r="E1173" i="15"/>
  <c r="C1173" i="15" s="1"/>
  <c r="L1173" i="15" s="1"/>
  <c r="D1173" i="15"/>
  <c r="R1172" i="15" s="1"/>
  <c r="B1173" i="15"/>
  <c r="J1173" i="15" s="1"/>
  <c r="AC1171" i="15"/>
  <c r="E1171" i="15"/>
  <c r="C1171" i="15" s="1"/>
  <c r="D1171" i="15"/>
  <c r="R1170" i="15" s="1"/>
  <c r="B1171" i="15"/>
  <c r="K1171" i="15" s="1"/>
  <c r="N1171" i="15" s="1"/>
  <c r="AC1169" i="15"/>
  <c r="E1169" i="15"/>
  <c r="C1169" i="15" s="1"/>
  <c r="D1169" i="15"/>
  <c r="R1168" i="15" s="1"/>
  <c r="B1169" i="15"/>
  <c r="AC1167" i="15"/>
  <c r="E1167" i="15"/>
  <c r="C1167" i="15" s="1"/>
  <c r="L1167" i="15" s="1"/>
  <c r="D1167" i="15"/>
  <c r="R1166" i="15" s="1"/>
  <c r="B1167" i="15"/>
  <c r="K1167" i="15" s="1"/>
  <c r="N1167" i="15" s="1"/>
  <c r="U1162" i="15"/>
  <c r="V1158" i="15"/>
  <c r="V1157" i="15"/>
  <c r="V1156" i="15"/>
  <c r="V1155" i="15"/>
  <c r="V1154" i="15"/>
  <c r="V1153" i="15"/>
  <c r="V1152" i="15"/>
  <c r="AC1119" i="15"/>
  <c r="C1119" i="15"/>
  <c r="M1119" i="15" s="1"/>
  <c r="R1118" i="15"/>
  <c r="B1119" i="15"/>
  <c r="AC1118" i="15"/>
  <c r="M1118" i="15"/>
  <c r="L1118" i="15"/>
  <c r="K1118" i="15"/>
  <c r="J1118" i="15"/>
  <c r="H1118" i="15"/>
  <c r="AC1117" i="15"/>
  <c r="C1117" i="15"/>
  <c r="R1116" i="15"/>
  <c r="B1117" i="15"/>
  <c r="J1117" i="15" s="1"/>
  <c r="AC1116" i="15"/>
  <c r="M1116" i="15"/>
  <c r="L1116" i="15"/>
  <c r="K1116" i="15"/>
  <c r="J1116" i="15"/>
  <c r="H1116" i="15"/>
  <c r="AC1115" i="15"/>
  <c r="C1115" i="15"/>
  <c r="R1114" i="15"/>
  <c r="B1115" i="15"/>
  <c r="K1115" i="15" s="1"/>
  <c r="N1115" i="15" s="1"/>
  <c r="AC1114" i="15"/>
  <c r="M1114" i="15"/>
  <c r="L1114" i="15"/>
  <c r="K1114" i="15"/>
  <c r="J1114" i="15"/>
  <c r="H1114" i="15"/>
  <c r="AC1113" i="15"/>
  <c r="C1113" i="15"/>
  <c r="R1112" i="15"/>
  <c r="B1113" i="15"/>
  <c r="H1113" i="15" s="1"/>
  <c r="AC1112" i="15"/>
  <c r="M1112" i="15"/>
  <c r="L1112" i="15"/>
  <c r="K1112" i="15"/>
  <c r="J1112" i="15"/>
  <c r="H1112" i="15"/>
  <c r="AC1111" i="15"/>
  <c r="C1111" i="15"/>
  <c r="L1111" i="15" s="1"/>
  <c r="R1110" i="15"/>
  <c r="B1111" i="15"/>
  <c r="AC1110" i="15"/>
  <c r="M1110" i="15"/>
  <c r="L1110" i="15"/>
  <c r="K1110" i="15"/>
  <c r="J1110" i="15"/>
  <c r="H1110" i="15"/>
  <c r="AC1109" i="15"/>
  <c r="E1109" i="15"/>
  <c r="C1109" i="15" s="1"/>
  <c r="M1109" i="15" s="1"/>
  <c r="D1109" i="15"/>
  <c r="R1108" i="15" s="1"/>
  <c r="B1109" i="15"/>
  <c r="AC1108" i="15"/>
  <c r="M1108" i="15"/>
  <c r="L1108" i="15"/>
  <c r="K1108" i="15"/>
  <c r="J1108" i="15"/>
  <c r="H1108" i="15"/>
  <c r="AC1107" i="15"/>
  <c r="E1107" i="15"/>
  <c r="C1107" i="15" s="1"/>
  <c r="L1107" i="15" s="1"/>
  <c r="D1107" i="15"/>
  <c r="R1106" i="15" s="1"/>
  <c r="B1107" i="15"/>
  <c r="H1107" i="15" s="1"/>
  <c r="AC1106" i="15"/>
  <c r="M1106" i="15"/>
  <c r="L1106" i="15"/>
  <c r="K1106" i="15"/>
  <c r="J1106" i="15"/>
  <c r="H1106" i="15"/>
  <c r="AC1105" i="15"/>
  <c r="E1105" i="15"/>
  <c r="C1105" i="15" s="1"/>
  <c r="D1105" i="15"/>
  <c r="R1104" i="15" s="1"/>
  <c r="B1105" i="15"/>
  <c r="J1105" i="15" s="1"/>
  <c r="AC1104" i="15"/>
  <c r="M1104" i="15"/>
  <c r="L1104" i="15"/>
  <c r="K1104" i="15"/>
  <c r="J1104" i="15"/>
  <c r="H1104" i="15"/>
  <c r="AC1103" i="15"/>
  <c r="E1103" i="15"/>
  <c r="C1103" i="15" s="1"/>
  <c r="M1103" i="15" s="1"/>
  <c r="D1103" i="15"/>
  <c r="R1102" i="15" s="1"/>
  <c r="B1103" i="15"/>
  <c r="AC1102" i="15"/>
  <c r="M1102" i="15"/>
  <c r="L1102" i="15"/>
  <c r="K1102" i="15"/>
  <c r="J1102" i="15"/>
  <c r="H1102" i="15"/>
  <c r="AC1101" i="15"/>
  <c r="E1101" i="15"/>
  <c r="C1101" i="15" s="1"/>
  <c r="D1101" i="15"/>
  <c r="R1100" i="15" s="1"/>
  <c r="B1101" i="15"/>
  <c r="K1101" i="15" s="1"/>
  <c r="AC1100" i="15"/>
  <c r="M1100" i="15"/>
  <c r="L1100" i="15"/>
  <c r="K1100" i="15"/>
  <c r="J1100" i="15"/>
  <c r="H1100" i="15"/>
  <c r="AC1099" i="15"/>
  <c r="E1099" i="15"/>
  <c r="C1099" i="15" s="1"/>
  <c r="D1099" i="15"/>
  <c r="R1098" i="15" s="1"/>
  <c r="B1099" i="15"/>
  <c r="K1099" i="15" s="1"/>
  <c r="N1099" i="15" s="1"/>
  <c r="AC1098" i="15"/>
  <c r="M1098" i="15"/>
  <c r="L1098" i="15"/>
  <c r="K1098" i="15"/>
  <c r="J1098" i="15"/>
  <c r="H1098" i="15"/>
  <c r="AC1097" i="15"/>
  <c r="E1097" i="15"/>
  <c r="C1097" i="15" s="1"/>
  <c r="D1097" i="15"/>
  <c r="R1096" i="15" s="1"/>
  <c r="B1097" i="15"/>
  <c r="H1097" i="15" s="1"/>
  <c r="AC1096" i="15"/>
  <c r="M1096" i="15"/>
  <c r="L1096" i="15"/>
  <c r="K1096" i="15"/>
  <c r="J1096" i="15"/>
  <c r="H1096" i="15"/>
  <c r="AC1095" i="15"/>
  <c r="E1095" i="15"/>
  <c r="C1095" i="15" s="1"/>
  <c r="D1095" i="15"/>
  <c r="R1094" i="15" s="1"/>
  <c r="B1095" i="15"/>
  <c r="AC1094" i="15"/>
  <c r="M1094" i="15"/>
  <c r="L1094" i="15"/>
  <c r="K1094" i="15"/>
  <c r="J1094" i="15"/>
  <c r="H1094" i="15"/>
  <c r="AC1093" i="15"/>
  <c r="E1093" i="15"/>
  <c r="C1093" i="15" s="1"/>
  <c r="M1093" i="15" s="1"/>
  <c r="D1093" i="15"/>
  <c r="R1092" i="15" s="1"/>
  <c r="B1093" i="15"/>
  <c r="AC1092" i="15"/>
  <c r="M1092" i="15"/>
  <c r="L1092" i="15"/>
  <c r="K1092" i="15"/>
  <c r="J1092" i="15"/>
  <c r="H1092" i="15"/>
  <c r="AC1091" i="15"/>
  <c r="E1091" i="15"/>
  <c r="C1091" i="15" s="1"/>
  <c r="D1091" i="15"/>
  <c r="R1090" i="15" s="1"/>
  <c r="B1091" i="15"/>
  <c r="K1091" i="15" s="1"/>
  <c r="N1091" i="15" s="1"/>
  <c r="AC1090" i="15"/>
  <c r="M1090" i="15"/>
  <c r="L1090" i="15"/>
  <c r="K1090" i="15"/>
  <c r="J1090" i="15"/>
  <c r="H1090" i="15"/>
  <c r="AC1089" i="15"/>
  <c r="E1089" i="15"/>
  <c r="C1089" i="15" s="1"/>
  <c r="D1089" i="15"/>
  <c r="R1088" i="15" s="1"/>
  <c r="B1089" i="15"/>
  <c r="AC1088" i="15"/>
  <c r="M1088" i="15"/>
  <c r="L1088" i="15"/>
  <c r="K1088" i="15"/>
  <c r="J1088" i="15"/>
  <c r="H1088" i="15"/>
  <c r="AC1087" i="15"/>
  <c r="E1087" i="15"/>
  <c r="C1087" i="15" s="1"/>
  <c r="D1087" i="15"/>
  <c r="R1086" i="15" s="1"/>
  <c r="B1087" i="15"/>
  <c r="AC1086" i="15"/>
  <c r="M1086" i="15"/>
  <c r="L1086" i="15"/>
  <c r="K1086" i="15"/>
  <c r="J1086" i="15"/>
  <c r="H1086" i="15"/>
  <c r="AC1085" i="15"/>
  <c r="E1085" i="15"/>
  <c r="C1085" i="15" s="1"/>
  <c r="L1085" i="15" s="1"/>
  <c r="D1085" i="15"/>
  <c r="R1084" i="15" s="1"/>
  <c r="B1085" i="15"/>
  <c r="J1085" i="15" s="1"/>
  <c r="AC1084" i="15"/>
  <c r="M1084" i="15"/>
  <c r="L1084" i="15"/>
  <c r="K1084" i="15"/>
  <c r="J1084" i="15"/>
  <c r="H1084" i="15"/>
  <c r="AC1083" i="15"/>
  <c r="E1083" i="15"/>
  <c r="C1083" i="15" s="1"/>
  <c r="M1083" i="15" s="1"/>
  <c r="D1083" i="15"/>
  <c r="R1082" i="15" s="1"/>
  <c r="B1083" i="15"/>
  <c r="AC1082" i="15"/>
  <c r="M1082" i="15"/>
  <c r="L1082" i="15"/>
  <c r="K1082" i="15"/>
  <c r="J1082" i="15"/>
  <c r="H1082" i="15"/>
  <c r="AC1081" i="15"/>
  <c r="E1081" i="15"/>
  <c r="C1081" i="15" s="1"/>
  <c r="D1081" i="15"/>
  <c r="R1080" i="15" s="1"/>
  <c r="B1081" i="15"/>
  <c r="AC1080" i="15"/>
  <c r="M1080" i="15"/>
  <c r="L1080" i="15"/>
  <c r="K1080" i="15"/>
  <c r="J1080" i="15"/>
  <c r="H1080" i="15"/>
  <c r="AC1079" i="15"/>
  <c r="E1079" i="15"/>
  <c r="C1079" i="15" s="1"/>
  <c r="M1079" i="15" s="1"/>
  <c r="D1079" i="15"/>
  <c r="R1078" i="15" s="1"/>
  <c r="B1079" i="15"/>
  <c r="K1079" i="15" s="1"/>
  <c r="N1079" i="15" s="1"/>
  <c r="AC1078" i="15"/>
  <c r="M1078" i="15"/>
  <c r="L1078" i="15"/>
  <c r="K1078" i="15"/>
  <c r="J1078" i="15"/>
  <c r="H1078" i="15"/>
  <c r="AC1077" i="15"/>
  <c r="E1077" i="15"/>
  <c r="C1077" i="15" s="1"/>
  <c r="M1077" i="15" s="1"/>
  <c r="D1077" i="15"/>
  <c r="R1076" i="15" s="1"/>
  <c r="B1077" i="15"/>
  <c r="K1077" i="15" s="1"/>
  <c r="N1077" i="15" s="1"/>
  <c r="AC1076" i="15"/>
  <c r="M1076" i="15"/>
  <c r="L1076" i="15"/>
  <c r="K1076" i="15"/>
  <c r="J1076" i="15"/>
  <c r="H1076" i="15"/>
  <c r="AC1075" i="15"/>
  <c r="E1075" i="15"/>
  <c r="C1075" i="15" s="1"/>
  <c r="M1075" i="15" s="1"/>
  <c r="D1075" i="15"/>
  <c r="R1074" i="15" s="1"/>
  <c r="B1075" i="15"/>
  <c r="AC1074" i="15"/>
  <c r="M1074" i="15"/>
  <c r="L1074" i="15"/>
  <c r="K1074" i="15"/>
  <c r="J1074" i="15"/>
  <c r="H1074" i="15"/>
  <c r="AC1073" i="15"/>
  <c r="E1073" i="15"/>
  <c r="C1073" i="15" s="1"/>
  <c r="D1073" i="15"/>
  <c r="R1072" i="15" s="1"/>
  <c r="B1073" i="15"/>
  <c r="H1073" i="15" s="1"/>
  <c r="AC1072" i="15"/>
  <c r="M1072" i="15"/>
  <c r="L1072" i="15"/>
  <c r="K1072" i="15"/>
  <c r="J1072" i="15"/>
  <c r="H1072" i="15"/>
  <c r="AC1071" i="15"/>
  <c r="E1071" i="15"/>
  <c r="C1071" i="15" s="1"/>
  <c r="D1071" i="15"/>
  <c r="R1070" i="15" s="1"/>
  <c r="B1071" i="15"/>
  <c r="K1071" i="15" s="1"/>
  <c r="N1071" i="15" s="1"/>
  <c r="AC1070" i="15"/>
  <c r="M1070" i="15"/>
  <c r="L1070" i="15"/>
  <c r="K1070" i="15"/>
  <c r="J1070" i="15"/>
  <c r="H1070" i="15"/>
  <c r="AC1069" i="15"/>
  <c r="E1069" i="15"/>
  <c r="C1069" i="15" s="1"/>
  <c r="D1069" i="15"/>
  <c r="R1068" i="15" s="1"/>
  <c r="B1069" i="15"/>
  <c r="J1069" i="15" s="1"/>
  <c r="AC1068" i="15"/>
  <c r="M1068" i="15"/>
  <c r="L1068" i="15"/>
  <c r="K1068" i="15"/>
  <c r="J1068" i="15"/>
  <c r="H1068" i="15"/>
  <c r="AC1067" i="15"/>
  <c r="E1067" i="15"/>
  <c r="C1067" i="15" s="1"/>
  <c r="D1067" i="15"/>
  <c r="R1066" i="15" s="1"/>
  <c r="B1067" i="15"/>
  <c r="AC1066" i="15"/>
  <c r="M1066" i="15"/>
  <c r="L1066" i="15"/>
  <c r="K1066" i="15"/>
  <c r="J1066" i="15"/>
  <c r="H1066" i="15"/>
  <c r="AC1065" i="15"/>
  <c r="E1065" i="15"/>
  <c r="C1065" i="15" s="1"/>
  <c r="D1065" i="15"/>
  <c r="R1064" i="15" s="1"/>
  <c r="B1065" i="15"/>
  <c r="AC1064" i="15"/>
  <c r="M1064" i="15"/>
  <c r="L1064" i="15"/>
  <c r="K1064" i="15"/>
  <c r="J1064" i="15"/>
  <c r="H1064" i="15"/>
  <c r="AC1063" i="15"/>
  <c r="E1063" i="15"/>
  <c r="C1063" i="15" s="1"/>
  <c r="D1063" i="15"/>
  <c r="R1062" i="15" s="1"/>
  <c r="B1063" i="15"/>
  <c r="AC1062" i="15"/>
  <c r="M1062" i="15"/>
  <c r="L1062" i="15"/>
  <c r="K1062" i="15"/>
  <c r="J1062" i="15"/>
  <c r="H1062" i="15"/>
  <c r="AC1061" i="15"/>
  <c r="E1061" i="15"/>
  <c r="C1061" i="15" s="1"/>
  <c r="D1061" i="15"/>
  <c r="R1060" i="15" s="1"/>
  <c r="B1061" i="15"/>
  <c r="AC1060" i="15"/>
  <c r="M1060" i="15"/>
  <c r="L1060" i="15"/>
  <c r="K1060" i="15"/>
  <c r="J1060" i="15"/>
  <c r="H1060" i="15"/>
  <c r="AC1059" i="15"/>
  <c r="E1059" i="15"/>
  <c r="C1059" i="15" s="1"/>
  <c r="D1059" i="15"/>
  <c r="R1058" i="15" s="1"/>
  <c r="B1059" i="15"/>
  <c r="J1059" i="15" s="1"/>
  <c r="AC1058" i="15"/>
  <c r="M1058" i="15"/>
  <c r="L1058" i="15"/>
  <c r="K1058" i="15"/>
  <c r="J1058" i="15"/>
  <c r="H1058" i="15"/>
  <c r="AC1057" i="15"/>
  <c r="E1057" i="15"/>
  <c r="C1057" i="15" s="1"/>
  <c r="D1057" i="15"/>
  <c r="R1056" i="15" s="1"/>
  <c r="B1057" i="15"/>
  <c r="AC1056" i="15"/>
  <c r="M1056" i="15"/>
  <c r="L1056" i="15"/>
  <c r="K1056" i="15"/>
  <c r="J1056" i="15"/>
  <c r="H1056" i="15"/>
  <c r="AC1055" i="15"/>
  <c r="E1055" i="15"/>
  <c r="C1055" i="15" s="1"/>
  <c r="L1055" i="15" s="1"/>
  <c r="D1055" i="15"/>
  <c r="R1054" i="15" s="1"/>
  <c r="B1055" i="15"/>
  <c r="K1055" i="15" s="1"/>
  <c r="N1055" i="15" s="1"/>
  <c r="AC1054" i="15"/>
  <c r="M1054" i="15"/>
  <c r="L1054" i="15"/>
  <c r="K1054" i="15"/>
  <c r="J1054" i="15"/>
  <c r="H1054" i="15"/>
  <c r="AC1053" i="15"/>
  <c r="E1053" i="15"/>
  <c r="C1053" i="15" s="1"/>
  <c r="M1053" i="15" s="1"/>
  <c r="D1053" i="15"/>
  <c r="R1052" i="15" s="1"/>
  <c r="B1053" i="15"/>
  <c r="AC1052" i="15"/>
  <c r="M1052" i="15"/>
  <c r="L1052" i="15"/>
  <c r="K1052" i="15"/>
  <c r="J1052" i="15"/>
  <c r="H1052" i="15"/>
  <c r="AC1051" i="15"/>
  <c r="E1051" i="15"/>
  <c r="C1051" i="15" s="1"/>
  <c r="L1051" i="15" s="1"/>
  <c r="D1051" i="15"/>
  <c r="R1050" i="15" s="1"/>
  <c r="B1051" i="15"/>
  <c r="K1051" i="15" s="1"/>
  <c r="N1051" i="15" s="1"/>
  <c r="AC1050" i="15"/>
  <c r="M1050" i="15"/>
  <c r="L1050" i="15"/>
  <c r="K1050" i="15"/>
  <c r="H1050" i="15"/>
  <c r="AC1049" i="15"/>
  <c r="AB1049" i="15"/>
  <c r="E1049" i="15"/>
  <c r="C1049" i="15" s="1"/>
  <c r="D1049" i="15"/>
  <c r="R1048" i="15" s="1"/>
  <c r="B1049" i="15"/>
  <c r="AC1047" i="15"/>
  <c r="AB1047" i="15"/>
  <c r="E1047" i="15"/>
  <c r="C1047" i="15" s="1"/>
  <c r="D1047" i="15"/>
  <c r="R1046" i="15" s="1"/>
  <c r="B1047" i="15"/>
  <c r="AC1045" i="15"/>
  <c r="AB1045" i="15"/>
  <c r="E1045" i="15"/>
  <c r="C1045" i="15" s="1"/>
  <c r="M1045" i="15" s="1"/>
  <c r="D1045" i="15"/>
  <c r="R1044" i="15" s="1"/>
  <c r="B1045" i="15"/>
  <c r="AC1043" i="15"/>
  <c r="AB1043" i="15"/>
  <c r="E1043" i="15"/>
  <c r="C1043" i="15" s="1"/>
  <c r="D1043" i="15"/>
  <c r="R1042" i="15" s="1"/>
  <c r="B1043" i="15"/>
  <c r="J1043" i="15" s="1"/>
  <c r="AC1041" i="15"/>
  <c r="E1041" i="15"/>
  <c r="C1041" i="15" s="1"/>
  <c r="D1041" i="15"/>
  <c r="R1040" i="15" s="1"/>
  <c r="B1041" i="15"/>
  <c r="U1036" i="15"/>
  <c r="V1032" i="15"/>
  <c r="V1031" i="15"/>
  <c r="V1030" i="15"/>
  <c r="V1029" i="15"/>
  <c r="V1028" i="15"/>
  <c r="V1027" i="15"/>
  <c r="V1026" i="15"/>
  <c r="V1025" i="15"/>
  <c r="V1024" i="15"/>
  <c r="AC992" i="15"/>
  <c r="AB992" i="15"/>
  <c r="C992" i="15"/>
  <c r="R991" i="15"/>
  <c r="B992" i="15"/>
  <c r="AC990" i="15"/>
  <c r="AB990" i="15"/>
  <c r="C990" i="15"/>
  <c r="R989" i="15"/>
  <c r="B990" i="15"/>
  <c r="AC988" i="15"/>
  <c r="AB988" i="15"/>
  <c r="C988" i="15"/>
  <c r="R987" i="15"/>
  <c r="B988" i="15"/>
  <c r="AC986" i="15"/>
  <c r="AB986" i="15"/>
  <c r="C986" i="15"/>
  <c r="R985" i="15"/>
  <c r="B986" i="15"/>
  <c r="K986" i="15" s="1"/>
  <c r="N986" i="15" s="1"/>
  <c r="AC984" i="15"/>
  <c r="AB984" i="15"/>
  <c r="C984" i="15"/>
  <c r="R983" i="15"/>
  <c r="B984" i="15"/>
  <c r="K984" i="15" s="1"/>
  <c r="N984" i="15" s="1"/>
  <c r="AC982" i="15"/>
  <c r="AB982" i="15"/>
  <c r="E982" i="15"/>
  <c r="C982" i="15" s="1"/>
  <c r="D982" i="15"/>
  <c r="R981" i="15" s="1"/>
  <c r="B982" i="15"/>
  <c r="K982" i="15" s="1"/>
  <c r="N982" i="15" s="1"/>
  <c r="AC980" i="15"/>
  <c r="AB980" i="15"/>
  <c r="E980" i="15"/>
  <c r="C980" i="15" s="1"/>
  <c r="L980" i="15" s="1"/>
  <c r="D980" i="15"/>
  <c r="R979" i="15" s="1"/>
  <c r="B980" i="15"/>
  <c r="AC978" i="15"/>
  <c r="AB978" i="15"/>
  <c r="E978" i="15"/>
  <c r="C978" i="15" s="1"/>
  <c r="L978" i="15" s="1"/>
  <c r="D978" i="15"/>
  <c r="R977" i="15" s="1"/>
  <c r="B978" i="15"/>
  <c r="K978" i="15" s="1"/>
  <c r="N978" i="15" s="1"/>
  <c r="AC976" i="15"/>
  <c r="AB976" i="15"/>
  <c r="E976" i="15"/>
  <c r="C976" i="15" s="1"/>
  <c r="D976" i="15"/>
  <c r="R975" i="15" s="1"/>
  <c r="B976" i="15"/>
  <c r="AC974" i="15"/>
  <c r="AB974" i="15"/>
  <c r="E974" i="15"/>
  <c r="C974" i="15" s="1"/>
  <c r="L974" i="15" s="1"/>
  <c r="D974" i="15"/>
  <c r="R973" i="15" s="1"/>
  <c r="B974" i="15"/>
  <c r="H974" i="15" s="1"/>
  <c r="AC972" i="15"/>
  <c r="AB972" i="15"/>
  <c r="E972" i="15"/>
  <c r="C972" i="15" s="1"/>
  <c r="D972" i="15"/>
  <c r="R971" i="15" s="1"/>
  <c r="B972" i="15"/>
  <c r="J972" i="15" s="1"/>
  <c r="AC970" i="15"/>
  <c r="AB970" i="15"/>
  <c r="E970" i="15"/>
  <c r="C970" i="15" s="1"/>
  <c r="D970" i="15"/>
  <c r="R969" i="15" s="1"/>
  <c r="B970" i="15"/>
  <c r="AC968" i="15"/>
  <c r="AB968" i="15"/>
  <c r="E968" i="15"/>
  <c r="C968" i="15" s="1"/>
  <c r="D968" i="15"/>
  <c r="R967" i="15" s="1"/>
  <c r="B968" i="15"/>
  <c r="J968" i="15" s="1"/>
  <c r="AC966" i="15"/>
  <c r="AB966" i="15"/>
  <c r="E966" i="15"/>
  <c r="C966" i="15" s="1"/>
  <c r="D966" i="15"/>
  <c r="R965" i="15" s="1"/>
  <c r="B966" i="15"/>
  <c r="AC964" i="15"/>
  <c r="AB964" i="15"/>
  <c r="E964" i="15"/>
  <c r="C964" i="15" s="1"/>
  <c r="D964" i="15"/>
  <c r="R963" i="15" s="1"/>
  <c r="B964" i="15"/>
  <c r="AC962" i="15"/>
  <c r="AB962" i="15"/>
  <c r="E962" i="15"/>
  <c r="C962" i="15" s="1"/>
  <c r="D962" i="15"/>
  <c r="R961" i="15" s="1"/>
  <c r="B962" i="15"/>
  <c r="H962" i="15" s="1"/>
  <c r="AC960" i="15"/>
  <c r="AB960" i="15"/>
  <c r="E960" i="15"/>
  <c r="C960" i="15" s="1"/>
  <c r="D960" i="15"/>
  <c r="R959" i="15" s="1"/>
  <c r="B960" i="15"/>
  <c r="K960" i="15" s="1"/>
  <c r="N960" i="15" s="1"/>
  <c r="AC958" i="15"/>
  <c r="AB958" i="15"/>
  <c r="E958" i="15"/>
  <c r="C958" i="15" s="1"/>
  <c r="D958" i="15"/>
  <c r="R957" i="15" s="1"/>
  <c r="B958" i="15"/>
  <c r="AC956" i="15"/>
  <c r="AB956" i="15"/>
  <c r="E956" i="15"/>
  <c r="C956" i="15" s="1"/>
  <c r="M956" i="15" s="1"/>
  <c r="D956" i="15"/>
  <c r="R955" i="15" s="1"/>
  <c r="B956" i="15"/>
  <c r="AC954" i="15"/>
  <c r="AB954" i="15"/>
  <c r="E954" i="15"/>
  <c r="C954" i="15" s="1"/>
  <c r="D954" i="15"/>
  <c r="R953" i="15" s="1"/>
  <c r="B954" i="15"/>
  <c r="H954" i="15" s="1"/>
  <c r="AC952" i="15"/>
  <c r="AB952" i="15"/>
  <c r="E952" i="15"/>
  <c r="C952" i="15" s="1"/>
  <c r="D952" i="15"/>
  <c r="R951" i="15" s="1"/>
  <c r="B952" i="15"/>
  <c r="AC950" i="15"/>
  <c r="AB950" i="15"/>
  <c r="E950" i="15"/>
  <c r="C950" i="15" s="1"/>
  <c r="D950" i="15"/>
  <c r="R949" i="15" s="1"/>
  <c r="B950" i="15"/>
  <c r="AC948" i="15"/>
  <c r="AB948" i="15"/>
  <c r="E948" i="15"/>
  <c r="C948" i="15" s="1"/>
  <c r="D948" i="15"/>
  <c r="R947" i="15" s="1"/>
  <c r="B948" i="15"/>
  <c r="AC946" i="15"/>
  <c r="AB946" i="15"/>
  <c r="E946" i="15"/>
  <c r="C946" i="15" s="1"/>
  <c r="D946" i="15"/>
  <c r="R945" i="15" s="1"/>
  <c r="B946" i="15"/>
  <c r="AC944" i="15"/>
  <c r="AB944" i="15"/>
  <c r="E944" i="15"/>
  <c r="C944" i="15" s="1"/>
  <c r="D944" i="15"/>
  <c r="R943" i="15" s="1"/>
  <c r="B944" i="15"/>
  <c r="AC942" i="15"/>
  <c r="AB942" i="15"/>
  <c r="E942" i="15"/>
  <c r="C942" i="15" s="1"/>
  <c r="D942" i="15"/>
  <c r="R941" i="15" s="1"/>
  <c r="B942" i="15"/>
  <c r="AC940" i="15"/>
  <c r="AB940" i="15"/>
  <c r="E940" i="15"/>
  <c r="C940" i="15" s="1"/>
  <c r="M940" i="15" s="1"/>
  <c r="D940" i="15"/>
  <c r="R939" i="15" s="1"/>
  <c r="B940" i="15"/>
  <c r="AC938" i="15"/>
  <c r="AB938" i="15"/>
  <c r="E938" i="15"/>
  <c r="C938" i="15" s="1"/>
  <c r="D938" i="15"/>
  <c r="R937" i="15" s="1"/>
  <c r="B938" i="15"/>
  <c r="AC936" i="15"/>
  <c r="AB936" i="15"/>
  <c r="E936" i="15"/>
  <c r="C936" i="15" s="1"/>
  <c r="M936" i="15" s="1"/>
  <c r="D936" i="15"/>
  <c r="R935" i="15" s="1"/>
  <c r="B936" i="15"/>
  <c r="AC934" i="15"/>
  <c r="AB934" i="15"/>
  <c r="E934" i="15"/>
  <c r="C934" i="15" s="1"/>
  <c r="D934" i="15"/>
  <c r="R933" i="15" s="1"/>
  <c r="B934" i="15"/>
  <c r="AC932" i="15"/>
  <c r="E932" i="15"/>
  <c r="C932" i="15" s="1"/>
  <c r="M932" i="15" s="1"/>
  <c r="D932" i="15"/>
  <c r="R931" i="15" s="1"/>
  <c r="B932" i="15"/>
  <c r="AC930" i="15"/>
  <c r="E930" i="15"/>
  <c r="C930" i="15" s="1"/>
  <c r="D930" i="15"/>
  <c r="R929" i="15" s="1"/>
  <c r="B930" i="15"/>
  <c r="AC928" i="15"/>
  <c r="E928" i="15"/>
  <c r="C928" i="15" s="1"/>
  <c r="D928" i="15"/>
  <c r="R927" i="15" s="1"/>
  <c r="B928" i="15"/>
  <c r="AC926" i="15"/>
  <c r="E926" i="15"/>
  <c r="C926" i="15" s="1"/>
  <c r="D926" i="15"/>
  <c r="R925" i="15" s="1"/>
  <c r="B926" i="15"/>
  <c r="AC924" i="15"/>
  <c r="E924" i="15"/>
  <c r="C924" i="15" s="1"/>
  <c r="M924" i="15" s="1"/>
  <c r="D924" i="15"/>
  <c r="R923" i="15" s="1"/>
  <c r="B924" i="15"/>
  <c r="K924" i="15" s="1"/>
  <c r="N924" i="15" s="1"/>
  <c r="AC922" i="15"/>
  <c r="AB922" i="15"/>
  <c r="E922" i="15"/>
  <c r="C922" i="15" s="1"/>
  <c r="M922" i="15" s="1"/>
  <c r="D922" i="15"/>
  <c r="R921" i="15" s="1"/>
  <c r="B922" i="15"/>
  <c r="AC920" i="15"/>
  <c r="AB920" i="15"/>
  <c r="E920" i="15"/>
  <c r="C920" i="15" s="1"/>
  <c r="L920" i="15" s="1"/>
  <c r="D920" i="15"/>
  <c r="R919" i="15" s="1"/>
  <c r="B920" i="15"/>
  <c r="AC918" i="15"/>
  <c r="AB918" i="15"/>
  <c r="E918" i="15"/>
  <c r="C918" i="15" s="1"/>
  <c r="D918" i="15"/>
  <c r="R917" i="15" s="1"/>
  <c r="B918" i="15"/>
  <c r="AC916" i="15"/>
  <c r="AB916" i="15"/>
  <c r="E916" i="15"/>
  <c r="C916" i="15" s="1"/>
  <c r="D916" i="15"/>
  <c r="R915" i="15" s="1"/>
  <c r="B916" i="15"/>
  <c r="AC914" i="15"/>
  <c r="E914" i="15"/>
  <c r="C914" i="15" s="1"/>
  <c r="L914" i="15" s="1"/>
  <c r="D914" i="15"/>
  <c r="R913" i="15" s="1"/>
  <c r="B914" i="15"/>
  <c r="AA909" i="15"/>
  <c r="Z909" i="15"/>
  <c r="Y909" i="15"/>
  <c r="X909" i="15"/>
  <c r="U909" i="15"/>
  <c r="V905" i="15"/>
  <c r="V904" i="15"/>
  <c r="V903" i="15"/>
  <c r="V902" i="15"/>
  <c r="V901" i="15"/>
  <c r="V900" i="15"/>
  <c r="V899" i="15"/>
  <c r="V898" i="15"/>
  <c r="V897" i="15"/>
  <c r="AC865" i="15"/>
  <c r="AB865" i="15"/>
  <c r="I865" i="15"/>
  <c r="R864" i="15"/>
  <c r="B865" i="15"/>
  <c r="Q864" i="15"/>
  <c r="AC863" i="15"/>
  <c r="AB863" i="15"/>
  <c r="R862" i="15"/>
  <c r="B863" i="15"/>
  <c r="Q862" i="15"/>
  <c r="AC861" i="15"/>
  <c r="AB861" i="15"/>
  <c r="R860" i="15"/>
  <c r="B861" i="15"/>
  <c r="Q860" i="15"/>
  <c r="AC859" i="15"/>
  <c r="AB859" i="15"/>
  <c r="R858" i="15"/>
  <c r="B859" i="15"/>
  <c r="Q858" i="15"/>
  <c r="AC857" i="15"/>
  <c r="AB857" i="15"/>
  <c r="R856" i="15"/>
  <c r="B857" i="15"/>
  <c r="Q856" i="15"/>
  <c r="AC855" i="15"/>
  <c r="AB855" i="15"/>
  <c r="E855" i="15"/>
  <c r="C855" i="15" s="1"/>
  <c r="K854" i="15" s="1"/>
  <c r="D855" i="15"/>
  <c r="R854" i="15" s="1"/>
  <c r="B855" i="15"/>
  <c r="Q854" i="15"/>
  <c r="AC853" i="15"/>
  <c r="AB853" i="15"/>
  <c r="E853" i="15"/>
  <c r="C853" i="15" s="1"/>
  <c r="D853" i="15"/>
  <c r="R852" i="15" s="1"/>
  <c r="B853" i="15"/>
  <c r="Q852" i="15"/>
  <c r="AC851" i="15"/>
  <c r="AB851" i="15"/>
  <c r="E851" i="15"/>
  <c r="D851" i="15"/>
  <c r="R850" i="15" s="1"/>
  <c r="B851" i="15"/>
  <c r="Q850" i="15"/>
  <c r="AC849" i="15"/>
  <c r="AB849" i="15"/>
  <c r="E849" i="15"/>
  <c r="I849" i="15" s="1"/>
  <c r="D849" i="15"/>
  <c r="R848" i="15" s="1"/>
  <c r="B849" i="15"/>
  <c r="Q848" i="15"/>
  <c r="AC847" i="15"/>
  <c r="AB847" i="15"/>
  <c r="E847" i="15"/>
  <c r="I847" i="15" s="1"/>
  <c r="D847" i="15"/>
  <c r="R846" i="15" s="1"/>
  <c r="B847" i="15"/>
  <c r="J847" i="15" s="1"/>
  <c r="Q846" i="15"/>
  <c r="AC845" i="15"/>
  <c r="AB845" i="15"/>
  <c r="E845" i="15"/>
  <c r="D845" i="15"/>
  <c r="R844" i="15" s="1"/>
  <c r="B845" i="15"/>
  <c r="Q844" i="15"/>
  <c r="AC843" i="15"/>
  <c r="AB843" i="15"/>
  <c r="E843" i="15"/>
  <c r="C843" i="15" s="1"/>
  <c r="D843" i="15"/>
  <c r="R842" i="15" s="1"/>
  <c r="B843" i="15"/>
  <c r="Q842" i="15"/>
  <c r="AC841" i="15"/>
  <c r="AB841" i="15"/>
  <c r="E841" i="15"/>
  <c r="D841" i="15"/>
  <c r="R840" i="15" s="1"/>
  <c r="B841" i="15"/>
  <c r="Q840" i="15"/>
  <c r="AC839" i="15"/>
  <c r="AB839" i="15"/>
  <c r="E839" i="15"/>
  <c r="C839" i="15" s="1"/>
  <c r="D839" i="15"/>
  <c r="R838" i="15" s="1"/>
  <c r="B839" i="15"/>
  <c r="Q838" i="15"/>
  <c r="AC837" i="15"/>
  <c r="AB837" i="15"/>
  <c r="E837" i="15"/>
  <c r="C837" i="15" s="1"/>
  <c r="D837" i="15"/>
  <c r="R836" i="15" s="1"/>
  <c r="B837" i="15"/>
  <c r="J837" i="15" s="1"/>
  <c r="Q836" i="15"/>
  <c r="AC835" i="15"/>
  <c r="AB835" i="15"/>
  <c r="E835" i="15"/>
  <c r="C835" i="15" s="1"/>
  <c r="D835" i="15"/>
  <c r="R834" i="15" s="1"/>
  <c r="B835" i="15"/>
  <c r="Q834" i="15"/>
  <c r="AC833" i="15"/>
  <c r="AB833" i="15"/>
  <c r="E833" i="15"/>
  <c r="I833" i="15" s="1"/>
  <c r="D833" i="15"/>
  <c r="R832" i="15" s="1"/>
  <c r="B833" i="15"/>
  <c r="Q832" i="15"/>
  <c r="AC831" i="15"/>
  <c r="AB831" i="15"/>
  <c r="E831" i="15"/>
  <c r="I831" i="15" s="1"/>
  <c r="D831" i="15"/>
  <c r="R830" i="15" s="1"/>
  <c r="B831" i="15"/>
  <c r="Q830" i="15"/>
  <c r="AC829" i="15"/>
  <c r="AB829" i="15"/>
  <c r="E829" i="15"/>
  <c r="C829" i="15" s="1"/>
  <c r="D829" i="15"/>
  <c r="R828" i="15" s="1"/>
  <c r="B829" i="15"/>
  <c r="J829" i="15" s="1"/>
  <c r="Q828" i="15"/>
  <c r="AC827" i="15"/>
  <c r="AB827" i="15"/>
  <c r="E827" i="15"/>
  <c r="C827" i="15" s="1"/>
  <c r="K826" i="15" s="1"/>
  <c r="D827" i="15"/>
  <c r="R826" i="15" s="1"/>
  <c r="B827" i="15"/>
  <c r="H827" i="15" s="1"/>
  <c r="Q826" i="15"/>
  <c r="AC825" i="15"/>
  <c r="AB825" i="15"/>
  <c r="E825" i="15"/>
  <c r="D825" i="15"/>
  <c r="R824" i="15" s="1"/>
  <c r="B825" i="15"/>
  <c r="Q824" i="15"/>
  <c r="AC823" i="15"/>
  <c r="AB823" i="15"/>
  <c r="E823" i="15"/>
  <c r="I823" i="15" s="1"/>
  <c r="D823" i="15"/>
  <c r="R822" i="15" s="1"/>
  <c r="B823" i="15"/>
  <c r="Q822" i="15"/>
  <c r="AC821" i="15"/>
  <c r="AB821" i="15"/>
  <c r="E821" i="15"/>
  <c r="C821" i="15" s="1"/>
  <c r="M821" i="15" s="1"/>
  <c r="Q821" i="15" s="1"/>
  <c r="D821" i="15"/>
  <c r="R820" i="15" s="1"/>
  <c r="B821" i="15"/>
  <c r="Q820" i="15"/>
  <c r="AC819" i="15"/>
  <c r="AB819" i="15"/>
  <c r="E819" i="15"/>
  <c r="I819" i="15" s="1"/>
  <c r="D819" i="15"/>
  <c r="R818" i="15" s="1"/>
  <c r="B819" i="15"/>
  <c r="Q818" i="15"/>
  <c r="AC817" i="15"/>
  <c r="AB817" i="15"/>
  <c r="E817" i="15"/>
  <c r="C817" i="15" s="1"/>
  <c r="D817" i="15"/>
  <c r="R816" i="15" s="1"/>
  <c r="B817" i="15"/>
  <c r="Q816" i="15"/>
  <c r="AC815" i="15"/>
  <c r="AB815" i="15"/>
  <c r="E815" i="15"/>
  <c r="C815" i="15" s="1"/>
  <c r="D815" i="15"/>
  <c r="R814" i="15" s="1"/>
  <c r="B815" i="15"/>
  <c r="Q814" i="15"/>
  <c r="AC813" i="15"/>
  <c r="AB813" i="15"/>
  <c r="E813" i="15"/>
  <c r="D813" i="15"/>
  <c r="R812" i="15" s="1"/>
  <c r="B813" i="15"/>
  <c r="Q812" i="15"/>
  <c r="AC811" i="15"/>
  <c r="AB811" i="15"/>
  <c r="E811" i="15"/>
  <c r="I811" i="15" s="1"/>
  <c r="D811" i="15"/>
  <c r="R810" i="15" s="1"/>
  <c r="B811" i="15"/>
  <c r="Q810" i="15"/>
  <c r="AC809" i="15"/>
  <c r="AB809" i="15"/>
  <c r="E809" i="15"/>
  <c r="C809" i="15" s="1"/>
  <c r="D809" i="15"/>
  <c r="R808" i="15" s="1"/>
  <c r="B809" i="15"/>
  <c r="Q808" i="15"/>
  <c r="AC807" i="15"/>
  <c r="AB807" i="15"/>
  <c r="E807" i="15"/>
  <c r="C807" i="15" s="1"/>
  <c r="D807" i="15"/>
  <c r="R806" i="15" s="1"/>
  <c r="B807" i="15"/>
  <c r="Q806" i="15"/>
  <c r="AC805" i="15"/>
  <c r="AB805" i="15"/>
  <c r="E805" i="15"/>
  <c r="D805" i="15"/>
  <c r="R804" i="15" s="1"/>
  <c r="B805" i="15"/>
  <c r="Q804" i="15"/>
  <c r="AC803" i="15"/>
  <c r="AB803" i="15"/>
  <c r="E803" i="15"/>
  <c r="I803" i="15" s="1"/>
  <c r="D803" i="15"/>
  <c r="R802" i="15" s="1"/>
  <c r="B803" i="15"/>
  <c r="Q802" i="15"/>
  <c r="AC801" i="15"/>
  <c r="AB801" i="15"/>
  <c r="E801" i="15"/>
  <c r="I801" i="15" s="1"/>
  <c r="D801" i="15"/>
  <c r="R800" i="15" s="1"/>
  <c r="B801" i="15"/>
  <c r="Q800" i="15"/>
  <c r="AC799" i="15"/>
  <c r="AB799" i="15"/>
  <c r="E799" i="15"/>
  <c r="C799" i="15" s="1"/>
  <c r="K798" i="15" s="1"/>
  <c r="D799" i="15"/>
  <c r="R798" i="15" s="1"/>
  <c r="B799" i="15"/>
  <c r="Q798" i="15"/>
  <c r="AC797" i="15"/>
  <c r="AB797" i="15"/>
  <c r="E797" i="15"/>
  <c r="D797" i="15"/>
  <c r="R796" i="15" s="1"/>
  <c r="B797" i="15"/>
  <c r="Q796" i="15"/>
  <c r="AC795" i="15"/>
  <c r="AB795" i="15"/>
  <c r="E795" i="15"/>
  <c r="I795" i="15" s="1"/>
  <c r="D795" i="15"/>
  <c r="R794" i="15" s="1"/>
  <c r="B795" i="15"/>
  <c r="Q794" i="15"/>
  <c r="AC793" i="15"/>
  <c r="AB793" i="15"/>
  <c r="E793" i="15"/>
  <c r="I793" i="15" s="1"/>
  <c r="D793" i="15"/>
  <c r="R792" i="15" s="1"/>
  <c r="B793" i="15"/>
  <c r="Q792" i="15"/>
  <c r="AC791" i="15"/>
  <c r="AB791" i="15"/>
  <c r="E791" i="15"/>
  <c r="I791" i="15" s="1"/>
  <c r="D791" i="15"/>
  <c r="R790" i="15" s="1"/>
  <c r="B791" i="15"/>
  <c r="Q790" i="15"/>
  <c r="AC789" i="15"/>
  <c r="AB789" i="15"/>
  <c r="E789" i="15"/>
  <c r="D789" i="15"/>
  <c r="R788" i="15" s="1"/>
  <c r="B789" i="15"/>
  <c r="Q788" i="15"/>
  <c r="AC787" i="15"/>
  <c r="E787" i="15"/>
  <c r="D787" i="15"/>
  <c r="R786" i="15" s="1"/>
  <c r="B787" i="15"/>
  <c r="AA782" i="15"/>
  <c r="Z782" i="15"/>
  <c r="Y782" i="15"/>
  <c r="X782" i="15"/>
  <c r="W782" i="15"/>
  <c r="V782" i="15"/>
  <c r="V1036" i="15" s="1"/>
  <c r="U782" i="15"/>
  <c r="V778" i="15"/>
  <c r="V777" i="15"/>
  <c r="V776" i="15"/>
  <c r="V775" i="15"/>
  <c r="V774" i="15"/>
  <c r="V773" i="15"/>
  <c r="V772" i="15"/>
  <c r="AC740" i="15"/>
  <c r="C740" i="15"/>
  <c r="R739" i="15"/>
  <c r="B740" i="15"/>
  <c r="J740" i="15" s="1"/>
  <c r="AC738" i="15"/>
  <c r="C738" i="15"/>
  <c r="R737" i="15"/>
  <c r="B738" i="15"/>
  <c r="AC736" i="15"/>
  <c r="C736" i="15"/>
  <c r="M736" i="15" s="1"/>
  <c r="R735" i="15"/>
  <c r="B736" i="15"/>
  <c r="K736" i="15" s="1"/>
  <c r="N736" i="15" s="1"/>
  <c r="AC734" i="15"/>
  <c r="C734" i="15"/>
  <c r="R733" i="15"/>
  <c r="B734" i="15"/>
  <c r="J734" i="15" s="1"/>
  <c r="AC732" i="15"/>
  <c r="C732" i="15"/>
  <c r="L732" i="15" s="1"/>
  <c r="R731" i="15"/>
  <c r="B732" i="15"/>
  <c r="AC730" i="15"/>
  <c r="E730" i="15"/>
  <c r="C730" i="15" s="1"/>
  <c r="D730" i="15"/>
  <c r="R729" i="15" s="1"/>
  <c r="B730" i="15"/>
  <c r="AC728" i="15"/>
  <c r="E728" i="15"/>
  <c r="C728" i="15" s="1"/>
  <c r="D728" i="15"/>
  <c r="R727" i="15" s="1"/>
  <c r="B728" i="15"/>
  <c r="AC726" i="15"/>
  <c r="E726" i="15"/>
  <c r="C726" i="15" s="1"/>
  <c r="D726" i="15"/>
  <c r="R725" i="15" s="1"/>
  <c r="B726" i="15"/>
  <c r="AC724" i="15"/>
  <c r="E724" i="15"/>
  <c r="C724" i="15" s="1"/>
  <c r="D724" i="15"/>
  <c r="R723" i="15" s="1"/>
  <c r="B724" i="15"/>
  <c r="AC722" i="15"/>
  <c r="E722" i="15"/>
  <c r="C722" i="15" s="1"/>
  <c r="D722" i="15"/>
  <c r="R721" i="15" s="1"/>
  <c r="B722" i="15"/>
  <c r="AC720" i="15"/>
  <c r="E720" i="15"/>
  <c r="C720" i="15" s="1"/>
  <c r="D720" i="15"/>
  <c r="R719" i="15" s="1"/>
  <c r="B720" i="15"/>
  <c r="AC718" i="15"/>
  <c r="E718" i="15"/>
  <c r="C718" i="15" s="1"/>
  <c r="D718" i="15"/>
  <c r="R717" i="15" s="1"/>
  <c r="B718" i="15"/>
  <c r="AC716" i="15"/>
  <c r="E716" i="15"/>
  <c r="C716" i="15" s="1"/>
  <c r="D716" i="15"/>
  <c r="R715" i="15" s="1"/>
  <c r="B716" i="15"/>
  <c r="AC714" i="15"/>
  <c r="E714" i="15"/>
  <c r="C714" i="15" s="1"/>
  <c r="M714" i="15" s="1"/>
  <c r="D714" i="15"/>
  <c r="R713" i="15" s="1"/>
  <c r="B714" i="15"/>
  <c r="AC712" i="15"/>
  <c r="E712" i="15"/>
  <c r="C712" i="15" s="1"/>
  <c r="D712" i="15"/>
  <c r="R711" i="15" s="1"/>
  <c r="B712" i="15"/>
  <c r="AC710" i="15"/>
  <c r="E710" i="15"/>
  <c r="C710" i="15" s="1"/>
  <c r="D710" i="15"/>
  <c r="R709" i="15" s="1"/>
  <c r="B710" i="15"/>
  <c r="H710" i="15" s="1"/>
  <c r="AC708" i="15"/>
  <c r="E708" i="15"/>
  <c r="C708" i="15" s="1"/>
  <c r="L708" i="15" s="1"/>
  <c r="D708" i="15"/>
  <c r="R707" i="15" s="1"/>
  <c r="B708" i="15"/>
  <c r="K708" i="15" s="1"/>
  <c r="N708" i="15" s="1"/>
  <c r="AC706" i="15"/>
  <c r="E706" i="15"/>
  <c r="C706" i="15" s="1"/>
  <c r="D706" i="15"/>
  <c r="R705" i="15" s="1"/>
  <c r="B706" i="15"/>
  <c r="K706" i="15" s="1"/>
  <c r="N706" i="15" s="1"/>
  <c r="AC704" i="15"/>
  <c r="E704" i="15"/>
  <c r="C704" i="15" s="1"/>
  <c r="D704" i="15"/>
  <c r="R703" i="15" s="1"/>
  <c r="B704" i="15"/>
  <c r="AC702" i="15"/>
  <c r="E702" i="15"/>
  <c r="C702" i="15" s="1"/>
  <c r="M702" i="15" s="1"/>
  <c r="D702" i="15"/>
  <c r="R701" i="15" s="1"/>
  <c r="B702" i="15"/>
  <c r="AC700" i="15"/>
  <c r="E700" i="15"/>
  <c r="C700" i="15" s="1"/>
  <c r="D700" i="15"/>
  <c r="R699" i="15" s="1"/>
  <c r="B700" i="15"/>
  <c r="AC698" i="15"/>
  <c r="E698" i="15"/>
  <c r="C698" i="15" s="1"/>
  <c r="D698" i="15"/>
  <c r="R697" i="15" s="1"/>
  <c r="B698" i="15"/>
  <c r="AC696" i="15"/>
  <c r="E696" i="15"/>
  <c r="C696" i="15" s="1"/>
  <c r="D696" i="15"/>
  <c r="R695" i="15" s="1"/>
  <c r="B696" i="15"/>
  <c r="AC694" i="15"/>
  <c r="E694" i="15"/>
  <c r="C694" i="15" s="1"/>
  <c r="M694" i="15" s="1"/>
  <c r="D694" i="15"/>
  <c r="R693" i="15" s="1"/>
  <c r="B694" i="15"/>
  <c r="J694" i="15" s="1"/>
  <c r="AC692" i="15"/>
  <c r="E692" i="15"/>
  <c r="C692" i="15" s="1"/>
  <c r="D692" i="15"/>
  <c r="R691" i="15" s="1"/>
  <c r="B692" i="15"/>
  <c r="AC690" i="15"/>
  <c r="E690" i="15"/>
  <c r="C690" i="15" s="1"/>
  <c r="M690" i="15" s="1"/>
  <c r="D690" i="15"/>
  <c r="R689" i="15" s="1"/>
  <c r="B690" i="15"/>
  <c r="AC688" i="15"/>
  <c r="E688" i="15"/>
  <c r="C688" i="15" s="1"/>
  <c r="D688" i="15"/>
  <c r="R687" i="15" s="1"/>
  <c r="B688" i="15"/>
  <c r="AC686" i="15"/>
  <c r="E686" i="15"/>
  <c r="C686" i="15" s="1"/>
  <c r="M686" i="15" s="1"/>
  <c r="D686" i="15"/>
  <c r="R685" i="15" s="1"/>
  <c r="B686" i="15"/>
  <c r="AC684" i="15"/>
  <c r="E684" i="15"/>
  <c r="C684" i="15" s="1"/>
  <c r="D684" i="15"/>
  <c r="R683" i="15" s="1"/>
  <c r="B684" i="15"/>
  <c r="AC682" i="15"/>
  <c r="E682" i="15"/>
  <c r="C682" i="15" s="1"/>
  <c r="D682" i="15"/>
  <c r="R681" i="15" s="1"/>
  <c r="B682" i="15"/>
  <c r="AC680" i="15"/>
  <c r="AB680" i="15"/>
  <c r="E680" i="15"/>
  <c r="C680" i="15" s="1"/>
  <c r="D680" i="15"/>
  <c r="R679" i="15" s="1"/>
  <c r="B680" i="15"/>
  <c r="AC678" i="15"/>
  <c r="AB678" i="15"/>
  <c r="E678" i="15"/>
  <c r="C678" i="15" s="1"/>
  <c r="D678" i="15"/>
  <c r="R677" i="15" s="1"/>
  <c r="B678" i="15"/>
  <c r="AC676" i="15"/>
  <c r="AB676" i="15"/>
  <c r="E676" i="15"/>
  <c r="C676" i="15" s="1"/>
  <c r="L676" i="15" s="1"/>
  <c r="D676" i="15"/>
  <c r="R675" i="15" s="1"/>
  <c r="B676" i="15"/>
  <c r="AC674" i="15"/>
  <c r="AB674" i="15"/>
  <c r="E674" i="15"/>
  <c r="C674" i="15" s="1"/>
  <c r="D674" i="15"/>
  <c r="R673" i="15" s="1"/>
  <c r="B674" i="15"/>
  <c r="AC672" i="15"/>
  <c r="AB672" i="15"/>
  <c r="E672" i="15"/>
  <c r="C672" i="15" s="1"/>
  <c r="D672" i="15"/>
  <c r="R671" i="15" s="1"/>
  <c r="B672" i="15"/>
  <c r="AC670" i="15"/>
  <c r="AB670" i="15"/>
  <c r="E670" i="15"/>
  <c r="C670" i="15" s="1"/>
  <c r="M670" i="15" s="1"/>
  <c r="D670" i="15"/>
  <c r="R669" i="15" s="1"/>
  <c r="B670" i="15"/>
  <c r="AC668" i="15"/>
  <c r="AB668" i="15"/>
  <c r="E668" i="15"/>
  <c r="C668" i="15" s="1"/>
  <c r="D668" i="15"/>
  <c r="R667" i="15" s="1"/>
  <c r="B668" i="15"/>
  <c r="AC666" i="15"/>
  <c r="AB666" i="15"/>
  <c r="E666" i="15"/>
  <c r="C666" i="15" s="1"/>
  <c r="D666" i="15"/>
  <c r="R665" i="15" s="1"/>
  <c r="B666" i="15"/>
  <c r="AC664" i="15"/>
  <c r="AB664" i="15"/>
  <c r="E664" i="15"/>
  <c r="C664" i="15" s="1"/>
  <c r="D664" i="15"/>
  <c r="R663" i="15" s="1"/>
  <c r="B664" i="15"/>
  <c r="AC662" i="15"/>
  <c r="E662" i="15"/>
  <c r="C662" i="15" s="1"/>
  <c r="D662" i="15"/>
  <c r="R661" i="15" s="1"/>
  <c r="B662" i="15"/>
  <c r="AA657" i="15"/>
  <c r="Z657" i="15"/>
  <c r="Y657" i="15"/>
  <c r="X657" i="15"/>
  <c r="W657" i="15"/>
  <c r="V657" i="15"/>
  <c r="U657" i="15"/>
  <c r="AC615" i="15"/>
  <c r="C615" i="15"/>
  <c r="P615" i="15" s="1"/>
  <c r="R614" i="15"/>
  <c r="B615" i="15"/>
  <c r="AC613" i="15"/>
  <c r="C613" i="15"/>
  <c r="R612" i="15"/>
  <c r="B613" i="15"/>
  <c r="H613" i="15" s="1"/>
  <c r="AC611" i="15"/>
  <c r="C611" i="15"/>
  <c r="R610" i="15"/>
  <c r="B611" i="15"/>
  <c r="H611" i="15" s="1"/>
  <c r="AC609" i="15"/>
  <c r="C609" i="15"/>
  <c r="R608" i="15"/>
  <c r="B609" i="15"/>
  <c r="AC607" i="15"/>
  <c r="C607" i="15"/>
  <c r="R606" i="15"/>
  <c r="B607" i="15"/>
  <c r="AC605" i="15"/>
  <c r="E605" i="15"/>
  <c r="C605" i="15" s="1"/>
  <c r="D605" i="15"/>
  <c r="R604" i="15" s="1"/>
  <c r="B605" i="15"/>
  <c r="AC603" i="15"/>
  <c r="E603" i="15"/>
  <c r="C603" i="15" s="1"/>
  <c r="P603" i="15" s="1"/>
  <c r="D603" i="15"/>
  <c r="R602" i="15" s="1"/>
  <c r="B603" i="15"/>
  <c r="K603" i="15" s="1"/>
  <c r="N603" i="15" s="1"/>
  <c r="AC601" i="15"/>
  <c r="E601" i="15"/>
  <c r="C601" i="15" s="1"/>
  <c r="O601" i="15" s="1"/>
  <c r="D601" i="15"/>
  <c r="R600" i="15" s="1"/>
  <c r="B601" i="15"/>
  <c r="AC599" i="15"/>
  <c r="E599" i="15"/>
  <c r="C599" i="15" s="1"/>
  <c r="D599" i="15"/>
  <c r="R598" i="15" s="1"/>
  <c r="B599" i="15"/>
  <c r="AC597" i="15"/>
  <c r="E597" i="15"/>
  <c r="C597" i="15" s="1"/>
  <c r="O597" i="15" s="1"/>
  <c r="D597" i="15"/>
  <c r="R596" i="15" s="1"/>
  <c r="B597" i="15"/>
  <c r="H597" i="15" s="1"/>
  <c r="AC595" i="15"/>
  <c r="E595" i="15"/>
  <c r="C595" i="15" s="1"/>
  <c r="D595" i="15"/>
  <c r="R594" i="15" s="1"/>
  <c r="B595" i="15"/>
  <c r="H595" i="15" s="1"/>
  <c r="AC593" i="15"/>
  <c r="E593" i="15"/>
  <c r="C593" i="15" s="1"/>
  <c r="D593" i="15"/>
  <c r="R592" i="15" s="1"/>
  <c r="B593" i="15"/>
  <c r="AC591" i="15"/>
  <c r="E591" i="15"/>
  <c r="C591" i="15" s="1"/>
  <c r="D591" i="15"/>
  <c r="R590" i="15" s="1"/>
  <c r="B591" i="15"/>
  <c r="K591" i="15" s="1"/>
  <c r="N591" i="15" s="1"/>
  <c r="AC589" i="15"/>
  <c r="E589" i="15"/>
  <c r="C589" i="15" s="1"/>
  <c r="D589" i="15"/>
  <c r="R588" i="15" s="1"/>
  <c r="B589" i="15"/>
  <c r="AC587" i="15"/>
  <c r="E587" i="15"/>
  <c r="C587" i="15" s="1"/>
  <c r="P587" i="15" s="1"/>
  <c r="D587" i="15"/>
  <c r="R586" i="15" s="1"/>
  <c r="B587" i="15"/>
  <c r="K587" i="15" s="1"/>
  <c r="N587" i="15" s="1"/>
  <c r="AC585" i="15"/>
  <c r="E585" i="15"/>
  <c r="C585" i="15" s="1"/>
  <c r="O585" i="15" s="1"/>
  <c r="D585" i="15"/>
  <c r="R584" i="15" s="1"/>
  <c r="B585" i="15"/>
  <c r="AC583" i="15"/>
  <c r="E583" i="15"/>
  <c r="C583" i="15" s="1"/>
  <c r="D583" i="15"/>
  <c r="R582" i="15" s="1"/>
  <c r="B583" i="15"/>
  <c r="AC581" i="15"/>
  <c r="E581" i="15"/>
  <c r="C581" i="15" s="1"/>
  <c r="D581" i="15"/>
  <c r="R580" i="15" s="1"/>
  <c r="B581" i="15"/>
  <c r="AC579" i="15"/>
  <c r="E579" i="15"/>
  <c r="C579" i="15" s="1"/>
  <c r="D579" i="15"/>
  <c r="R578" i="15" s="1"/>
  <c r="B579" i="15"/>
  <c r="H579" i="15" s="1"/>
  <c r="AC577" i="15"/>
  <c r="E577" i="15"/>
  <c r="C577" i="15" s="1"/>
  <c r="D577" i="15"/>
  <c r="R576" i="15" s="1"/>
  <c r="B577" i="15"/>
  <c r="AC575" i="15"/>
  <c r="E575" i="15"/>
  <c r="C575" i="15" s="1"/>
  <c r="D575" i="15"/>
  <c r="R574" i="15" s="1"/>
  <c r="B575" i="15"/>
  <c r="K575" i="15" s="1"/>
  <c r="N575" i="15" s="1"/>
  <c r="AC573" i="15"/>
  <c r="E573" i="15"/>
  <c r="C573" i="15" s="1"/>
  <c r="D573" i="15"/>
  <c r="R572" i="15" s="1"/>
  <c r="B573" i="15"/>
  <c r="AC571" i="15"/>
  <c r="E571" i="15"/>
  <c r="C571" i="15" s="1"/>
  <c r="D571" i="15"/>
  <c r="R570" i="15" s="1"/>
  <c r="B571" i="15"/>
  <c r="AC569" i="15"/>
  <c r="E569" i="15"/>
  <c r="C569" i="15" s="1"/>
  <c r="P569" i="15" s="1"/>
  <c r="D569" i="15"/>
  <c r="R568" i="15" s="1"/>
  <c r="B569" i="15"/>
  <c r="AC567" i="15"/>
  <c r="E567" i="15"/>
  <c r="C567" i="15" s="1"/>
  <c r="D567" i="15"/>
  <c r="R566" i="15" s="1"/>
  <c r="B567" i="15"/>
  <c r="AC565" i="15"/>
  <c r="E565" i="15"/>
  <c r="C565" i="15" s="1"/>
  <c r="P565" i="15" s="1"/>
  <c r="D565" i="15"/>
  <c r="R564" i="15" s="1"/>
  <c r="B565" i="15"/>
  <c r="AC563" i="15"/>
  <c r="E563" i="15"/>
  <c r="C563" i="15" s="1"/>
  <c r="D563" i="15"/>
  <c r="R562" i="15" s="1"/>
  <c r="B563" i="15"/>
  <c r="AC561" i="15"/>
  <c r="E561" i="15"/>
  <c r="C561" i="15" s="1"/>
  <c r="D561" i="15"/>
  <c r="R560" i="15" s="1"/>
  <c r="B561" i="15"/>
  <c r="AC559" i="15"/>
  <c r="E559" i="15"/>
  <c r="C559" i="15" s="1"/>
  <c r="D559" i="15"/>
  <c r="R558" i="15" s="1"/>
  <c r="B559" i="15"/>
  <c r="AC557" i="15"/>
  <c r="E557" i="15"/>
  <c r="C557" i="15" s="1"/>
  <c r="D557" i="15"/>
  <c r="R556" i="15" s="1"/>
  <c r="B557" i="15"/>
  <c r="AC555" i="15"/>
  <c r="E555" i="15"/>
  <c r="C555" i="15" s="1"/>
  <c r="D555" i="15"/>
  <c r="R554" i="15" s="1"/>
  <c r="B555" i="15"/>
  <c r="AC553" i="15"/>
  <c r="E553" i="15"/>
  <c r="C553" i="15" s="1"/>
  <c r="P553" i="15" s="1"/>
  <c r="D553" i="15"/>
  <c r="R552" i="15" s="1"/>
  <c r="B553" i="15"/>
  <c r="V553" i="15" s="1"/>
  <c r="AC551" i="15"/>
  <c r="E551" i="15"/>
  <c r="C551" i="15" s="1"/>
  <c r="D551" i="15"/>
  <c r="R550" i="15" s="1"/>
  <c r="B551" i="15"/>
  <c r="AC549" i="15"/>
  <c r="E549" i="15"/>
  <c r="C549" i="15" s="1"/>
  <c r="P549" i="15" s="1"/>
  <c r="D549" i="15"/>
  <c r="R548" i="15" s="1"/>
  <c r="B549" i="15"/>
  <c r="V549" i="15" s="1"/>
  <c r="AC547" i="15"/>
  <c r="E547" i="15"/>
  <c r="C547" i="15" s="1"/>
  <c r="D547" i="15"/>
  <c r="R546" i="15" s="1"/>
  <c r="B547" i="15"/>
  <c r="AC545" i="15"/>
  <c r="AB545" i="15"/>
  <c r="E545" i="15"/>
  <c r="C545" i="15" s="1"/>
  <c r="D545" i="15"/>
  <c r="R544" i="15" s="1"/>
  <c r="B545" i="15"/>
  <c r="AC543" i="15"/>
  <c r="AB543" i="15"/>
  <c r="E543" i="15"/>
  <c r="C543" i="15" s="1"/>
  <c r="D543" i="15"/>
  <c r="R542" i="15" s="1"/>
  <c r="B543" i="15"/>
  <c r="AC541" i="15"/>
  <c r="AB541" i="15"/>
  <c r="E541" i="15"/>
  <c r="C541" i="15" s="1"/>
  <c r="D541" i="15"/>
  <c r="R540" i="15" s="1"/>
  <c r="B541" i="15"/>
  <c r="AC539" i="15"/>
  <c r="AB539" i="15"/>
  <c r="E539" i="15"/>
  <c r="C539" i="15" s="1"/>
  <c r="D539" i="15"/>
  <c r="R538" i="15" s="1"/>
  <c r="B539" i="15"/>
  <c r="AC537" i="15"/>
  <c r="E537" i="15"/>
  <c r="C537" i="15" s="1"/>
  <c r="P537" i="15" s="1"/>
  <c r="D537" i="15"/>
  <c r="R536" i="15" s="1"/>
  <c r="B537" i="15"/>
  <c r="AA532" i="15"/>
  <c r="Z532" i="15"/>
  <c r="Y532" i="15"/>
  <c r="X532" i="15"/>
  <c r="W532" i="15"/>
  <c r="U532" i="15"/>
  <c r="AC518" i="15"/>
  <c r="AB518" i="15"/>
  <c r="B518" i="15"/>
  <c r="AC516" i="15"/>
  <c r="AB516" i="15"/>
  <c r="B516" i="15"/>
  <c r="AC514" i="15"/>
  <c r="AB514" i="15"/>
  <c r="B514" i="15"/>
  <c r="H514" i="15" s="1"/>
  <c r="AC512" i="15"/>
  <c r="AB512" i="15"/>
  <c r="B512" i="15"/>
  <c r="L512" i="15" s="1"/>
  <c r="AC510" i="15"/>
  <c r="B510" i="15"/>
  <c r="AA505" i="15"/>
  <c r="Z505" i="15"/>
  <c r="Y505" i="15"/>
  <c r="X505" i="15"/>
  <c r="W505" i="15"/>
  <c r="V505" i="15"/>
  <c r="U505" i="15"/>
  <c r="AC502" i="15"/>
  <c r="AB502" i="15"/>
  <c r="B502" i="15"/>
  <c r="AC500" i="15"/>
  <c r="AB500" i="15"/>
  <c r="B500" i="15"/>
  <c r="H500" i="15" s="1"/>
  <c r="AC498" i="15"/>
  <c r="AB498" i="15"/>
  <c r="B498" i="15"/>
  <c r="AC496" i="15"/>
  <c r="AB496" i="15"/>
  <c r="B496" i="15"/>
  <c r="AC494" i="15"/>
  <c r="B494" i="15"/>
  <c r="AA489" i="15"/>
  <c r="Z489" i="15"/>
  <c r="Y489" i="15"/>
  <c r="X489" i="15"/>
  <c r="W489" i="15"/>
  <c r="V489" i="15"/>
  <c r="U489" i="15"/>
  <c r="AC484" i="15"/>
  <c r="AB484" i="15"/>
  <c r="B484" i="15"/>
  <c r="AC482" i="15"/>
  <c r="AB482" i="15"/>
  <c r="B482" i="15"/>
  <c r="AC480" i="15"/>
  <c r="AB480" i="15"/>
  <c r="B480" i="15"/>
  <c r="AC478" i="15"/>
  <c r="AB478" i="15"/>
  <c r="B478" i="15"/>
  <c r="AC476" i="15"/>
  <c r="B476" i="15"/>
  <c r="AA471" i="15"/>
  <c r="Z471" i="15"/>
  <c r="Y471" i="15"/>
  <c r="X471" i="15"/>
  <c r="W471" i="15"/>
  <c r="V471" i="15"/>
  <c r="U471" i="15"/>
  <c r="T471" i="15"/>
  <c r="S471" i="15"/>
  <c r="AC437" i="15"/>
  <c r="AB437" i="15"/>
  <c r="D437" i="15"/>
  <c r="K436" i="15" s="1"/>
  <c r="K437" i="15" s="1"/>
  <c r="B437" i="15"/>
  <c r="AC435" i="15"/>
  <c r="AB435" i="15"/>
  <c r="D435" i="15"/>
  <c r="B435" i="15"/>
  <c r="AC433" i="15"/>
  <c r="AB433" i="15"/>
  <c r="D433" i="15"/>
  <c r="B433" i="15"/>
  <c r="AC431" i="15"/>
  <c r="AB431" i="15"/>
  <c r="D431" i="15"/>
  <c r="B431" i="15"/>
  <c r="AC429" i="15"/>
  <c r="AB429" i="15"/>
  <c r="M429" i="15"/>
  <c r="L429" i="15"/>
  <c r="K429" i="15"/>
  <c r="D429" i="15"/>
  <c r="B429" i="15"/>
  <c r="AC427" i="15"/>
  <c r="AB427" i="15"/>
  <c r="C427" i="15"/>
  <c r="D427" i="15" s="1"/>
  <c r="B427" i="15"/>
  <c r="AC425" i="15"/>
  <c r="AB425" i="15"/>
  <c r="C425" i="15"/>
  <c r="D425" i="15" s="1"/>
  <c r="K424" i="15" s="1"/>
  <c r="K425" i="15" s="1"/>
  <c r="B425" i="15"/>
  <c r="AC423" i="15"/>
  <c r="AB423" i="15"/>
  <c r="C423" i="15"/>
  <c r="D423" i="15" s="1"/>
  <c r="B423" i="15"/>
  <c r="J423" i="15" s="1"/>
  <c r="AC421" i="15"/>
  <c r="AB421" i="15"/>
  <c r="C421" i="15"/>
  <c r="D421" i="15" s="1"/>
  <c r="K420" i="15" s="1"/>
  <c r="K421" i="15" s="1"/>
  <c r="B421" i="15"/>
  <c r="J421" i="15" s="1"/>
  <c r="AC419" i="15"/>
  <c r="AB419" i="15"/>
  <c r="C419" i="15"/>
  <c r="D419" i="15" s="1"/>
  <c r="B419" i="15"/>
  <c r="AC417" i="15"/>
  <c r="AB417" i="15"/>
  <c r="C417" i="15"/>
  <c r="D417" i="15" s="1"/>
  <c r="B417" i="15"/>
  <c r="AC415" i="15"/>
  <c r="AB415" i="15"/>
  <c r="C415" i="15"/>
  <c r="D415" i="15" s="1"/>
  <c r="B415" i="15"/>
  <c r="J415" i="15" s="1"/>
  <c r="AC413" i="15"/>
  <c r="AB413" i="15"/>
  <c r="C413" i="15"/>
  <c r="D413" i="15" s="1"/>
  <c r="B413" i="15"/>
  <c r="AC411" i="15"/>
  <c r="AB411" i="15"/>
  <c r="C411" i="15"/>
  <c r="D411" i="15" s="1"/>
  <c r="B411" i="15"/>
  <c r="AC409" i="15"/>
  <c r="AB409" i="15"/>
  <c r="C409" i="15"/>
  <c r="D409" i="15" s="1"/>
  <c r="K408" i="15" s="1"/>
  <c r="K409" i="15" s="1"/>
  <c r="B409" i="15"/>
  <c r="AC407" i="15"/>
  <c r="AB407" i="15"/>
  <c r="C407" i="15"/>
  <c r="D407" i="15" s="1"/>
  <c r="K406" i="15" s="1"/>
  <c r="B407" i="15"/>
  <c r="AC405" i="15"/>
  <c r="AB405" i="15"/>
  <c r="C405" i="15"/>
  <c r="D405" i="15" s="1"/>
  <c r="B405" i="15"/>
  <c r="AC403" i="15"/>
  <c r="AB403" i="15"/>
  <c r="C403" i="15"/>
  <c r="D403" i="15" s="1"/>
  <c r="K402" i="15" s="1"/>
  <c r="K403" i="15" s="1"/>
  <c r="B403" i="15"/>
  <c r="AC401" i="15"/>
  <c r="AB401" i="15"/>
  <c r="C401" i="15"/>
  <c r="D401" i="15" s="1"/>
  <c r="K400" i="15" s="1"/>
  <c r="K401" i="15" s="1"/>
  <c r="B401" i="15"/>
  <c r="AC399" i="15"/>
  <c r="AB399" i="15"/>
  <c r="C399" i="15"/>
  <c r="D399" i="15" s="1"/>
  <c r="B399" i="15"/>
  <c r="AC397" i="15"/>
  <c r="AB397" i="15"/>
  <c r="C397" i="15"/>
  <c r="D397" i="15" s="1"/>
  <c r="B397" i="15"/>
  <c r="AC395" i="15"/>
  <c r="AB395" i="15"/>
  <c r="C395" i="15"/>
  <c r="D395" i="15" s="1"/>
  <c r="K394" i="15" s="1"/>
  <c r="B395" i="15"/>
  <c r="J395" i="15" s="1"/>
  <c r="AC393" i="15"/>
  <c r="AB393" i="15"/>
  <c r="C393" i="15"/>
  <c r="D393" i="15" s="1"/>
  <c r="B393" i="15"/>
  <c r="AC391" i="15"/>
  <c r="AB391" i="15"/>
  <c r="C391" i="15"/>
  <c r="D391" i="15" s="1"/>
  <c r="B391" i="15"/>
  <c r="AC389" i="15"/>
  <c r="AB389" i="15"/>
  <c r="C389" i="15"/>
  <c r="D389" i="15" s="1"/>
  <c r="B389" i="15"/>
  <c r="AC387" i="15"/>
  <c r="AB387" i="15"/>
  <c r="C387" i="15"/>
  <c r="D387" i="15" s="1"/>
  <c r="B387" i="15"/>
  <c r="AC385" i="15"/>
  <c r="AB385" i="15"/>
  <c r="C385" i="15"/>
  <c r="D385" i="15" s="1"/>
  <c r="B385" i="15"/>
  <c r="AC383" i="15"/>
  <c r="AB383" i="15"/>
  <c r="C383" i="15"/>
  <c r="D383" i="15" s="1"/>
  <c r="B383" i="15"/>
  <c r="AC381" i="15"/>
  <c r="AB381" i="15"/>
  <c r="C381" i="15"/>
  <c r="D381" i="15" s="1"/>
  <c r="B381" i="15"/>
  <c r="AC379" i="15"/>
  <c r="AB379" i="15"/>
  <c r="C379" i="15"/>
  <c r="D379" i="15" s="1"/>
  <c r="K378" i="15" s="1"/>
  <c r="K379" i="15" s="1"/>
  <c r="B379" i="15"/>
  <c r="AC377" i="15"/>
  <c r="AB377" i="15"/>
  <c r="C377" i="15"/>
  <c r="D377" i="15" s="1"/>
  <c r="K376" i="15" s="1"/>
  <c r="K377" i="15" s="1"/>
  <c r="B377" i="15"/>
  <c r="AC375" i="15"/>
  <c r="AB375" i="15"/>
  <c r="C375" i="15"/>
  <c r="D375" i="15" s="1"/>
  <c r="K374" i="15" s="1"/>
  <c r="L374" i="15" s="1"/>
  <c r="L375" i="15" s="1"/>
  <c r="B375" i="15"/>
  <c r="H375" i="15" s="1"/>
  <c r="AC373" i="15"/>
  <c r="AB373" i="15"/>
  <c r="C373" i="15"/>
  <c r="D373" i="15" s="1"/>
  <c r="K372" i="15" s="1"/>
  <c r="K373" i="15" s="1"/>
  <c r="B373" i="15"/>
  <c r="AC371" i="15"/>
  <c r="AB371" i="15"/>
  <c r="C371" i="15"/>
  <c r="D371" i="15" s="1"/>
  <c r="K370" i="15" s="1"/>
  <c r="K371" i="15" s="1"/>
  <c r="B371" i="15"/>
  <c r="AC369" i="15"/>
  <c r="AB369" i="15"/>
  <c r="C369" i="15"/>
  <c r="D369" i="15" s="1"/>
  <c r="K368" i="15" s="1"/>
  <c r="K369" i="15" s="1"/>
  <c r="B369" i="15"/>
  <c r="AC367" i="15"/>
  <c r="AB367" i="15"/>
  <c r="C367" i="15"/>
  <c r="D367" i="15" s="1"/>
  <c r="K366" i="15" s="1"/>
  <c r="K367" i="15" s="1"/>
  <c r="B367" i="15"/>
  <c r="AC365" i="15"/>
  <c r="AB365" i="15"/>
  <c r="C365" i="15"/>
  <c r="D365" i="15" s="1"/>
  <c r="B365" i="15"/>
  <c r="AC363" i="15"/>
  <c r="AB363" i="15"/>
  <c r="C363" i="15"/>
  <c r="D363" i="15" s="1"/>
  <c r="K362" i="15" s="1"/>
  <c r="K363" i="15" s="1"/>
  <c r="B363" i="15"/>
  <c r="AC361" i="15"/>
  <c r="AB361" i="15"/>
  <c r="C361" i="15"/>
  <c r="D361" i="15" s="1"/>
  <c r="K360" i="15" s="1"/>
  <c r="K361" i="15" s="1"/>
  <c r="B361" i="15"/>
  <c r="AC359" i="15"/>
  <c r="C359" i="15"/>
  <c r="D359" i="15" s="1"/>
  <c r="K358" i="15" s="1"/>
  <c r="K359" i="15" s="1"/>
  <c r="M443" i="15" s="1"/>
  <c r="N443" i="15" s="1"/>
  <c r="B359" i="15"/>
  <c r="AA354" i="15"/>
  <c r="Z354" i="15"/>
  <c r="Y354" i="15"/>
  <c r="X354" i="15"/>
  <c r="W354" i="15"/>
  <c r="V354" i="15"/>
  <c r="U354" i="15"/>
  <c r="V350" i="15"/>
  <c r="V349" i="15"/>
  <c r="V348" i="15"/>
  <c r="V347" i="15"/>
  <c r="V346" i="15"/>
  <c r="V345" i="15"/>
  <c r="V344" i="15"/>
  <c r="V343" i="15"/>
  <c r="V342" i="15"/>
  <c r="AC310" i="15"/>
  <c r="B310" i="15"/>
  <c r="AC308" i="15"/>
  <c r="B308" i="15"/>
  <c r="K308" i="15" s="1"/>
  <c r="N308" i="15" s="1"/>
  <c r="AC306" i="15"/>
  <c r="B306" i="15"/>
  <c r="H306" i="15" s="1"/>
  <c r="AC304" i="15"/>
  <c r="B304" i="15"/>
  <c r="AC302" i="15"/>
  <c r="B302" i="15"/>
  <c r="K302" i="15" s="1"/>
  <c r="N302" i="15" s="1"/>
  <c r="AC300" i="15"/>
  <c r="B300" i="15"/>
  <c r="AC298" i="15"/>
  <c r="B298" i="15"/>
  <c r="AC296" i="15"/>
  <c r="B296" i="15"/>
  <c r="J296" i="15" s="1"/>
  <c r="AC294" i="15"/>
  <c r="B294" i="15"/>
  <c r="J294" i="15" s="1"/>
  <c r="AC292" i="15"/>
  <c r="B292" i="15"/>
  <c r="K292" i="15" s="1"/>
  <c r="N292" i="15" s="1"/>
  <c r="AC290" i="15"/>
  <c r="B290" i="15"/>
  <c r="H290" i="15" s="1"/>
  <c r="AC288" i="15"/>
  <c r="B288" i="15"/>
  <c r="AC286" i="15"/>
  <c r="B286" i="15"/>
  <c r="AC284" i="15"/>
  <c r="B284" i="15"/>
  <c r="J284" i="15" s="1"/>
  <c r="AC282" i="15"/>
  <c r="B282" i="15"/>
  <c r="AC280" i="15"/>
  <c r="B280" i="15"/>
  <c r="AC278" i="15"/>
  <c r="B278" i="15"/>
  <c r="J278" i="15" s="1"/>
  <c r="AC276" i="15"/>
  <c r="B276" i="15"/>
  <c r="K276" i="15" s="1"/>
  <c r="N276" i="15" s="1"/>
  <c r="AC274" i="15"/>
  <c r="B274" i="15"/>
  <c r="AC272" i="15"/>
  <c r="B272" i="15"/>
  <c r="AC270" i="15"/>
  <c r="B270" i="15"/>
  <c r="AC268" i="15"/>
  <c r="B268" i="15"/>
  <c r="AC266" i="15"/>
  <c r="B266" i="15"/>
  <c r="AC264" i="15"/>
  <c r="B264" i="15"/>
  <c r="H264" i="15" s="1"/>
  <c r="AC262" i="15"/>
  <c r="B262" i="15"/>
  <c r="J262" i="15" s="1"/>
  <c r="AC260" i="15"/>
  <c r="B260" i="15"/>
  <c r="K260" i="15" s="1"/>
  <c r="N260" i="15" s="1"/>
  <c r="AC258" i="15"/>
  <c r="B258" i="15"/>
  <c r="H258" i="15" s="1"/>
  <c r="AC256" i="15"/>
  <c r="B256" i="15"/>
  <c r="AC254" i="15"/>
  <c r="B254" i="15"/>
  <c r="AC252" i="15"/>
  <c r="B252" i="15"/>
  <c r="AC250" i="15"/>
  <c r="B250" i="15"/>
  <c r="AC248" i="15"/>
  <c r="B248" i="15"/>
  <c r="AC246" i="15"/>
  <c r="B246" i="15"/>
  <c r="AC244" i="15"/>
  <c r="B244" i="15"/>
  <c r="K244" i="15" s="1"/>
  <c r="N244" i="15" s="1"/>
  <c r="AC242" i="15"/>
  <c r="B242" i="15"/>
  <c r="AC240" i="15"/>
  <c r="B240" i="15"/>
  <c r="AC238" i="15"/>
  <c r="B238" i="15"/>
  <c r="AC236" i="15"/>
  <c r="B236" i="15"/>
  <c r="AC234" i="15"/>
  <c r="B234" i="15"/>
  <c r="AC232" i="15"/>
  <c r="B232" i="15"/>
  <c r="AA227" i="15"/>
  <c r="Z227" i="15"/>
  <c r="Y227" i="15"/>
  <c r="X227" i="15"/>
  <c r="W227" i="15"/>
  <c r="V227" i="15"/>
  <c r="U227" i="15"/>
  <c r="V223" i="15"/>
  <c r="B182" i="15"/>
  <c r="B180" i="15"/>
  <c r="B178" i="15"/>
  <c r="B176" i="15"/>
  <c r="B174" i="15"/>
  <c r="B172" i="15"/>
  <c r="B170" i="15"/>
  <c r="B168" i="15"/>
  <c r="B166" i="15"/>
  <c r="B164" i="15"/>
  <c r="B162" i="15"/>
  <c r="B160" i="15"/>
  <c r="L160" i="15" s="1"/>
  <c r="B158" i="15"/>
  <c r="B156" i="15"/>
  <c r="B154" i="15"/>
  <c r="AC152" i="15"/>
  <c r="B152" i="15"/>
  <c r="AC150" i="15"/>
  <c r="B150" i="15"/>
  <c r="AC148"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AC112" i="15"/>
  <c r="B112" i="15"/>
  <c r="AC110" i="15"/>
  <c r="B110" i="15"/>
  <c r="AC108" i="15"/>
  <c r="B108" i="15"/>
  <c r="AC106" i="15"/>
  <c r="B106" i="15"/>
  <c r="V106" i="15" s="1"/>
  <c r="AC104" i="15"/>
  <c r="B104" i="15"/>
  <c r="AA99" i="15"/>
  <c r="Z99" i="15"/>
  <c r="Y99" i="15"/>
  <c r="X99" i="15"/>
  <c r="W99" i="15"/>
  <c r="V99" i="15"/>
  <c r="U99" i="15"/>
  <c r="V95" i="15"/>
  <c r="V94" i="15"/>
  <c r="V93" i="15"/>
  <c r="V92" i="15"/>
  <c r="V91" i="15"/>
  <c r="V90" i="15"/>
  <c r="V89" i="15"/>
  <c r="AC85" i="15"/>
  <c r="AB85" i="15"/>
  <c r="B85" i="15"/>
  <c r="AC83" i="15"/>
  <c r="AB83" i="15"/>
  <c r="B83" i="15"/>
  <c r="AC81" i="15"/>
  <c r="B81" i="15"/>
  <c r="AC79" i="15"/>
  <c r="B79" i="15"/>
  <c r="AA74" i="15"/>
  <c r="Z74" i="15"/>
  <c r="Y74" i="15"/>
  <c r="X74" i="15"/>
  <c r="W74" i="15"/>
  <c r="V74" i="15"/>
  <c r="U74" i="15"/>
  <c r="T74" i="15"/>
  <c r="S74" i="15"/>
  <c r="AC71" i="15"/>
  <c r="AB71" i="15"/>
  <c r="B71" i="15"/>
  <c r="AC69" i="15"/>
  <c r="AB69" i="15"/>
  <c r="B69" i="15"/>
  <c r="AC67" i="15"/>
  <c r="B67" i="15"/>
  <c r="AC65" i="15"/>
  <c r="B65" i="15"/>
  <c r="AA60" i="15"/>
  <c r="Z60" i="15"/>
  <c r="Y60" i="15"/>
  <c r="X60" i="15"/>
  <c r="W60" i="15"/>
  <c r="V60" i="15"/>
  <c r="U60" i="15"/>
  <c r="T60" i="15"/>
  <c r="S60" i="15"/>
  <c r="AC55" i="15"/>
  <c r="AB55" i="15"/>
  <c r="B55" i="15"/>
  <c r="AC53" i="15"/>
  <c r="AB53" i="15"/>
  <c r="B53" i="15"/>
  <c r="AC51" i="15"/>
  <c r="B51" i="15"/>
  <c r="AC49" i="15"/>
  <c r="B49" i="15"/>
  <c r="AA44" i="15"/>
  <c r="Z44" i="15"/>
  <c r="Y44" i="15"/>
  <c r="X44" i="15"/>
  <c r="W44" i="15"/>
  <c r="U44" i="15"/>
  <c r="T44" i="15"/>
  <c r="S44" i="15"/>
  <c r="Z34" i="15"/>
  <c r="M34" i="15"/>
  <c r="Z14" i="15"/>
  <c r="Z13" i="15"/>
  <c r="Z12" i="15"/>
  <c r="Z11" i="15"/>
  <c r="Z10" i="15"/>
  <c r="Z9" i="15"/>
  <c r="Z8" i="15"/>
  <c r="Z6" i="15"/>
  <c r="Z5" i="15"/>
  <c r="Z4" i="15"/>
  <c r="M4" i="15"/>
  <c r="S227" i="15" s="1"/>
  <c r="Z3" i="15"/>
  <c r="U1277" i="15" l="1"/>
  <c r="U1283" i="15"/>
  <c r="U1285" i="15"/>
  <c r="U1281" i="15"/>
  <c r="U1279" i="15"/>
  <c r="U1149" i="15"/>
  <c r="U1147" i="15"/>
  <c r="U1143" i="15"/>
  <c r="U1141" i="15"/>
  <c r="U1145" i="15"/>
  <c r="U1016" i="15"/>
  <c r="U1018" i="15"/>
  <c r="U1014" i="15"/>
  <c r="U1020" i="15"/>
  <c r="U1022" i="15"/>
  <c r="X1020" i="15"/>
  <c r="X1016" i="15"/>
  <c r="X1022" i="15"/>
  <c r="X1014" i="15"/>
  <c r="X1018" i="15"/>
  <c r="Y1016" i="15"/>
  <c r="Y1020" i="15"/>
  <c r="Y1022" i="15"/>
  <c r="Y1014" i="15"/>
  <c r="Y1018" i="15"/>
  <c r="Z1014" i="15"/>
  <c r="Z1020" i="15"/>
  <c r="Z1016" i="15"/>
  <c r="Z1018" i="15"/>
  <c r="Z1022" i="15"/>
  <c r="AA1020" i="15"/>
  <c r="AA1016" i="15"/>
  <c r="AA1022" i="15"/>
  <c r="AA1014" i="15"/>
  <c r="AA1018" i="15"/>
  <c r="Z891" i="15"/>
  <c r="Z887" i="15"/>
  <c r="Z895" i="15"/>
  <c r="Z893" i="15"/>
  <c r="Z889" i="15"/>
  <c r="X889" i="15"/>
  <c r="X887" i="15"/>
  <c r="X891" i="15"/>
  <c r="X893" i="15"/>
  <c r="X895" i="15"/>
  <c r="Y891" i="15"/>
  <c r="Y889" i="15"/>
  <c r="Y887" i="15"/>
  <c r="Y893" i="15"/>
  <c r="Y895" i="15"/>
  <c r="AA895" i="15"/>
  <c r="AA889" i="15"/>
  <c r="AA891" i="15"/>
  <c r="AA893" i="15"/>
  <c r="AA887" i="15"/>
  <c r="U893" i="15"/>
  <c r="U895" i="15"/>
  <c r="U887" i="15"/>
  <c r="U891" i="15"/>
  <c r="U889" i="15"/>
  <c r="W891" i="15"/>
  <c r="W889" i="15"/>
  <c r="W887" i="15"/>
  <c r="W893" i="15"/>
  <c r="W895" i="15"/>
  <c r="W762" i="15"/>
  <c r="W766" i="15"/>
  <c r="W770" i="15"/>
  <c r="W768" i="15"/>
  <c r="W764" i="15"/>
  <c r="Y766" i="15"/>
  <c r="Y762" i="15"/>
  <c r="Y770" i="15"/>
  <c r="Y764" i="15"/>
  <c r="Y768" i="15"/>
  <c r="S53" i="15"/>
  <c r="X762" i="15"/>
  <c r="X766" i="15"/>
  <c r="X770" i="15"/>
  <c r="X768" i="15"/>
  <c r="X764" i="15"/>
  <c r="AA766" i="15"/>
  <c r="AA762" i="15"/>
  <c r="AA770" i="15"/>
  <c r="AA768" i="15"/>
  <c r="AA764" i="15"/>
  <c r="Z766" i="15"/>
  <c r="Z762" i="15"/>
  <c r="Z770" i="15"/>
  <c r="Z768" i="15"/>
  <c r="Z764" i="15"/>
  <c r="U766" i="15"/>
  <c r="AB764" i="15"/>
  <c r="AB770" i="15"/>
  <c r="AB766" i="15"/>
  <c r="AB768" i="15"/>
  <c r="AB762" i="15"/>
  <c r="U762" i="15"/>
  <c r="U770" i="15"/>
  <c r="U768" i="15"/>
  <c r="U764" i="15"/>
  <c r="Y641" i="15"/>
  <c r="Y643" i="15"/>
  <c r="Y637" i="15"/>
  <c r="Y639" i="15"/>
  <c r="Y645" i="15"/>
  <c r="Z641" i="15"/>
  <c r="Z643" i="15"/>
  <c r="Z645" i="15"/>
  <c r="Z639" i="15"/>
  <c r="Z637" i="15"/>
  <c r="AA643" i="15"/>
  <c r="AA641" i="15"/>
  <c r="AA639" i="15"/>
  <c r="AA645" i="15"/>
  <c r="AA637" i="15"/>
  <c r="U639" i="15"/>
  <c r="AB637" i="15"/>
  <c r="AB639" i="15"/>
  <c r="AB645" i="15"/>
  <c r="AB641" i="15"/>
  <c r="AB643" i="15"/>
  <c r="U641" i="15"/>
  <c r="U643" i="15"/>
  <c r="U637" i="15"/>
  <c r="U645" i="15"/>
  <c r="W641" i="15"/>
  <c r="W639" i="15"/>
  <c r="W645" i="15"/>
  <c r="W637" i="15"/>
  <c r="W643" i="15"/>
  <c r="X641" i="15"/>
  <c r="X645" i="15"/>
  <c r="X639" i="15"/>
  <c r="X643" i="15"/>
  <c r="X637" i="15"/>
  <c r="U461" i="15"/>
  <c r="U467" i="15"/>
  <c r="U463" i="15"/>
  <c r="U459" i="15"/>
  <c r="U465" i="15"/>
  <c r="W467" i="15"/>
  <c r="W459" i="15"/>
  <c r="W463" i="15"/>
  <c r="W461" i="15"/>
  <c r="W465" i="15"/>
  <c r="Z461" i="15"/>
  <c r="Z465" i="15"/>
  <c r="Z463" i="15"/>
  <c r="Z467" i="15"/>
  <c r="Z459" i="15"/>
  <c r="AA461" i="15"/>
  <c r="AA465" i="15"/>
  <c r="AA463" i="15"/>
  <c r="AA459" i="15"/>
  <c r="AA467" i="15"/>
  <c r="X459" i="15"/>
  <c r="X465" i="15"/>
  <c r="X463" i="15"/>
  <c r="X461" i="15"/>
  <c r="X467" i="15"/>
  <c r="Y465" i="15"/>
  <c r="Y461" i="15"/>
  <c r="Y463" i="15"/>
  <c r="Y467" i="15"/>
  <c r="Y459" i="15"/>
  <c r="V116" i="15"/>
  <c r="AB154" i="15" s="1"/>
  <c r="W334" i="15"/>
  <c r="W340" i="15"/>
  <c r="W338" i="15"/>
  <c r="W336" i="15"/>
  <c r="W332" i="15"/>
  <c r="X334" i="15"/>
  <c r="X332" i="15"/>
  <c r="X340" i="15"/>
  <c r="X336" i="15"/>
  <c r="X338" i="15"/>
  <c r="AA334" i="15"/>
  <c r="AA336" i="15"/>
  <c r="AA338" i="15"/>
  <c r="AA340" i="15"/>
  <c r="AA332" i="15"/>
  <c r="AB334" i="15"/>
  <c r="AB332" i="15"/>
  <c r="AB340" i="15"/>
  <c r="AB338" i="15"/>
  <c r="AB336" i="15"/>
  <c r="U336" i="15"/>
  <c r="U332" i="15"/>
  <c r="U338" i="15"/>
  <c r="U334" i="15"/>
  <c r="U340" i="15"/>
  <c r="Y334" i="15"/>
  <c r="Y340" i="15"/>
  <c r="Y336" i="15"/>
  <c r="Y338" i="15"/>
  <c r="Y332" i="15"/>
  <c r="Z332" i="15"/>
  <c r="Z334" i="15"/>
  <c r="Z336" i="15"/>
  <c r="Z338" i="15"/>
  <c r="Z340" i="15"/>
  <c r="S336" i="15"/>
  <c r="S334" i="15"/>
  <c r="S332" i="15"/>
  <c r="S340" i="15"/>
  <c r="S338" i="15"/>
  <c r="X208" i="15"/>
  <c r="X210" i="15"/>
  <c r="X212" i="15"/>
  <c r="X206" i="15"/>
  <c r="X204" i="15"/>
  <c r="Z208" i="15"/>
  <c r="Z210" i="15"/>
  <c r="Z206" i="15"/>
  <c r="Z212" i="15"/>
  <c r="Z204" i="15"/>
  <c r="Y208" i="15"/>
  <c r="Y210" i="15"/>
  <c r="Y206" i="15"/>
  <c r="Y212" i="15"/>
  <c r="Y204" i="15"/>
  <c r="U208" i="15"/>
  <c r="U206" i="15"/>
  <c r="U212" i="15"/>
  <c r="U210" i="15"/>
  <c r="U204" i="15"/>
  <c r="AA208" i="15"/>
  <c r="AA210" i="15"/>
  <c r="AA212" i="15"/>
  <c r="AA206" i="15"/>
  <c r="AA204" i="15"/>
  <c r="U1392" i="15"/>
  <c r="U1386" i="15"/>
  <c r="U1388" i="15"/>
  <c r="U1390" i="15"/>
  <c r="U1384" i="15"/>
  <c r="U1267" i="15"/>
  <c r="U1275" i="15"/>
  <c r="U1269" i="15"/>
  <c r="U1273" i="15"/>
  <c r="U1271" i="15"/>
  <c r="U1131" i="15"/>
  <c r="U1137" i="15"/>
  <c r="U1133" i="15"/>
  <c r="U1135" i="15"/>
  <c r="U1139" i="15"/>
  <c r="AA1004" i="15"/>
  <c r="AA1006" i="15"/>
  <c r="AA1010" i="15"/>
  <c r="AA1008" i="15"/>
  <c r="AA1012" i="15"/>
  <c r="U1006" i="15"/>
  <c r="U1012" i="15"/>
  <c r="U1004" i="15"/>
  <c r="U1010" i="15"/>
  <c r="U1008" i="15"/>
  <c r="Z1006" i="15"/>
  <c r="Z1004" i="15"/>
  <c r="Z1008" i="15"/>
  <c r="Z1012" i="15"/>
  <c r="Z1010" i="15"/>
  <c r="X1008" i="15"/>
  <c r="X1012" i="15"/>
  <c r="X1010" i="15"/>
  <c r="X1006" i="15"/>
  <c r="X1004" i="15"/>
  <c r="Y1008" i="15"/>
  <c r="Y1010" i="15"/>
  <c r="Y1012" i="15"/>
  <c r="Y1006" i="15"/>
  <c r="Y1004" i="15"/>
  <c r="Z877" i="15"/>
  <c r="Z881" i="15"/>
  <c r="Z879" i="15"/>
  <c r="Z885" i="15"/>
  <c r="Z883" i="15"/>
  <c r="U879" i="15"/>
  <c r="U881" i="15"/>
  <c r="U885" i="15"/>
  <c r="U877" i="15"/>
  <c r="U883" i="15"/>
  <c r="X883" i="15"/>
  <c r="X879" i="15"/>
  <c r="X881" i="15"/>
  <c r="X885" i="15"/>
  <c r="X877" i="15"/>
  <c r="AA879" i="15"/>
  <c r="AA883" i="15"/>
  <c r="AA881" i="15"/>
  <c r="AA877" i="15"/>
  <c r="AA885" i="15"/>
  <c r="W885" i="15"/>
  <c r="W883" i="15"/>
  <c r="W877" i="15"/>
  <c r="W881" i="15"/>
  <c r="W879" i="15"/>
  <c r="Y885" i="15"/>
  <c r="Y881" i="15"/>
  <c r="Y877" i="15"/>
  <c r="Y879" i="15"/>
  <c r="Y883" i="15"/>
  <c r="AA754" i="15"/>
  <c r="AA756" i="15"/>
  <c r="AA758" i="15"/>
  <c r="AA760" i="15"/>
  <c r="AA752" i="15"/>
  <c r="Z758" i="15"/>
  <c r="Z754" i="15"/>
  <c r="Z756" i="15"/>
  <c r="Z752" i="15"/>
  <c r="Z760" i="15"/>
  <c r="AB752" i="15"/>
  <c r="AB756" i="15"/>
  <c r="U752" i="15"/>
  <c r="AB760" i="15"/>
  <c r="AB754" i="15"/>
  <c r="AB758" i="15"/>
  <c r="U760" i="15"/>
  <c r="U754" i="15"/>
  <c r="U756" i="15"/>
  <c r="U758" i="15"/>
  <c r="Y754" i="15"/>
  <c r="Y758" i="15"/>
  <c r="Y752" i="15"/>
  <c r="Y756" i="15"/>
  <c r="Y760" i="15"/>
  <c r="W752" i="15"/>
  <c r="W760" i="15"/>
  <c r="W754" i="15"/>
  <c r="W758" i="15"/>
  <c r="W756" i="15"/>
  <c r="X752" i="15"/>
  <c r="X754" i="15"/>
  <c r="X756" i="15"/>
  <c r="X760" i="15"/>
  <c r="X758" i="15"/>
  <c r="U627" i="15"/>
  <c r="U629" i="15"/>
  <c r="U631" i="15"/>
  <c r="U633" i="15"/>
  <c r="U635" i="15"/>
  <c r="AB635" i="15"/>
  <c r="AB633" i="15"/>
  <c r="AB631" i="15"/>
  <c r="AB629" i="15"/>
  <c r="AB627" i="15"/>
  <c r="X631" i="15"/>
  <c r="X635" i="15"/>
  <c r="X627" i="15"/>
  <c r="X633" i="15"/>
  <c r="X629" i="15"/>
  <c r="Y629" i="15"/>
  <c r="Y631" i="15"/>
  <c r="Y627" i="15"/>
  <c r="Y633" i="15"/>
  <c r="Y635" i="15"/>
  <c r="Z629" i="15"/>
  <c r="Z627" i="15"/>
  <c r="Z633" i="15"/>
  <c r="Z631" i="15"/>
  <c r="Z635" i="15"/>
  <c r="W627" i="15"/>
  <c r="W633" i="15"/>
  <c r="W629" i="15"/>
  <c r="W631" i="15"/>
  <c r="W635" i="15"/>
  <c r="AA629" i="15"/>
  <c r="AA627" i="15"/>
  <c r="AA631" i="15"/>
  <c r="AA633" i="15"/>
  <c r="AA635" i="15"/>
  <c r="W455" i="15"/>
  <c r="W457" i="15"/>
  <c r="W449" i="15"/>
  <c r="W453" i="15"/>
  <c r="W451" i="15"/>
  <c r="X455" i="15"/>
  <c r="X451" i="15"/>
  <c r="X449" i="15"/>
  <c r="X457" i="15"/>
  <c r="X453" i="15"/>
  <c r="Z457" i="15"/>
  <c r="Z451" i="15"/>
  <c r="Z449" i="15"/>
  <c r="Z453" i="15"/>
  <c r="Z455" i="15"/>
  <c r="AA449" i="15"/>
  <c r="AA457" i="15"/>
  <c r="AA453" i="15"/>
  <c r="AA451" i="15"/>
  <c r="AA455" i="15"/>
  <c r="U449" i="15"/>
  <c r="U451" i="15"/>
  <c r="U457" i="15"/>
  <c r="U455" i="15"/>
  <c r="U453" i="15"/>
  <c r="Y453" i="15"/>
  <c r="Y457" i="15"/>
  <c r="Y455" i="15"/>
  <c r="Y449" i="15"/>
  <c r="Y451" i="15"/>
  <c r="M412" i="15"/>
  <c r="M413" i="15" s="1"/>
  <c r="K412" i="15"/>
  <c r="L412" i="15" s="1"/>
  <c r="L413" i="15" s="1"/>
  <c r="AB328" i="15"/>
  <c r="AB326" i="15"/>
  <c r="AB324" i="15"/>
  <c r="AB330" i="15"/>
  <c r="AB322" i="15"/>
  <c r="U322" i="15"/>
  <c r="U330" i="15"/>
  <c r="U326" i="15"/>
  <c r="U324" i="15"/>
  <c r="U328" i="15"/>
  <c r="X326" i="15"/>
  <c r="X322" i="15"/>
  <c r="X328" i="15"/>
  <c r="X330" i="15"/>
  <c r="X324" i="15"/>
  <c r="W328" i="15"/>
  <c r="W324" i="15"/>
  <c r="W330" i="15"/>
  <c r="W322" i="15"/>
  <c r="W326" i="15"/>
  <c r="Y322" i="15"/>
  <c r="Y324" i="15"/>
  <c r="Y328" i="15"/>
  <c r="Y326" i="15"/>
  <c r="Y330" i="15"/>
  <c r="S328" i="15"/>
  <c r="S322" i="15"/>
  <c r="S326" i="15"/>
  <c r="S324" i="15"/>
  <c r="S330" i="15"/>
  <c r="Z330" i="15"/>
  <c r="Z322" i="15"/>
  <c r="Z328" i="15"/>
  <c r="Z326" i="15"/>
  <c r="Z324" i="15"/>
  <c r="AA326" i="15"/>
  <c r="AA324" i="15"/>
  <c r="AA328" i="15"/>
  <c r="AA322" i="15"/>
  <c r="AA330" i="15"/>
  <c r="X198" i="15"/>
  <c r="X200" i="15"/>
  <c r="X202" i="15"/>
  <c r="X194" i="15"/>
  <c r="X196" i="15"/>
  <c r="Y194" i="15"/>
  <c r="Y196" i="15"/>
  <c r="Y198" i="15"/>
  <c r="Y200" i="15"/>
  <c r="Y202" i="15"/>
  <c r="Z196" i="15"/>
  <c r="Z202" i="15"/>
  <c r="Z198" i="15"/>
  <c r="Z194" i="15"/>
  <c r="Z200" i="15"/>
  <c r="U198" i="15"/>
  <c r="U200" i="15"/>
  <c r="U202" i="15"/>
  <c r="U194" i="15"/>
  <c r="U196" i="15"/>
  <c r="AA200" i="15"/>
  <c r="AA202" i="15"/>
  <c r="AA196" i="15"/>
  <c r="AA198" i="15"/>
  <c r="AA194" i="15"/>
  <c r="W238" i="15"/>
  <c r="AA994" i="15"/>
  <c r="AA998" i="15"/>
  <c r="AA1000" i="15"/>
  <c r="AA1002" i="15"/>
  <c r="AA996" i="15"/>
  <c r="U1002" i="15"/>
  <c r="U998" i="15"/>
  <c r="U1000" i="15"/>
  <c r="U994" i="15"/>
  <c r="U996" i="15"/>
  <c r="X1036" i="15"/>
  <c r="X1101" i="15" s="1"/>
  <c r="X1000" i="15"/>
  <c r="X996" i="15"/>
  <c r="X998" i="15"/>
  <c r="X1002" i="15"/>
  <c r="X994" i="15"/>
  <c r="Y1002" i="15"/>
  <c r="Y994" i="15"/>
  <c r="Y996" i="15"/>
  <c r="Y998" i="15"/>
  <c r="Y1000" i="15"/>
  <c r="Z1000" i="15"/>
  <c r="Z998" i="15"/>
  <c r="Z996" i="15"/>
  <c r="Z994" i="15"/>
  <c r="Z1002" i="15"/>
  <c r="T476" i="15"/>
  <c r="U192" i="15"/>
  <c r="U184" i="15"/>
  <c r="U186" i="15"/>
  <c r="U190" i="15"/>
  <c r="U188" i="15"/>
  <c r="Z186" i="15"/>
  <c r="Z192" i="15"/>
  <c r="Z188" i="15"/>
  <c r="Z184" i="15"/>
  <c r="Z190" i="15"/>
  <c r="AA186" i="15"/>
  <c r="AA188" i="15"/>
  <c r="AA192" i="15"/>
  <c r="AA184" i="15"/>
  <c r="AA190" i="15"/>
  <c r="X186" i="15"/>
  <c r="X188" i="15"/>
  <c r="X190" i="15"/>
  <c r="X184" i="15"/>
  <c r="X192" i="15"/>
  <c r="Y184" i="15"/>
  <c r="Y188" i="15"/>
  <c r="Y190" i="15"/>
  <c r="Y192" i="15"/>
  <c r="Y186" i="15"/>
  <c r="Y314" i="15"/>
  <c r="Y318" i="15"/>
  <c r="Y316" i="15"/>
  <c r="Y320" i="15"/>
  <c r="Y312" i="15"/>
  <c r="Z314" i="15"/>
  <c r="Z318" i="15"/>
  <c r="Z316" i="15"/>
  <c r="Z320" i="15"/>
  <c r="Z312" i="15"/>
  <c r="AA314" i="15"/>
  <c r="AA316" i="15"/>
  <c r="AA320" i="15"/>
  <c r="AA312" i="15"/>
  <c r="AA318" i="15"/>
  <c r="AB312" i="15"/>
  <c r="AB318" i="15"/>
  <c r="AB314" i="15"/>
  <c r="AB316" i="15"/>
  <c r="AB320" i="15"/>
  <c r="U314" i="15"/>
  <c r="U318" i="15"/>
  <c r="U312" i="15"/>
  <c r="U320" i="15"/>
  <c r="U316" i="15"/>
  <c r="S314" i="15"/>
  <c r="S320" i="15"/>
  <c r="S316" i="15"/>
  <c r="S312" i="15"/>
  <c r="S318" i="15"/>
  <c r="W314" i="15"/>
  <c r="W318" i="15"/>
  <c r="W312" i="15"/>
  <c r="W316" i="15"/>
  <c r="W320" i="15"/>
  <c r="X314" i="15"/>
  <c r="X316" i="15"/>
  <c r="X320" i="15"/>
  <c r="X318" i="15"/>
  <c r="X312" i="15"/>
  <c r="Z445" i="15"/>
  <c r="Z443" i="15"/>
  <c r="Z447" i="15"/>
  <c r="Z439" i="15"/>
  <c r="Z441" i="15"/>
  <c r="AA439" i="15"/>
  <c r="AA447" i="15"/>
  <c r="AA443" i="15"/>
  <c r="AA445" i="15"/>
  <c r="AA441" i="15"/>
  <c r="X447" i="15"/>
  <c r="X445" i="15"/>
  <c r="X441" i="15"/>
  <c r="X443" i="15"/>
  <c r="X439" i="15"/>
  <c r="Y443" i="15"/>
  <c r="Y439" i="15"/>
  <c r="Y445" i="15"/>
  <c r="Y447" i="15"/>
  <c r="Y441" i="15"/>
  <c r="U445" i="15"/>
  <c r="U443" i="15"/>
  <c r="U447" i="15"/>
  <c r="U441" i="15"/>
  <c r="U439" i="15"/>
  <c r="W439" i="15"/>
  <c r="W441" i="15"/>
  <c r="W443" i="15"/>
  <c r="W445" i="15"/>
  <c r="W447" i="15"/>
  <c r="Z617" i="15"/>
  <c r="Z625" i="15"/>
  <c r="Z621" i="15"/>
  <c r="Z623" i="15"/>
  <c r="Z619" i="15"/>
  <c r="AA617" i="15"/>
  <c r="AA619" i="15"/>
  <c r="AA621" i="15"/>
  <c r="AA623" i="15"/>
  <c r="AA625" i="15"/>
  <c r="AB621" i="15"/>
  <c r="AB623" i="15"/>
  <c r="AB625" i="15"/>
  <c r="AB619" i="15"/>
  <c r="AB617" i="15"/>
  <c r="U625" i="15"/>
  <c r="U619" i="15"/>
  <c r="U621" i="15"/>
  <c r="U623" i="15"/>
  <c r="U617" i="15"/>
  <c r="X613" i="15"/>
  <c r="X619" i="15"/>
  <c r="X623" i="15"/>
  <c r="X625" i="15"/>
  <c r="X621" i="15"/>
  <c r="X617" i="15"/>
  <c r="Y619" i="15"/>
  <c r="Y623" i="15"/>
  <c r="Y617" i="15"/>
  <c r="Y621" i="15"/>
  <c r="Y625" i="15"/>
  <c r="W619" i="15"/>
  <c r="W623" i="15"/>
  <c r="W625" i="15"/>
  <c r="W617" i="15"/>
  <c r="W621" i="15"/>
  <c r="W750" i="15"/>
  <c r="W746" i="15"/>
  <c r="W748" i="15"/>
  <c r="W742" i="15"/>
  <c r="W744" i="15"/>
  <c r="X744" i="15"/>
  <c r="X750" i="15"/>
  <c r="X746" i="15"/>
  <c r="X742" i="15"/>
  <c r="X748" i="15"/>
  <c r="Y742" i="15"/>
  <c r="Y744" i="15"/>
  <c r="Y750" i="15"/>
  <c r="Y748" i="15"/>
  <c r="Y746" i="15"/>
  <c r="AB748" i="15"/>
  <c r="AB744" i="15"/>
  <c r="AB750" i="15"/>
  <c r="AB746" i="15"/>
  <c r="AB742" i="15"/>
  <c r="U742" i="15"/>
  <c r="U744" i="15"/>
  <c r="U748" i="15"/>
  <c r="U750" i="15"/>
  <c r="U746" i="15"/>
  <c r="Z750" i="15"/>
  <c r="Z742" i="15"/>
  <c r="Z748" i="15"/>
  <c r="Z744" i="15"/>
  <c r="Z746" i="15"/>
  <c r="AA750" i="15"/>
  <c r="AA746" i="15"/>
  <c r="AA744" i="15"/>
  <c r="AA742" i="15"/>
  <c r="AA748" i="15"/>
  <c r="Y869" i="15"/>
  <c r="Y875" i="15"/>
  <c r="Y867" i="15"/>
  <c r="Y871" i="15"/>
  <c r="Y873" i="15"/>
  <c r="W875" i="15"/>
  <c r="W869" i="15"/>
  <c r="W867" i="15"/>
  <c r="W871" i="15"/>
  <c r="W873" i="15"/>
  <c r="Z869" i="15"/>
  <c r="Z867" i="15"/>
  <c r="Z871" i="15"/>
  <c r="Z875" i="15"/>
  <c r="Z873" i="15"/>
  <c r="AA873" i="15"/>
  <c r="AA867" i="15"/>
  <c r="AA869" i="15"/>
  <c r="AA875" i="15"/>
  <c r="AA871" i="15"/>
  <c r="X867" i="15"/>
  <c r="X873" i="15"/>
  <c r="X871" i="15"/>
  <c r="X875" i="15"/>
  <c r="X869" i="15"/>
  <c r="U869" i="15"/>
  <c r="U875" i="15"/>
  <c r="U873" i="15"/>
  <c r="U867" i="15"/>
  <c r="U871" i="15"/>
  <c r="U1123" i="15"/>
  <c r="U1129" i="15"/>
  <c r="U1121" i="15"/>
  <c r="U1125" i="15"/>
  <c r="U1127" i="15"/>
  <c r="V1041" i="15"/>
  <c r="U1257" i="15"/>
  <c r="U1261" i="15"/>
  <c r="U1263" i="15"/>
  <c r="U1265" i="15"/>
  <c r="U1259" i="15"/>
  <c r="U1376" i="15"/>
  <c r="U1378" i="15"/>
  <c r="U1380" i="15"/>
  <c r="U1382" i="15"/>
  <c r="U1374" i="15"/>
  <c r="V799" i="15"/>
  <c r="V1049" i="15"/>
  <c r="V1255" i="15"/>
  <c r="W274" i="15"/>
  <c r="W668" i="15"/>
  <c r="U256" i="15"/>
  <c r="U272" i="15"/>
  <c r="U288" i="15"/>
  <c r="U304" i="15"/>
  <c r="U494" i="15"/>
  <c r="S99" i="15"/>
  <c r="U106" i="15"/>
  <c r="U114" i="15"/>
  <c r="U122" i="15"/>
  <c r="U130" i="15"/>
  <c r="U138" i="15"/>
  <c r="U146" i="15"/>
  <c r="U154" i="15"/>
  <c r="Z236" i="15"/>
  <c r="Z252" i="15"/>
  <c r="AB476" i="15"/>
  <c r="U545" i="15"/>
  <c r="Y110" i="15"/>
  <c r="Y118" i="15"/>
  <c r="Y126" i="15"/>
  <c r="Y134" i="15"/>
  <c r="AB112" i="15"/>
  <c r="W367" i="15"/>
  <c r="Y379" i="15"/>
  <c r="Y383" i="15"/>
  <c r="Y387" i="15"/>
  <c r="W403" i="15"/>
  <c r="W407" i="15"/>
  <c r="Y914" i="15"/>
  <c r="Z248" i="15"/>
  <c r="AB74" i="15"/>
  <c r="U156" i="15"/>
  <c r="U172" i="15"/>
  <c r="W563" i="15"/>
  <c r="W684" i="15"/>
  <c r="W700" i="15"/>
  <c r="V1183" i="15"/>
  <c r="AB738" i="15"/>
  <c r="V909" i="15"/>
  <c r="V922" i="15" s="1"/>
  <c r="W541" i="15"/>
  <c r="U811" i="15"/>
  <c r="Y940" i="15"/>
  <c r="Z956" i="15"/>
  <c r="U1093" i="15"/>
  <c r="U1109" i="15"/>
  <c r="AB65" i="15"/>
  <c r="Z361" i="15"/>
  <c r="Z365" i="15"/>
  <c r="W393" i="15"/>
  <c r="W417" i="15"/>
  <c r="U476" i="15"/>
  <c r="V865" i="15"/>
  <c r="V930" i="15"/>
  <c r="Z55" i="15"/>
  <c r="W69" i="15"/>
  <c r="AB110" i="15"/>
  <c r="W478" i="15"/>
  <c r="W557" i="15"/>
  <c r="W589" i="15"/>
  <c r="X666" i="15"/>
  <c r="X682" i="15"/>
  <c r="W718" i="15"/>
  <c r="W722" i="15"/>
  <c r="W738" i="15"/>
  <c r="X827" i="15"/>
  <c r="Z851" i="15"/>
  <c r="V670" i="15"/>
  <c r="V543" i="15"/>
  <c r="AB583" i="15" s="1"/>
  <c r="V537" i="15"/>
  <c r="AB569" i="15" s="1"/>
  <c r="V662" i="15"/>
  <c r="AB700" i="15" s="1"/>
  <c r="V831" i="15"/>
  <c r="U1225" i="15"/>
  <c r="V512" i="15"/>
  <c r="X423" i="15"/>
  <c r="V984" i="15"/>
  <c r="V1321" i="15"/>
  <c r="V936" i="15"/>
  <c r="V952" i="15"/>
  <c r="V688" i="15"/>
  <c r="V1207" i="15"/>
  <c r="V1219" i="15"/>
  <c r="V401" i="15"/>
  <c r="V405" i="15"/>
  <c r="V559" i="15"/>
  <c r="V254" i="15"/>
  <c r="V270" i="15"/>
  <c r="V286" i="15"/>
  <c r="V1197" i="15"/>
  <c r="V1209" i="15"/>
  <c r="V1213" i="15"/>
  <c r="V605" i="15"/>
  <c r="V807" i="15"/>
  <c r="V815" i="15"/>
  <c r="V823" i="15"/>
  <c r="V980" i="15"/>
  <c r="V1065" i="15"/>
  <c r="V1089" i="15"/>
  <c r="V1109" i="15"/>
  <c r="V801" i="15"/>
  <c r="AA607" i="15"/>
  <c r="AA49" i="15"/>
  <c r="V565" i="15"/>
  <c r="C793" i="15"/>
  <c r="K792" i="15" s="1"/>
  <c r="L793" i="15" s="1"/>
  <c r="V152" i="15"/>
  <c r="AB190" i="15" s="1"/>
  <c r="AA726" i="15"/>
  <c r="AA922" i="15"/>
  <c r="AA926" i="15"/>
  <c r="AA970" i="15"/>
  <c r="AB537" i="15"/>
  <c r="AA795" i="15"/>
  <c r="AA851" i="15"/>
  <c r="AA859" i="15"/>
  <c r="AA831" i="15"/>
  <c r="AA839" i="15"/>
  <c r="AA863" i="15"/>
  <c r="AA516" i="15"/>
  <c r="AA371" i="15"/>
  <c r="AA359" i="15"/>
  <c r="AA108" i="15"/>
  <c r="AA116" i="15"/>
  <c r="AA124" i="15"/>
  <c r="AA132" i="15"/>
  <c r="AA140" i="15"/>
  <c r="AA148" i="15"/>
  <c r="AA242" i="15"/>
  <c r="AA435" i="15"/>
  <c r="AA496" i="15"/>
  <c r="AA480" i="15"/>
  <c r="AA65" i="15"/>
  <c r="Z680" i="15"/>
  <c r="Z696" i="15"/>
  <c r="Z732" i="15"/>
  <c r="Z992" i="15"/>
  <c r="Z551" i="15"/>
  <c r="Z369" i="15"/>
  <c r="Z397" i="15"/>
  <c r="Z67" i="15"/>
  <c r="Y704" i="15"/>
  <c r="Y724" i="15"/>
  <c r="Y577" i="15"/>
  <c r="Y581" i="15"/>
  <c r="Y381" i="15"/>
  <c r="Y385" i="15"/>
  <c r="Y429" i="15"/>
  <c r="Y142" i="15"/>
  <c r="Y150" i="15"/>
  <c r="Y437" i="15"/>
  <c r="Y391" i="15"/>
  <c r="Y83" i="15"/>
  <c r="AB60" i="15"/>
  <c r="AB81" i="15"/>
  <c r="X690" i="15"/>
  <c r="X698" i="15"/>
  <c r="X714" i="15"/>
  <c r="X730" i="15"/>
  <c r="X676" i="15"/>
  <c r="X692" i="15"/>
  <c r="X916" i="15"/>
  <c r="X934" i="15"/>
  <c r="X950" i="15"/>
  <c r="X801" i="15"/>
  <c r="X809" i="15"/>
  <c r="X817" i="15"/>
  <c r="X849" i="15"/>
  <c r="X865" i="15"/>
  <c r="X539" i="15"/>
  <c r="X593" i="15"/>
  <c r="X601" i="15"/>
  <c r="X964" i="15"/>
  <c r="X928" i="15"/>
  <c r="X958" i="15"/>
  <c r="X805" i="15"/>
  <c r="X918" i="15"/>
  <c r="X555" i="15"/>
  <c r="X571" i="15"/>
  <c r="X419" i="15"/>
  <c r="X232" i="15"/>
  <c r="X240" i="15"/>
  <c r="X300" i="15"/>
  <c r="AB359" i="15"/>
  <c r="X266" i="15"/>
  <c r="X282" i="15"/>
  <c r="X298" i="15"/>
  <c r="AB44" i="15"/>
  <c r="U1047" i="15"/>
  <c r="U966" i="15"/>
  <c r="U1329" i="15"/>
  <c r="U938" i="15"/>
  <c r="U1079" i="15"/>
  <c r="U1103" i="15"/>
  <c r="U1081" i="15"/>
  <c r="U1357" i="15"/>
  <c r="AB611" i="15"/>
  <c r="U561" i="15"/>
  <c r="U573" i="15"/>
  <c r="U833" i="15"/>
  <c r="U857" i="15"/>
  <c r="AB532" i="15"/>
  <c r="AB521" i="15" s="1"/>
  <c r="AB553" i="15"/>
  <c r="AB589" i="15"/>
  <c r="U789" i="15"/>
  <c r="U607" i="15"/>
  <c r="U797" i="15"/>
  <c r="U845" i="15"/>
  <c r="U853" i="15"/>
  <c r="U158" i="15"/>
  <c r="U174" i="15"/>
  <c r="U373" i="15"/>
  <c r="U502" i="15"/>
  <c r="U162" i="15"/>
  <c r="U178" i="15"/>
  <c r="U268" i="15"/>
  <c r="U164" i="15"/>
  <c r="U180" i="15"/>
  <c r="U112" i="15"/>
  <c r="U120" i="15"/>
  <c r="U128" i="15"/>
  <c r="U166" i="15"/>
  <c r="U310" i="15"/>
  <c r="U168" i="15"/>
  <c r="AB51" i="15"/>
  <c r="U482" i="15"/>
  <c r="T53" i="15"/>
  <c r="T85" i="15"/>
  <c r="T81" i="15"/>
  <c r="T51" i="15"/>
  <c r="T71" i="15"/>
  <c r="V136" i="15"/>
  <c r="AB174" i="15" s="1"/>
  <c r="X256" i="15"/>
  <c r="Y308" i="15"/>
  <c r="J288" i="15"/>
  <c r="V809" i="15"/>
  <c r="V817" i="15"/>
  <c r="V288" i="15"/>
  <c r="AA740" i="15"/>
  <c r="U104" i="15"/>
  <c r="J104" i="15"/>
  <c r="H369" i="15"/>
  <c r="AA982" i="15"/>
  <c r="V982" i="15"/>
  <c r="V573" i="15"/>
  <c r="V260" i="15"/>
  <c r="L81" i="15"/>
  <c r="V162" i="15"/>
  <c r="AB200" i="15" s="1"/>
  <c r="Y146" i="15"/>
  <c r="V264" i="15"/>
  <c r="V172" i="15"/>
  <c r="AB210" i="15" s="1"/>
  <c r="Z182" i="15"/>
  <c r="U85" i="15"/>
  <c r="J112" i="15"/>
  <c r="V415" i="15"/>
  <c r="AA974" i="15"/>
  <c r="S304" i="15"/>
  <c r="C801" i="15"/>
  <c r="K800" i="15" s="1"/>
  <c r="K801" i="15" s="1"/>
  <c r="Y174" i="15"/>
  <c r="V399" i="15"/>
  <c r="V304" i="15"/>
  <c r="AA304" i="15"/>
  <c r="Z393" i="15"/>
  <c r="W79" i="15"/>
  <c r="L79" i="15"/>
  <c r="M79" i="15"/>
  <c r="K79" i="15"/>
  <c r="AA391" i="15"/>
  <c r="Z970" i="15"/>
  <c r="H393" i="15"/>
  <c r="M416" i="15"/>
  <c r="M417" i="15" s="1"/>
  <c r="AA512" i="15"/>
  <c r="J1327" i="15"/>
  <c r="U1065" i="15"/>
  <c r="H555" i="15"/>
  <c r="J494" i="15"/>
  <c r="V85" i="15"/>
  <c r="AB118" i="15" s="1"/>
  <c r="L736" i="15"/>
  <c r="Q736" i="15" s="1"/>
  <c r="J1091" i="15"/>
  <c r="M799" i="15"/>
  <c r="Q799" i="15" s="1"/>
  <c r="U367" i="15"/>
  <c r="C847" i="15"/>
  <c r="M847" i="15" s="1"/>
  <c r="Q847" i="15" s="1"/>
  <c r="K607" i="15"/>
  <c r="N607" i="15" s="1"/>
  <c r="Z670" i="15"/>
  <c r="U53" i="15"/>
  <c r="Z85" i="15"/>
  <c r="L798" i="15"/>
  <c r="H1089" i="15"/>
  <c r="K1117" i="15"/>
  <c r="N1117" i="15" s="1"/>
  <c r="K146" i="15"/>
  <c r="M1111" i="15"/>
  <c r="Q1111" i="15" s="1"/>
  <c r="N429" i="15"/>
  <c r="V51" i="15"/>
  <c r="H162" i="15"/>
  <c r="H938" i="15"/>
  <c r="J962" i="15"/>
  <c r="J970" i="15"/>
  <c r="U1195" i="15"/>
  <c r="Y962" i="15"/>
  <c r="K970" i="15"/>
  <c r="N970" i="15" s="1"/>
  <c r="K1047" i="15"/>
  <c r="N1047" i="15" s="1"/>
  <c r="V1195" i="15"/>
  <c r="U1293" i="15"/>
  <c r="K51" i="15"/>
  <c r="U359" i="15"/>
  <c r="L502" i="15"/>
  <c r="J555" i="15"/>
  <c r="H593" i="15"/>
  <c r="Z706" i="15"/>
  <c r="Z359" i="15"/>
  <c r="J367" i="15"/>
  <c r="H553" i="15"/>
  <c r="K1309" i="15"/>
  <c r="N1309" i="15" s="1"/>
  <c r="V120" i="15"/>
  <c r="AB158" i="15" s="1"/>
  <c r="L104" i="15"/>
  <c r="V132" i="15"/>
  <c r="AB170" i="15" s="1"/>
  <c r="T480" i="15"/>
  <c r="K692" i="15"/>
  <c r="N692" i="15" s="1"/>
  <c r="K722" i="15"/>
  <c r="N722" i="15" s="1"/>
  <c r="H922" i="15"/>
  <c r="J1215" i="15"/>
  <c r="J1317" i="15"/>
  <c r="V480" i="15"/>
  <c r="Y700" i="15"/>
  <c r="H120" i="15"/>
  <c r="V248" i="15"/>
  <c r="J379" i="15"/>
  <c r="J417" i="15"/>
  <c r="K120" i="15"/>
  <c r="V500" i="15"/>
  <c r="K557" i="15"/>
  <c r="N557" i="15" s="1"/>
  <c r="J595" i="15"/>
  <c r="J738" i="15"/>
  <c r="H956" i="15"/>
  <c r="H970" i="15"/>
  <c r="J1213" i="15"/>
  <c r="J1231" i="15"/>
  <c r="L51" i="15"/>
  <c r="AA55" i="15"/>
  <c r="X71" i="15"/>
  <c r="V128" i="15"/>
  <c r="AB166" i="15" s="1"/>
  <c r="H128" i="15"/>
  <c r="H154" i="15"/>
  <c r="H242" i="15"/>
  <c r="Y433" i="15"/>
  <c r="M418" i="15"/>
  <c r="M419" i="15" s="1"/>
  <c r="X543" i="15"/>
  <c r="V710" i="15"/>
  <c r="K698" i="15"/>
  <c r="N698" i="15" s="1"/>
  <c r="V795" i="15"/>
  <c r="I809" i="15"/>
  <c r="H1091" i="15"/>
  <c r="H1105" i="15"/>
  <c r="K1219" i="15"/>
  <c r="N1219" i="15" s="1"/>
  <c r="H1229" i="15"/>
  <c r="U383" i="15"/>
  <c r="J401" i="15"/>
  <c r="J419" i="15"/>
  <c r="K154" i="15"/>
  <c r="J106" i="15"/>
  <c r="K112" i="15"/>
  <c r="L128" i="15"/>
  <c r="V296" i="15"/>
  <c r="H296" i="15"/>
  <c r="J365" i="15"/>
  <c r="H391" i="15"/>
  <c r="V502" i="15"/>
  <c r="J553" i="15"/>
  <c r="O587" i="15"/>
  <c r="R587" i="15" s="1"/>
  <c r="J611" i="15"/>
  <c r="AA670" i="15"/>
  <c r="K676" i="15"/>
  <c r="N676" i="15" s="1"/>
  <c r="I829" i="15"/>
  <c r="X960" i="15"/>
  <c r="H972" i="15"/>
  <c r="M974" i="15"/>
  <c r="Q974" i="15" s="1"/>
  <c r="J986" i="15"/>
  <c r="M1175" i="15"/>
  <c r="Q1175" i="15" s="1"/>
  <c r="J1227" i="15"/>
  <c r="W1297" i="15"/>
  <c r="J1315" i="15"/>
  <c r="L49" i="15"/>
  <c r="S49" i="15"/>
  <c r="K53" i="15"/>
  <c r="H156" i="15"/>
  <c r="U371" i="15"/>
  <c r="H381" i="15"/>
  <c r="U559" i="15"/>
  <c r="H551" i="15"/>
  <c r="U676" i="15"/>
  <c r="U696" i="15"/>
  <c r="W734" i="15"/>
  <c r="AA829" i="15"/>
  <c r="K1227" i="15"/>
  <c r="N1227" i="15" s="1"/>
  <c r="Y49" i="15"/>
  <c r="Z371" i="15"/>
  <c r="J381" i="15"/>
  <c r="M410" i="15"/>
  <c r="M411" i="15" s="1"/>
  <c r="H539" i="15"/>
  <c r="J551" i="15"/>
  <c r="J559" i="15"/>
  <c r="H581" i="15"/>
  <c r="W676" i="15"/>
  <c r="H682" i="15"/>
  <c r="J724" i="15"/>
  <c r="H815" i="15"/>
  <c r="U960" i="15"/>
  <c r="J930" i="15"/>
  <c r="U970" i="15"/>
  <c r="H1077" i="15"/>
  <c r="J1107" i="15"/>
  <c r="J1207" i="15"/>
  <c r="W1305" i="15"/>
  <c r="H1319" i="15"/>
  <c r="W1339" i="15"/>
  <c r="K128" i="15"/>
  <c r="K65" i="15"/>
  <c r="L71" i="15"/>
  <c r="H114" i="15"/>
  <c r="W615" i="15"/>
  <c r="J539" i="15"/>
  <c r="H571" i="15"/>
  <c r="U829" i="15"/>
  <c r="C795" i="15"/>
  <c r="M795" i="15" s="1"/>
  <c r="Q795" i="15" s="1"/>
  <c r="C811" i="15"/>
  <c r="K810" i="15" s="1"/>
  <c r="L811" i="15" s="1"/>
  <c r="J823" i="15"/>
  <c r="H940" i="15"/>
  <c r="H1059" i="15"/>
  <c r="J1077" i="15"/>
  <c r="H1191" i="15"/>
  <c r="J1197" i="15"/>
  <c r="W1319" i="15"/>
  <c r="U71" i="15"/>
  <c r="J114" i="15"/>
  <c r="J120" i="15"/>
  <c r="J146" i="15"/>
  <c r="H286" i="15"/>
  <c r="J369" i="15"/>
  <c r="W411" i="15"/>
  <c r="H537" i="15"/>
  <c r="H557" i="15"/>
  <c r="AA571" i="15"/>
  <c r="H859" i="15"/>
  <c r="U918" i="15"/>
  <c r="U1077" i="15"/>
  <c r="J1191" i="15"/>
  <c r="H1215" i="15"/>
  <c r="H1231" i="15"/>
  <c r="H280" i="15"/>
  <c r="J280" i="15"/>
  <c r="U170" i="15"/>
  <c r="H170" i="15"/>
  <c r="W547" i="15"/>
  <c r="U547" i="15"/>
  <c r="K547" i="15"/>
  <c r="N547" i="15" s="1"/>
  <c r="K1041" i="15"/>
  <c r="N1041" i="15" s="1"/>
  <c r="J1041" i="15"/>
  <c r="H1041" i="15"/>
  <c r="U182" i="15"/>
  <c r="Y182" i="15"/>
  <c r="L182" i="15"/>
  <c r="K182" i="15"/>
  <c r="J182" i="15"/>
  <c r="V702" i="15"/>
  <c r="X702" i="15"/>
  <c r="J138" i="15"/>
  <c r="H266" i="15"/>
  <c r="W51" i="15"/>
  <c r="V71" i="15"/>
  <c r="J122" i="15"/>
  <c r="J130" i="15"/>
  <c r="K138" i="15"/>
  <c r="W152" i="15"/>
  <c r="Z152" i="15"/>
  <c r="L152" i="15"/>
  <c r="K152" i="15"/>
  <c r="H152" i="15"/>
  <c r="L712" i="15"/>
  <c r="M712" i="15"/>
  <c r="J1331" i="15"/>
  <c r="K1331" i="15"/>
  <c r="N1331" i="15" s="1"/>
  <c r="Z377" i="15"/>
  <c r="W377" i="15"/>
  <c r="AA855" i="15"/>
  <c r="J855" i="15"/>
  <c r="L1105" i="15"/>
  <c r="M1105" i="15"/>
  <c r="V53" i="15"/>
  <c r="X51" i="15"/>
  <c r="W71" i="15"/>
  <c r="X79" i="15"/>
  <c r="K104" i="15"/>
  <c r="L122" i="15"/>
  <c r="K130" i="15"/>
  <c r="Z567" i="15"/>
  <c r="U567" i="15"/>
  <c r="K567" i="15"/>
  <c r="N567" i="15" s="1"/>
  <c r="J567" i="15"/>
  <c r="H567" i="15"/>
  <c r="M710" i="15"/>
  <c r="L710" i="15"/>
  <c r="K816" i="15"/>
  <c r="L817" i="15" s="1"/>
  <c r="M817" i="15"/>
  <c r="Q817" i="15" s="1"/>
  <c r="X843" i="15"/>
  <c r="H843" i="15"/>
  <c r="I863" i="15"/>
  <c r="C863" i="15"/>
  <c r="M863" i="15" s="1"/>
  <c r="Q863" i="15" s="1"/>
  <c r="H122" i="15"/>
  <c r="Z51" i="15"/>
  <c r="V130" i="15"/>
  <c r="AB168" i="15" s="1"/>
  <c r="U136" i="15"/>
  <c r="X136" i="15"/>
  <c r="L136" i="15"/>
  <c r="Y399" i="15"/>
  <c r="J399" i="15"/>
  <c r="P605" i="15"/>
  <c r="O605" i="15"/>
  <c r="V678" i="15"/>
  <c r="J678" i="15"/>
  <c r="W144" i="15"/>
  <c r="H136" i="15"/>
  <c r="U176" i="15"/>
  <c r="Y176" i="15"/>
  <c r="K234" i="15"/>
  <c r="N234" i="15" s="1"/>
  <c r="J234" i="15"/>
  <c r="H234" i="15"/>
  <c r="H363" i="15"/>
  <c r="Z363" i="15"/>
  <c r="U363" i="15"/>
  <c r="J363" i="15"/>
  <c r="Y389" i="15"/>
  <c r="U389" i="15"/>
  <c r="J389" i="15"/>
  <c r="H389" i="15"/>
  <c r="X425" i="15"/>
  <c r="M424" i="15"/>
  <c r="M425" i="15" s="1"/>
  <c r="U841" i="15"/>
  <c r="X841" i="15"/>
  <c r="V841" i="15"/>
  <c r="L984" i="15"/>
  <c r="M984" i="15"/>
  <c r="M1323" i="15"/>
  <c r="L1323" i="15"/>
  <c r="U144" i="15"/>
  <c r="X144" i="15"/>
  <c r="L144" i="15"/>
  <c r="K144" i="15"/>
  <c r="H144" i="15"/>
  <c r="V182" i="15"/>
  <c r="H182" i="15"/>
  <c r="H53" i="15"/>
  <c r="S55" i="15"/>
  <c r="L65" i="15"/>
  <c r="H71" i="15"/>
  <c r="J81" i="15"/>
  <c r="W85" i="15"/>
  <c r="X182" i="15"/>
  <c r="H124" i="15"/>
  <c r="K136" i="15"/>
  <c r="X793" i="15"/>
  <c r="J793" i="15"/>
  <c r="K808" i="15"/>
  <c r="K809" i="15" s="1"/>
  <c r="M809" i="15"/>
  <c r="Q809" i="15" s="1"/>
  <c r="L1219" i="15"/>
  <c r="M1219" i="15"/>
  <c r="H51" i="15"/>
  <c r="U51" i="15"/>
  <c r="X49" i="15"/>
  <c r="J51" i="15"/>
  <c r="J53" i="15"/>
  <c r="U55" i="15"/>
  <c r="K71" i="15"/>
  <c r="T83" i="15"/>
  <c r="K81" i="15"/>
  <c r="X85" i="15"/>
  <c r="H106" i="15"/>
  <c r="H112" i="15"/>
  <c r="V124" i="15"/>
  <c r="AB162" i="15" s="1"/>
  <c r="X128" i="15"/>
  <c r="H132" i="15"/>
  <c r="V569" i="15"/>
  <c r="K569" i="15"/>
  <c r="N569" i="15" s="1"/>
  <c r="I787" i="15"/>
  <c r="C787" i="15"/>
  <c r="K786" i="15" s="1"/>
  <c r="L787" i="15" s="1"/>
  <c r="M938" i="15"/>
  <c r="L938" i="15"/>
  <c r="M1327" i="15"/>
  <c r="L1327" i="15"/>
  <c r="U1309" i="15"/>
  <c r="K1315" i="15"/>
  <c r="N1315" i="15" s="1"/>
  <c r="K1317" i="15"/>
  <c r="N1317" i="15" s="1"/>
  <c r="K1333" i="15"/>
  <c r="N1333" i="15" s="1"/>
  <c r="J1359" i="15"/>
  <c r="L154" i="15"/>
  <c r="W302" i="15"/>
  <c r="V425" i="15"/>
  <c r="W365" i="15"/>
  <c r="Z367" i="15"/>
  <c r="AA369" i="15"/>
  <c r="W379" i="15"/>
  <c r="U381" i="15"/>
  <c r="J391" i="15"/>
  <c r="J393" i="15"/>
  <c r="J500" i="15"/>
  <c r="J514" i="15"/>
  <c r="Y615" i="15"/>
  <c r="J537" i="15"/>
  <c r="K551" i="15"/>
  <c r="N551" i="15" s="1"/>
  <c r="K553" i="15"/>
  <c r="N553" i="15" s="1"/>
  <c r="Y555" i="15"/>
  <c r="X557" i="15"/>
  <c r="U680" i="15"/>
  <c r="J682" i="15"/>
  <c r="H684" i="15"/>
  <c r="V690" i="15"/>
  <c r="H696" i="15"/>
  <c r="AA704" i="15"/>
  <c r="Y849" i="15"/>
  <c r="I817" i="15"/>
  <c r="I837" i="15"/>
  <c r="I839" i="15"/>
  <c r="H851" i="15"/>
  <c r="I853" i="15"/>
  <c r="X859" i="15"/>
  <c r="J914" i="15"/>
  <c r="K922" i="15"/>
  <c r="N922" i="15" s="1"/>
  <c r="U924" i="15"/>
  <c r="K934" i="15"/>
  <c r="N934" i="15" s="1"/>
  <c r="J940" i="15"/>
  <c r="J956" i="15"/>
  <c r="M980" i="15"/>
  <c r="Q980" i="15" s="1"/>
  <c r="H982" i="15"/>
  <c r="V1087" i="15"/>
  <c r="H1043" i="15"/>
  <c r="U1051" i="15"/>
  <c r="J1101" i="15"/>
  <c r="H1115" i="15"/>
  <c r="V1221" i="15"/>
  <c r="H1167" i="15"/>
  <c r="J1307" i="15"/>
  <c r="U1315" i="15"/>
  <c r="H1329" i="15"/>
  <c r="H1343" i="15"/>
  <c r="K1357" i="15"/>
  <c r="N1357" i="15" s="1"/>
  <c r="V280" i="15"/>
  <c r="H298" i="15"/>
  <c r="H361" i="15"/>
  <c r="AA365" i="15"/>
  <c r="Z379" i="15"/>
  <c r="W381" i="15"/>
  <c r="H387" i="15"/>
  <c r="U391" i="15"/>
  <c r="U393" i="15"/>
  <c r="V496" i="15"/>
  <c r="X514" i="15"/>
  <c r="U551" i="15"/>
  <c r="AA555" i="15"/>
  <c r="Y557" i="15"/>
  <c r="U708" i="15"/>
  <c r="K682" i="15"/>
  <c r="N682" i="15" s="1"/>
  <c r="J684" i="15"/>
  <c r="J839" i="15"/>
  <c r="J853" i="15"/>
  <c r="I855" i="15"/>
  <c r="AA938" i="15"/>
  <c r="K940" i="15"/>
  <c r="N940" i="15" s="1"/>
  <c r="K956" i="15"/>
  <c r="N956" i="15" s="1"/>
  <c r="J1115" i="15"/>
  <c r="J1167" i="15"/>
  <c r="K1173" i="15"/>
  <c r="N1173" i="15" s="1"/>
  <c r="K1307" i="15"/>
  <c r="N1307" i="15" s="1"/>
  <c r="U1327" i="15"/>
  <c r="J1329" i="15"/>
  <c r="J1343" i="15"/>
  <c r="H140" i="15"/>
  <c r="H148" i="15"/>
  <c r="H172" i="15"/>
  <c r="H178" i="15"/>
  <c r="K298" i="15"/>
  <c r="N298" i="15" s="1"/>
  <c r="W361" i="15"/>
  <c r="J375" i="15"/>
  <c r="Z381" i="15"/>
  <c r="J387" i="15"/>
  <c r="W391" i="15"/>
  <c r="M420" i="15"/>
  <c r="M421" i="15" s="1"/>
  <c r="W512" i="15"/>
  <c r="J512" i="15"/>
  <c r="V601" i="15"/>
  <c r="Z557" i="15"/>
  <c r="J579" i="15"/>
  <c r="H668" i="15"/>
  <c r="U682" i="15"/>
  <c r="K684" i="15"/>
  <c r="N684" i="15" s="1"/>
  <c r="AA696" i="15"/>
  <c r="H708" i="15"/>
  <c r="H732" i="15"/>
  <c r="C803" i="15"/>
  <c r="K802" i="15" s="1"/>
  <c r="K803" i="15" s="1"/>
  <c r="AA817" i="15"/>
  <c r="C831" i="15"/>
  <c r="K830" i="15" s="1"/>
  <c r="V839" i="15"/>
  <c r="I843" i="15"/>
  <c r="V847" i="15"/>
  <c r="H1099" i="15"/>
  <c r="H1171" i="15"/>
  <c r="K1329" i="15"/>
  <c r="N1329" i="15" s="1"/>
  <c r="K1343" i="15"/>
  <c r="N1343" i="15" s="1"/>
  <c r="V140" i="15"/>
  <c r="AB178" i="15" s="1"/>
  <c r="V148" i="15"/>
  <c r="AB186" i="15" s="1"/>
  <c r="K156" i="15"/>
  <c r="K164" i="15"/>
  <c r="K172" i="15"/>
  <c r="H282" i="15"/>
  <c r="V377" i="15"/>
  <c r="H359" i="15"/>
  <c r="AA361" i="15"/>
  <c r="L368" i="15"/>
  <c r="L369" i="15" s="1"/>
  <c r="H373" i="15"/>
  <c r="Z375" i="15"/>
  <c r="L378" i="15"/>
  <c r="L379" i="15" s="1"/>
  <c r="U387" i="15"/>
  <c r="H476" i="15"/>
  <c r="K512" i="15"/>
  <c r="N512" i="15" s="1"/>
  <c r="K543" i="15"/>
  <c r="N543" i="15" s="1"/>
  <c r="X545" i="15"/>
  <c r="J668" i="15"/>
  <c r="H670" i="15"/>
  <c r="Z682" i="15"/>
  <c r="Z688" i="15"/>
  <c r="X708" i="15"/>
  <c r="H724" i="15"/>
  <c r="H726" i="15"/>
  <c r="H740" i="15"/>
  <c r="H799" i="15"/>
  <c r="C823" i="15"/>
  <c r="K822" i="15" s="1"/>
  <c r="K823" i="15" s="1"/>
  <c r="L826" i="15"/>
  <c r="H829" i="15"/>
  <c r="K918" i="15"/>
  <c r="N918" i="15" s="1"/>
  <c r="K950" i="15"/>
  <c r="N950" i="15" s="1"/>
  <c r="J1079" i="15"/>
  <c r="J1099" i="15"/>
  <c r="Y156" i="15"/>
  <c r="H180" i="15"/>
  <c r="U242" i="15"/>
  <c r="J264" i="15"/>
  <c r="K282" i="15"/>
  <c r="N282" i="15" s="1"/>
  <c r="H288" i="15"/>
  <c r="V387" i="15"/>
  <c r="J373" i="15"/>
  <c r="U385" i="15"/>
  <c r="K476" i="15"/>
  <c r="N476" i="15" s="1"/>
  <c r="H573" i="15"/>
  <c r="U666" i="15"/>
  <c r="Y668" i="15"/>
  <c r="X670" i="15"/>
  <c r="V954" i="15"/>
  <c r="Y166" i="15"/>
  <c r="K174" i="15"/>
  <c r="K180" i="15"/>
  <c r="W373" i="15"/>
  <c r="M394" i="15"/>
  <c r="M395" i="15" s="1"/>
  <c r="L408" i="15"/>
  <c r="L409" i="15" s="1"/>
  <c r="W476" i="15"/>
  <c r="V516" i="15"/>
  <c r="H541" i="15"/>
  <c r="Y543" i="15"/>
  <c r="AA668" i="15"/>
  <c r="K724" i="15"/>
  <c r="N724" i="15" s="1"/>
  <c r="H736" i="15"/>
  <c r="U738" i="15"/>
  <c r="J801" i="15"/>
  <c r="AA960" i="15"/>
  <c r="K1065" i="15"/>
  <c r="N1065" i="15" s="1"/>
  <c r="L1079" i="15"/>
  <c r="Q1079" i="15" s="1"/>
  <c r="K1197" i="15"/>
  <c r="N1197" i="15" s="1"/>
  <c r="H1213" i="15"/>
  <c r="V1229" i="15"/>
  <c r="H1317" i="15"/>
  <c r="W1335" i="15"/>
  <c r="H65" i="15"/>
  <c r="W65" i="15"/>
  <c r="L69" i="15"/>
  <c r="H81" i="15"/>
  <c r="L85" i="15"/>
  <c r="H104" i="15"/>
  <c r="X106" i="15"/>
  <c r="X114" i="15"/>
  <c r="Y158" i="15"/>
  <c r="W250" i="15"/>
  <c r="K250" i="15"/>
  <c r="N250" i="15" s="1"/>
  <c r="H250" i="15"/>
  <c r="O613" i="15"/>
  <c r="P613" i="15"/>
  <c r="Z664" i="15"/>
  <c r="AA664" i="15"/>
  <c r="U664" i="15"/>
  <c r="K664" i="15"/>
  <c r="N664" i="15" s="1"/>
  <c r="H664" i="15"/>
  <c r="V686" i="15"/>
  <c r="AA686" i="15"/>
  <c r="Z686" i="15"/>
  <c r="X686" i="15"/>
  <c r="H686" i="15"/>
  <c r="M730" i="15"/>
  <c r="L730" i="15"/>
  <c r="X948" i="15"/>
  <c r="V948" i="15"/>
  <c r="M1089" i="15"/>
  <c r="L1089" i="15"/>
  <c r="U1347" i="15"/>
  <c r="K1347" i="15"/>
  <c r="N1347" i="15" s="1"/>
  <c r="J1347" i="15"/>
  <c r="H1347" i="15"/>
  <c r="L1353" i="15"/>
  <c r="M1353" i="15"/>
  <c r="L1369" i="15"/>
  <c r="M1369" i="15"/>
  <c r="K1189" i="15"/>
  <c r="N1189" i="15" s="1"/>
  <c r="J1189" i="15"/>
  <c r="J65" i="15"/>
  <c r="X65" i="15"/>
  <c r="M69" i="15"/>
  <c r="M85" i="15"/>
  <c r="J128" i="15"/>
  <c r="H130" i="15"/>
  <c r="J136" i="15"/>
  <c r="H138" i="15"/>
  <c r="J144" i="15"/>
  <c r="H146" i="15"/>
  <c r="J152" i="15"/>
  <c r="J154" i="15"/>
  <c r="L156" i="15"/>
  <c r="U160" i="15"/>
  <c r="Y160" i="15"/>
  <c r="K160" i="15"/>
  <c r="N160" i="15" s="1"/>
  <c r="J160" i="15"/>
  <c r="H160" i="15"/>
  <c r="K364" i="15"/>
  <c r="K365" i="15" s="1"/>
  <c r="M1197" i="15"/>
  <c r="L1197" i="15"/>
  <c r="L1207" i="15"/>
  <c r="M1207" i="15"/>
  <c r="K716" i="15"/>
  <c r="N716" i="15" s="1"/>
  <c r="J716" i="15"/>
  <c r="H716" i="15"/>
  <c r="L1297" i="15"/>
  <c r="M1297" i="15"/>
  <c r="H116" i="15"/>
  <c r="P563" i="15"/>
  <c r="O563" i="15"/>
  <c r="U720" i="15"/>
  <c r="K720" i="15"/>
  <c r="N720" i="15" s="1"/>
  <c r="H720" i="15"/>
  <c r="V791" i="15"/>
  <c r="Y791" i="15"/>
  <c r="H791" i="15"/>
  <c r="V819" i="15"/>
  <c r="AA819" i="15"/>
  <c r="L1091" i="15"/>
  <c r="M1091" i="15"/>
  <c r="M1169" i="15"/>
  <c r="L1169" i="15"/>
  <c r="Y51" i="15"/>
  <c r="W53" i="15"/>
  <c r="Y65" i="15"/>
  <c r="M65" i="15"/>
  <c r="H67" i="15"/>
  <c r="Y79" i="15"/>
  <c r="U81" i="15"/>
  <c r="Y85" i="15"/>
  <c r="K106" i="15"/>
  <c r="V108" i="15"/>
  <c r="AB148" i="15" s="1"/>
  <c r="L112" i="15"/>
  <c r="K114" i="15"/>
  <c r="L120" i="15"/>
  <c r="K122" i="15"/>
  <c r="L130" i="15"/>
  <c r="L138" i="15"/>
  <c r="L146" i="15"/>
  <c r="Y154" i="15"/>
  <c r="H158" i="15"/>
  <c r="K609" i="15"/>
  <c r="N609" i="15" s="1"/>
  <c r="J609" i="15"/>
  <c r="H609" i="15"/>
  <c r="M678" i="15"/>
  <c r="L678" i="15"/>
  <c r="L716" i="15"/>
  <c r="M716" i="15"/>
  <c r="M726" i="15"/>
  <c r="L726" i="15"/>
  <c r="L728" i="15"/>
  <c r="M728" i="15"/>
  <c r="L934" i="15"/>
  <c r="M934" i="15"/>
  <c r="M1067" i="15"/>
  <c r="L1067" i="15"/>
  <c r="K1087" i="15"/>
  <c r="N1087" i="15" s="1"/>
  <c r="H1087" i="15"/>
  <c r="X53" i="15"/>
  <c r="Z69" i="15"/>
  <c r="T65" i="15"/>
  <c r="U67" i="15"/>
  <c r="Z79" i="15"/>
  <c r="V81" i="15"/>
  <c r="AB114" i="15" s="1"/>
  <c r="H85" i="15"/>
  <c r="V104" i="15"/>
  <c r="AB144" i="15" s="1"/>
  <c r="L106" i="15"/>
  <c r="L114" i="15"/>
  <c r="V138" i="15"/>
  <c r="AB176" i="15" s="1"/>
  <c r="V146" i="15"/>
  <c r="AB184" i="15" s="1"/>
  <c r="J158" i="15"/>
  <c r="V672" i="15"/>
  <c r="Z672" i="15"/>
  <c r="Y672" i="15"/>
  <c r="W672" i="15"/>
  <c r="U65" i="15"/>
  <c r="J71" i="15"/>
  <c r="W81" i="15"/>
  <c r="J85" i="15"/>
  <c r="X104" i="15"/>
  <c r="AB146" i="15"/>
  <c r="X112" i="15"/>
  <c r="V114" i="15"/>
  <c r="X120" i="15"/>
  <c r="W122" i="15"/>
  <c r="Z128" i="15"/>
  <c r="W130" i="15"/>
  <c r="Z136" i="15"/>
  <c r="W138" i="15"/>
  <c r="Z144" i="15"/>
  <c r="W146" i="15"/>
  <c r="K158" i="15"/>
  <c r="K396" i="15"/>
  <c r="K397" i="15" s="1"/>
  <c r="X427" i="15"/>
  <c r="J427" i="15"/>
  <c r="O545" i="15"/>
  <c r="P545" i="15"/>
  <c r="M662" i="15"/>
  <c r="L662" i="15"/>
  <c r="Z791" i="15"/>
  <c r="L1193" i="15"/>
  <c r="M1193" i="15"/>
  <c r="H108" i="15"/>
  <c r="V65" i="15"/>
  <c r="X81" i="15"/>
  <c r="K85" i="15"/>
  <c r="Z104" i="15"/>
  <c r="W106" i="15"/>
  <c r="Z112" i="15"/>
  <c r="W114" i="15"/>
  <c r="Z120" i="15"/>
  <c r="X122" i="15"/>
  <c r="X130" i="15"/>
  <c r="X138" i="15"/>
  <c r="X146" i="15"/>
  <c r="J156" i="15"/>
  <c r="L158" i="15"/>
  <c r="Y484" i="15"/>
  <c r="AA484" i="15"/>
  <c r="Z484" i="15"/>
  <c r="T484" i="15"/>
  <c r="S484" i="15"/>
  <c r="O561" i="15"/>
  <c r="P561" i="15"/>
  <c r="L692" i="15"/>
  <c r="M692" i="15"/>
  <c r="L950" i="15"/>
  <c r="M950" i="15"/>
  <c r="J162" i="15"/>
  <c r="L164" i="15"/>
  <c r="J170" i="15"/>
  <c r="L172" i="15"/>
  <c r="J178" i="15"/>
  <c r="L180" i="15"/>
  <c r="K266" i="15"/>
  <c r="N266" i="15" s="1"/>
  <c r="K286" i="15"/>
  <c r="N286" i="15" s="1"/>
  <c r="L360" i="15"/>
  <c r="L361" i="15" s="1"/>
  <c r="W363" i="15"/>
  <c r="H365" i="15"/>
  <c r="AA367" i="15"/>
  <c r="U369" i="15"/>
  <c r="H371" i="15"/>
  <c r="Z373" i="15"/>
  <c r="K375" i="15"/>
  <c r="H377" i="15"/>
  <c r="W383" i="15"/>
  <c r="W385" i="15"/>
  <c r="W387" i="15"/>
  <c r="W389" i="15"/>
  <c r="W395" i="15"/>
  <c r="J397" i="15"/>
  <c r="M406" i="15"/>
  <c r="M407" i="15" s="1"/>
  <c r="Y411" i="15"/>
  <c r="M426" i="15"/>
  <c r="M427" i="15" s="1"/>
  <c r="X476" i="15"/>
  <c r="V476" i="15"/>
  <c r="W500" i="15"/>
  <c r="K494" i="15"/>
  <c r="K500" i="15"/>
  <c r="X512" i="15"/>
  <c r="K514" i="15"/>
  <c r="K537" i="15"/>
  <c r="N537" i="15" s="1"/>
  <c r="Y539" i="15"/>
  <c r="K541" i="15"/>
  <c r="N541" i="15" s="1"/>
  <c r="K559" i="15"/>
  <c r="N559" i="15" s="1"/>
  <c r="K563" i="15"/>
  <c r="N563" i="15" s="1"/>
  <c r="H569" i="15"/>
  <c r="J571" i="15"/>
  <c r="K573" i="15"/>
  <c r="N573" i="15" s="1"/>
  <c r="H591" i="15"/>
  <c r="J593" i="15"/>
  <c r="Y666" i="15"/>
  <c r="AA680" i="15"/>
  <c r="Z698" i="15"/>
  <c r="AA700" i="15"/>
  <c r="Z702" i="15"/>
  <c r="AA708" i="15"/>
  <c r="X710" i="15"/>
  <c r="J732" i="15"/>
  <c r="K738" i="15"/>
  <c r="N738" i="15" s="1"/>
  <c r="C791" i="15"/>
  <c r="J809" i="15"/>
  <c r="C819" i="15"/>
  <c r="K818" i="15" s="1"/>
  <c r="M835" i="15"/>
  <c r="Q835" i="15" s="1"/>
  <c r="K834" i="15"/>
  <c r="L834" i="15" s="1"/>
  <c r="I841" i="15"/>
  <c r="C841" i="15"/>
  <c r="M841" i="15" s="1"/>
  <c r="Q841" i="15" s="1"/>
  <c r="M843" i="15"/>
  <c r="Q843" i="15" s="1"/>
  <c r="K842" i="15"/>
  <c r="L842" i="15" s="1"/>
  <c r="I861" i="15"/>
  <c r="C861" i="15"/>
  <c r="K860" i="15" s="1"/>
  <c r="K861" i="15" s="1"/>
  <c r="X942" i="15"/>
  <c r="AA942" i="15"/>
  <c r="J942" i="15"/>
  <c r="H942" i="15"/>
  <c r="M1201" i="15"/>
  <c r="L1201" i="15"/>
  <c r="L1235" i="15"/>
  <c r="M1235" i="15"/>
  <c r="K162" i="15"/>
  <c r="Y164" i="15"/>
  <c r="H168" i="15"/>
  <c r="K170" i="15"/>
  <c r="Y172" i="15"/>
  <c r="H176" i="15"/>
  <c r="K178" i="15"/>
  <c r="Y180" i="15"/>
  <c r="H240" i="15"/>
  <c r="W242" i="15"/>
  <c r="H248" i="15"/>
  <c r="H254" i="15"/>
  <c r="H272" i="15"/>
  <c r="H302" i="15"/>
  <c r="W369" i="15"/>
  <c r="J371" i="15"/>
  <c r="L372" i="15"/>
  <c r="L373" i="15" s="1"/>
  <c r="AA373" i="15"/>
  <c r="U375" i="15"/>
  <c r="J377" i="15"/>
  <c r="Z395" i="15"/>
  <c r="Y476" i="15"/>
  <c r="L494" i="15"/>
  <c r="L500" i="15"/>
  <c r="H502" i="15"/>
  <c r="Y512" i="15"/>
  <c r="L514" i="15"/>
  <c r="H516" i="15"/>
  <c r="AA539" i="15"/>
  <c r="X541" i="15"/>
  <c r="J543" i="15"/>
  <c r="W559" i="15"/>
  <c r="X561" i="15"/>
  <c r="J569" i="15"/>
  <c r="Y571" i="15"/>
  <c r="K593" i="15"/>
  <c r="N593" i="15" s="1"/>
  <c r="Z666" i="15"/>
  <c r="AA710" i="15"/>
  <c r="J722" i="15"/>
  <c r="K732" i="15"/>
  <c r="N732" i="15" s="1"/>
  <c r="Y817" i="15"/>
  <c r="C845" i="15"/>
  <c r="K844" i="15" s="1"/>
  <c r="K845" i="15" s="1"/>
  <c r="I845" i="15"/>
  <c r="K928" i="15"/>
  <c r="N928" i="15" s="1"/>
  <c r="H928" i="15"/>
  <c r="Z928" i="15"/>
  <c r="X988" i="15"/>
  <c r="K988" i="15"/>
  <c r="N988" i="15" s="1"/>
  <c r="J988" i="15"/>
  <c r="H988" i="15"/>
  <c r="M1063" i="15"/>
  <c r="L1063" i="15"/>
  <c r="J1075" i="15"/>
  <c r="H1075" i="15"/>
  <c r="M1087" i="15"/>
  <c r="L1087" i="15"/>
  <c r="M1329" i="15"/>
  <c r="L1329" i="15"/>
  <c r="W1351" i="15"/>
  <c r="H1351" i="15"/>
  <c r="L162" i="15"/>
  <c r="J168" i="15"/>
  <c r="L170" i="15"/>
  <c r="J176" i="15"/>
  <c r="L178" i="15"/>
  <c r="K232" i="15"/>
  <c r="N232" i="15" s="1"/>
  <c r="J240" i="15"/>
  <c r="J248" i="15"/>
  <c r="K254" i="15"/>
  <c r="N254" i="15" s="1"/>
  <c r="J272" i="15"/>
  <c r="AA363" i="15"/>
  <c r="U365" i="15"/>
  <c r="H367" i="15"/>
  <c r="W375" i="15"/>
  <c r="U377" i="15"/>
  <c r="H379" i="15"/>
  <c r="Y397" i="15"/>
  <c r="M404" i="15"/>
  <c r="M405" i="15" s="1"/>
  <c r="V494" i="15"/>
  <c r="J502" i="15"/>
  <c r="Z512" i="15"/>
  <c r="V514" i="15"/>
  <c r="Y541" i="15"/>
  <c r="Y559" i="15"/>
  <c r="K814" i="15"/>
  <c r="L814" i="15" s="1"/>
  <c r="M815" i="15"/>
  <c r="Q815" i="15" s="1"/>
  <c r="V946" i="15"/>
  <c r="J946" i="15"/>
  <c r="M976" i="15"/>
  <c r="L976" i="15"/>
  <c r="M1049" i="15"/>
  <c r="L1049" i="15"/>
  <c r="K1211" i="15"/>
  <c r="N1211" i="15" s="1"/>
  <c r="J1211" i="15"/>
  <c r="M1225" i="15"/>
  <c r="L1225" i="15"/>
  <c r="K1255" i="15"/>
  <c r="N1255" i="15" s="1"/>
  <c r="J1255" i="15"/>
  <c r="H1255" i="15"/>
  <c r="J1345" i="15"/>
  <c r="H1345" i="15"/>
  <c r="Y162" i="15"/>
  <c r="H166" i="15"/>
  <c r="K168" i="15"/>
  <c r="Y170" i="15"/>
  <c r="H174" i="15"/>
  <c r="K176" i="15"/>
  <c r="Y178" i="15"/>
  <c r="V240" i="15"/>
  <c r="W248" i="15"/>
  <c r="J405" i="15"/>
  <c r="J407" i="15"/>
  <c r="M422" i="15"/>
  <c r="M423" i="15" s="1"/>
  <c r="J425" i="15"/>
  <c r="S476" i="15"/>
  <c r="X494" i="15"/>
  <c r="X500" i="15"/>
  <c r="K502" i="15"/>
  <c r="H512" i="15"/>
  <c r="W514" i="15"/>
  <c r="Z541" i="15"/>
  <c r="W543" i="15"/>
  <c r="P585" i="15"/>
  <c r="Q585" i="15" s="1"/>
  <c r="H607" i="15"/>
  <c r="Y728" i="15"/>
  <c r="U722" i="15"/>
  <c r="Y809" i="15"/>
  <c r="I821" i="15"/>
  <c r="L918" i="15"/>
  <c r="M918" i="15"/>
  <c r="K966" i="15"/>
  <c r="N966" i="15" s="1"/>
  <c r="X966" i="15"/>
  <c r="J992" i="15"/>
  <c r="H992" i="15"/>
  <c r="K1187" i="15"/>
  <c r="N1187" i="15" s="1"/>
  <c r="H1187" i="15"/>
  <c r="K1199" i="15"/>
  <c r="N1199" i="15" s="1"/>
  <c r="J1199" i="15"/>
  <c r="H1199" i="15"/>
  <c r="K1303" i="15"/>
  <c r="N1303" i="15" s="1"/>
  <c r="J1303" i="15"/>
  <c r="J166" i="15"/>
  <c r="L168" i="15"/>
  <c r="J174" i="15"/>
  <c r="L176" i="15"/>
  <c r="X248" i="15"/>
  <c r="J260" i="15"/>
  <c r="W359" i="15"/>
  <c r="U361" i="15"/>
  <c r="W371" i="15"/>
  <c r="M400" i="15"/>
  <c r="M401" i="15" s="1"/>
  <c r="L420" i="15"/>
  <c r="L421" i="15" s="1"/>
  <c r="Z500" i="15"/>
  <c r="H577" i="15"/>
  <c r="Z716" i="15"/>
  <c r="H666" i="15"/>
  <c r="Y684" i="15"/>
  <c r="W688" i="15"/>
  <c r="U692" i="15"/>
  <c r="J706" i="15"/>
  <c r="J708" i="15"/>
  <c r="AA809" i="15"/>
  <c r="X926" i="15"/>
  <c r="Y926" i="15"/>
  <c r="J926" i="15"/>
  <c r="H926" i="15"/>
  <c r="M982" i="15"/>
  <c r="L982" i="15"/>
  <c r="M986" i="15"/>
  <c r="L986" i="15"/>
  <c r="M1183" i="15"/>
  <c r="Q1183" i="15" s="1"/>
  <c r="V1203" i="15"/>
  <c r="J1203" i="15"/>
  <c r="M1305" i="15"/>
  <c r="R1305" i="15" s="1"/>
  <c r="L1313" i="15"/>
  <c r="Q1313" i="15" s="1"/>
  <c r="L1343" i="15"/>
  <c r="M1343" i="15"/>
  <c r="M1357" i="15"/>
  <c r="L1357" i="15"/>
  <c r="M1371" i="15"/>
  <c r="L1371" i="15"/>
  <c r="H164" i="15"/>
  <c r="K166" i="15"/>
  <c r="Y168" i="15"/>
  <c r="J252" i="15"/>
  <c r="H256" i="15"/>
  <c r="H270" i="15"/>
  <c r="H304" i="15"/>
  <c r="U379" i="15"/>
  <c r="H383" i="15"/>
  <c r="H385" i="15"/>
  <c r="M396" i="15"/>
  <c r="M397" i="15" s="1"/>
  <c r="AA500" i="15"/>
  <c r="Y514" i="15"/>
  <c r="J577" i="15"/>
  <c r="P597" i="15"/>
  <c r="Q597" i="15" s="1"/>
  <c r="O603" i="15"/>
  <c r="R603" i="15" s="1"/>
  <c r="J666" i="15"/>
  <c r="H680" i="15"/>
  <c r="AA684" i="15"/>
  <c r="Y688" i="15"/>
  <c r="W692" i="15"/>
  <c r="K696" i="15"/>
  <c r="N696" i="15" s="1"/>
  <c r="H698" i="15"/>
  <c r="H700" i="15"/>
  <c r="Y793" i="15"/>
  <c r="U805" i="15"/>
  <c r="H807" i="15"/>
  <c r="AA811" i="15"/>
  <c r="AA928" i="15"/>
  <c r="AA944" i="15"/>
  <c r="X944" i="15"/>
  <c r="K944" i="15"/>
  <c r="N944" i="15" s="1"/>
  <c r="H944" i="15"/>
  <c r="M954" i="15"/>
  <c r="L954" i="15"/>
  <c r="K1061" i="15"/>
  <c r="N1061" i="15" s="1"/>
  <c r="J1061" i="15"/>
  <c r="H1061" i="15"/>
  <c r="J1175" i="15"/>
  <c r="H1175" i="15"/>
  <c r="L1199" i="15"/>
  <c r="M1199" i="15"/>
  <c r="K1237" i="15"/>
  <c r="N1237" i="15" s="1"/>
  <c r="J1237" i="15"/>
  <c r="J164" i="15"/>
  <c r="L166" i="15"/>
  <c r="J172" i="15"/>
  <c r="L174" i="15"/>
  <c r="J180" i="15"/>
  <c r="U252" i="15"/>
  <c r="J256" i="15"/>
  <c r="K270" i="15"/>
  <c r="N270" i="15" s="1"/>
  <c r="J304" i="15"/>
  <c r="J383" i="15"/>
  <c r="J385" i="15"/>
  <c r="L400" i="15"/>
  <c r="L401" i="15" s="1"/>
  <c r="J476" i="15"/>
  <c r="H494" i="15"/>
  <c r="H496" i="15"/>
  <c r="X502" i="15"/>
  <c r="K577" i="15"/>
  <c r="N577" i="15" s="1"/>
  <c r="O615" i="15"/>
  <c r="Q615" i="15" s="1"/>
  <c r="K666" i="15"/>
  <c r="N666" i="15" s="1"/>
  <c r="K680" i="15"/>
  <c r="N680" i="15" s="1"/>
  <c r="L694" i="15"/>
  <c r="Q694" i="15" s="1"/>
  <c r="J698" i="15"/>
  <c r="J700" i="15"/>
  <c r="H702" i="15"/>
  <c r="AA793" i="15"/>
  <c r="AA801" i="15"/>
  <c r="Z807" i="15"/>
  <c r="J817" i="15"/>
  <c r="K820" i="15"/>
  <c r="K821" i="15" s="1"/>
  <c r="X835" i="15"/>
  <c r="H835" i="15"/>
  <c r="U861" i="15"/>
  <c r="Z861" i="15"/>
  <c r="L952" i="15"/>
  <c r="M952" i="15"/>
  <c r="X990" i="15"/>
  <c r="K990" i="15"/>
  <c r="N990" i="15" s="1"/>
  <c r="J990" i="15"/>
  <c r="H990" i="15"/>
  <c r="L1043" i="15"/>
  <c r="M1043" i="15"/>
  <c r="J1185" i="15"/>
  <c r="H1185" i="15"/>
  <c r="M1239" i="15"/>
  <c r="R1239" i="15" s="1"/>
  <c r="W1295" i="15"/>
  <c r="J1295" i="15"/>
  <c r="M1311" i="15"/>
  <c r="Q1311" i="15" s="1"/>
  <c r="L1321" i="15"/>
  <c r="M1321" i="15"/>
  <c r="L1341" i="15"/>
  <c r="Q1341" i="15" s="1"/>
  <c r="Z960" i="15"/>
  <c r="AA984" i="15"/>
  <c r="K1107" i="15"/>
  <c r="N1107" i="15" s="1"/>
  <c r="U1305" i="15"/>
  <c r="V1237" i="15"/>
  <c r="W1327" i="15"/>
  <c r="J831" i="15"/>
  <c r="L855" i="15"/>
  <c r="C865" i="15"/>
  <c r="M865" i="15" s="1"/>
  <c r="Q865" i="15" s="1"/>
  <c r="U922" i="15"/>
  <c r="L932" i="15"/>
  <c r="Q932" i="15" s="1"/>
  <c r="U940" i="15"/>
  <c r="U956" i="15"/>
  <c r="H958" i="15"/>
  <c r="H960" i="15"/>
  <c r="L1103" i="15"/>
  <c r="Q1103" i="15" s="1"/>
  <c r="L1109" i="15"/>
  <c r="Q1109" i="15" s="1"/>
  <c r="J1181" i="15"/>
  <c r="K1207" i="15"/>
  <c r="N1207" i="15" s="1"/>
  <c r="H1243" i="15"/>
  <c r="H1349" i="15"/>
  <c r="K1359" i="15"/>
  <c r="N1359" i="15" s="1"/>
  <c r="H1361" i="15"/>
  <c r="H1363" i="15"/>
  <c r="H1365" i="15"/>
  <c r="H1367" i="15"/>
  <c r="C849" i="15"/>
  <c r="M849" i="15" s="1"/>
  <c r="Q849" i="15" s="1"/>
  <c r="J863" i="15"/>
  <c r="H924" i="15"/>
  <c r="U934" i="15"/>
  <c r="J958" i="15"/>
  <c r="J960" i="15"/>
  <c r="H984" i="15"/>
  <c r="H1183" i="15"/>
  <c r="H1201" i="15"/>
  <c r="H1235" i="15"/>
  <c r="H1239" i="15"/>
  <c r="L1253" i="15"/>
  <c r="Q1253" i="15" s="1"/>
  <c r="H1305" i="15"/>
  <c r="J1349" i="15"/>
  <c r="J1363" i="15"/>
  <c r="J1365" i="15"/>
  <c r="J924" i="15"/>
  <c r="L936" i="15"/>
  <c r="Q936" i="15" s="1"/>
  <c r="U950" i="15"/>
  <c r="AA958" i="15"/>
  <c r="V1179" i="15"/>
  <c r="L1177" i="15"/>
  <c r="Q1177" i="15" s="1"/>
  <c r="L1179" i="15"/>
  <c r="Q1179" i="15" s="1"/>
  <c r="J1183" i="15"/>
  <c r="M1203" i="15"/>
  <c r="Q1203" i="15" s="1"/>
  <c r="J1239" i="15"/>
  <c r="L1241" i="15"/>
  <c r="Q1241" i="15" s="1"/>
  <c r="L1249" i="15"/>
  <c r="Q1249" i="15" s="1"/>
  <c r="L1251" i="15"/>
  <c r="Q1251" i="15" s="1"/>
  <c r="H1293" i="15"/>
  <c r="J1305" i="15"/>
  <c r="H1331" i="15"/>
  <c r="H1333" i="15"/>
  <c r="K1363" i="15"/>
  <c r="N1363" i="15" s="1"/>
  <c r="M1051" i="15"/>
  <c r="R1051" i="15" s="1"/>
  <c r="M1055" i="15"/>
  <c r="Q1055" i="15" s="1"/>
  <c r="M1085" i="15"/>
  <c r="Q1085" i="15" s="1"/>
  <c r="K1183" i="15"/>
  <c r="N1183" i="15" s="1"/>
  <c r="L1185" i="15"/>
  <c r="Q1185" i="15" s="1"/>
  <c r="H1219" i="15"/>
  <c r="L1325" i="15"/>
  <c r="Q1325" i="15" s="1"/>
  <c r="J1333" i="15"/>
  <c r="L1337" i="15"/>
  <c r="Q1337" i="15" s="1"/>
  <c r="J1341" i="15"/>
  <c r="AB126" i="15"/>
  <c r="Z246" i="15"/>
  <c r="W246" i="15"/>
  <c r="H246" i="15"/>
  <c r="V246" i="15"/>
  <c r="S67" i="15"/>
  <c r="AA67" i="15"/>
  <c r="X69" i="15"/>
  <c r="Z83" i="15"/>
  <c r="AB108" i="15"/>
  <c r="Z110" i="15"/>
  <c r="Z118" i="15"/>
  <c r="V122" i="15"/>
  <c r="AB160" i="15" s="1"/>
  <c r="AB124" i="15"/>
  <c r="Z126" i="15"/>
  <c r="AB132" i="15"/>
  <c r="Z134" i="15"/>
  <c r="Z142" i="15"/>
  <c r="Z150" i="15"/>
  <c r="X152" i="15"/>
  <c r="V154" i="15"/>
  <c r="AB192" i="15" s="1"/>
  <c r="V156" i="15"/>
  <c r="AB194" i="15" s="1"/>
  <c r="V158" i="15"/>
  <c r="AB196" i="15" s="1"/>
  <c r="V160" i="15"/>
  <c r="AB198" i="15" s="1"/>
  <c r="V164" i="15"/>
  <c r="AB202" i="15" s="1"/>
  <c r="V166" i="15"/>
  <c r="AB204" i="15" s="1"/>
  <c r="V168" i="15"/>
  <c r="AB206" i="15" s="1"/>
  <c r="V170" i="15"/>
  <c r="AB208" i="15" s="1"/>
  <c r="V174" i="15"/>
  <c r="AB212" i="15" s="1"/>
  <c r="V176" i="15"/>
  <c r="V178" i="15"/>
  <c r="V180" i="15"/>
  <c r="Y232" i="15"/>
  <c r="AA234" i="15"/>
  <c r="X236" i="15"/>
  <c r="S240" i="15"/>
  <c r="AA244" i="15"/>
  <c r="AB244" i="15"/>
  <c r="Y246" i="15"/>
  <c r="AA260" i="15"/>
  <c r="Y264" i="15"/>
  <c r="AA266" i="15"/>
  <c r="AA272" i="15"/>
  <c r="Y280" i="15"/>
  <c r="AA282" i="15"/>
  <c r="AA288" i="15"/>
  <c r="Y296" i="15"/>
  <c r="AA298" i="15"/>
  <c r="Z310" i="15"/>
  <c r="Y310" i="15"/>
  <c r="K310" i="15"/>
  <c r="N310" i="15" s="1"/>
  <c r="X310" i="15"/>
  <c r="J310" i="15"/>
  <c r="W310" i="15"/>
  <c r="H310" i="15"/>
  <c r="V310" i="15"/>
  <c r="L358" i="15"/>
  <c r="L359" i="15" s="1"/>
  <c r="L376" i="15"/>
  <c r="L377" i="15" s="1"/>
  <c r="M380" i="15"/>
  <c r="M381" i="15" s="1"/>
  <c r="K380" i="15"/>
  <c r="M414" i="15"/>
  <c r="M415" i="15" s="1"/>
  <c r="K414" i="15"/>
  <c r="K415" i="15" s="1"/>
  <c r="S489" i="15"/>
  <c r="S505" i="15"/>
  <c r="S518" i="15" s="1"/>
  <c r="S354" i="15"/>
  <c r="T489" i="15"/>
  <c r="T496" i="15" s="1"/>
  <c r="T505" i="15"/>
  <c r="T510" i="15" s="1"/>
  <c r="Z49" i="15"/>
  <c r="T55" i="15"/>
  <c r="T67" i="15"/>
  <c r="AB67" i="15"/>
  <c r="Y69" i="15"/>
  <c r="S83" i="15"/>
  <c r="AA83" i="15"/>
  <c r="Y104" i="15"/>
  <c r="U108" i="15"/>
  <c r="AA110" i="15"/>
  <c r="Y112" i="15"/>
  <c r="U116" i="15"/>
  <c r="AA118" i="15"/>
  <c r="Y120" i="15"/>
  <c r="U124" i="15"/>
  <c r="AA126" i="15"/>
  <c r="Y128" i="15"/>
  <c r="U132" i="15"/>
  <c r="AA134" i="15"/>
  <c r="Y136" i="15"/>
  <c r="U140" i="15"/>
  <c r="AA142" i="15"/>
  <c r="Y144" i="15"/>
  <c r="U148" i="15"/>
  <c r="AA150" i="15"/>
  <c r="Y152" i="15"/>
  <c r="X154" i="15"/>
  <c r="X156" i="15"/>
  <c r="X158" i="15"/>
  <c r="X160" i="15"/>
  <c r="X162" i="15"/>
  <c r="X164" i="15"/>
  <c r="X166" i="15"/>
  <c r="X168" i="15"/>
  <c r="X170" i="15"/>
  <c r="X172" i="15"/>
  <c r="X174" i="15"/>
  <c r="X176" i="15"/>
  <c r="X178" i="15"/>
  <c r="X180" i="15"/>
  <c r="Z308" i="15"/>
  <c r="Z292" i="15"/>
  <c r="Z276" i="15"/>
  <c r="Z260" i="15"/>
  <c r="Z304" i="15"/>
  <c r="Z256" i="15"/>
  <c r="Z232" i="15"/>
  <c r="Y238" i="15"/>
  <c r="AA246" i="15"/>
  <c r="S250" i="15"/>
  <c r="AA258" i="15"/>
  <c r="S258" i="15"/>
  <c r="Y258" i="15"/>
  <c r="K258" i="15"/>
  <c r="N258" i="15" s="1"/>
  <c r="X258" i="15"/>
  <c r="J258" i="15"/>
  <c r="V258" i="15"/>
  <c r="Z262" i="15"/>
  <c r="Y262" i="15"/>
  <c r="K262" i="15"/>
  <c r="N262" i="15" s="1"/>
  <c r="W262" i="15"/>
  <c r="H262" i="15"/>
  <c r="V262" i="15"/>
  <c r="AA276" i="15"/>
  <c r="Z278" i="15"/>
  <c r="Y278" i="15"/>
  <c r="K278" i="15"/>
  <c r="N278" i="15" s="1"/>
  <c r="W278" i="15"/>
  <c r="H278" i="15"/>
  <c r="V278" i="15"/>
  <c r="AA292" i="15"/>
  <c r="Z294" i="15"/>
  <c r="Y294" i="15"/>
  <c r="K294" i="15"/>
  <c r="N294" i="15" s="1"/>
  <c r="W294" i="15"/>
  <c r="H294" i="15"/>
  <c r="V294" i="15"/>
  <c r="V302" i="15"/>
  <c r="AA308" i="15"/>
  <c r="S310" i="15"/>
  <c r="V367" i="15"/>
  <c r="V365" i="15"/>
  <c r="M388" i="15"/>
  <c r="M389" i="15" s="1"/>
  <c r="K388" i="15"/>
  <c r="K389" i="15" s="1"/>
  <c r="K407" i="15"/>
  <c r="L406" i="15"/>
  <c r="L407" i="15" s="1"/>
  <c r="U413" i="15"/>
  <c r="H413" i="15"/>
  <c r="AA413" i="15"/>
  <c r="Z413" i="15"/>
  <c r="W413" i="15"/>
  <c r="V413" i="15"/>
  <c r="Y413" i="15"/>
  <c r="P547" i="15"/>
  <c r="O547" i="15"/>
  <c r="P589" i="15"/>
  <c r="O589" i="15"/>
  <c r="W236" i="15"/>
  <c r="H236" i="15"/>
  <c r="AA236" i="15"/>
  <c r="S236" i="15"/>
  <c r="Y236" i="15"/>
  <c r="K236" i="15"/>
  <c r="N236" i="15" s="1"/>
  <c r="V397" i="15"/>
  <c r="V393" i="15"/>
  <c r="V391" i="15"/>
  <c r="V389" i="15"/>
  <c r="U585" i="15"/>
  <c r="K585" i="15"/>
  <c r="N585" i="15" s="1"/>
  <c r="J585" i="15"/>
  <c r="AA585" i="15"/>
  <c r="H585" i="15"/>
  <c r="Z585" i="15"/>
  <c r="W585" i="15"/>
  <c r="X585" i="15"/>
  <c r="V585" i="15"/>
  <c r="Y585" i="15"/>
  <c r="S79" i="15"/>
  <c r="T99" i="15"/>
  <c r="AB99" i="15"/>
  <c r="AA104" i="15"/>
  <c r="Y106" i="15"/>
  <c r="J108" i="15"/>
  <c r="W108" i="15"/>
  <c r="U110" i="15"/>
  <c r="AA112" i="15"/>
  <c r="Y114" i="15"/>
  <c r="J116" i="15"/>
  <c r="W116" i="15"/>
  <c r="U118" i="15"/>
  <c r="AA120" i="15"/>
  <c r="Y122" i="15"/>
  <c r="J124" i="15"/>
  <c r="W124" i="15"/>
  <c r="U126" i="15"/>
  <c r="AA128" i="15"/>
  <c r="Y130" i="15"/>
  <c r="J132" i="15"/>
  <c r="W132" i="15"/>
  <c r="U134" i="15"/>
  <c r="AA136" i="15"/>
  <c r="Y138" i="15"/>
  <c r="J140" i="15"/>
  <c r="W140" i="15"/>
  <c r="U142" i="15"/>
  <c r="AA144" i="15"/>
  <c r="J148" i="15"/>
  <c r="W148" i="15"/>
  <c r="U150" i="15"/>
  <c r="AA152" i="15"/>
  <c r="Z154" i="15"/>
  <c r="Z156" i="15"/>
  <c r="Z158" i="15"/>
  <c r="Z160" i="15"/>
  <c r="Z162" i="15"/>
  <c r="Z164" i="15"/>
  <c r="Z166" i="15"/>
  <c r="Z168" i="15"/>
  <c r="Z170" i="15"/>
  <c r="Z172" i="15"/>
  <c r="Z174" i="15"/>
  <c r="Z176" i="15"/>
  <c r="Z178" i="15"/>
  <c r="Z180" i="15"/>
  <c r="T227" i="15"/>
  <c r="AB227" i="15"/>
  <c r="AB232" i="15"/>
  <c r="S234" i="15"/>
  <c r="V238" i="15"/>
  <c r="AA238" i="15"/>
  <c r="S238" i="15"/>
  <c r="Z238" i="15"/>
  <c r="X238" i="15"/>
  <c r="J238" i="15"/>
  <c r="J246" i="15"/>
  <c r="Y248" i="15"/>
  <c r="AB248" i="15"/>
  <c r="S262" i="15"/>
  <c r="J268" i="15"/>
  <c r="H274" i="15"/>
  <c r="S278" i="15"/>
  <c r="S294" i="15"/>
  <c r="J300" i="15"/>
  <c r="AA310" i="15"/>
  <c r="M382" i="15"/>
  <c r="M383" i="15" s="1"/>
  <c r="K382" i="15"/>
  <c r="M390" i="15"/>
  <c r="M391" i="15" s="1"/>
  <c r="K390" i="15"/>
  <c r="M398" i="15"/>
  <c r="M399" i="15" s="1"/>
  <c r="K398" i="15"/>
  <c r="K399" i="15" s="1"/>
  <c r="U409" i="15"/>
  <c r="H409" i="15"/>
  <c r="AA409" i="15"/>
  <c r="Z409" i="15"/>
  <c r="J409" i="15"/>
  <c r="Y409" i="15"/>
  <c r="W409" i="15"/>
  <c r="M408" i="15"/>
  <c r="M409" i="15" s="1"/>
  <c r="K410" i="15"/>
  <c r="K411" i="15" s="1"/>
  <c r="J413" i="15"/>
  <c r="M734" i="15"/>
  <c r="L734" i="15"/>
  <c r="AA296" i="15"/>
  <c r="AA280" i="15"/>
  <c r="W284" i="15"/>
  <c r="H284" i="15"/>
  <c r="V284" i="15"/>
  <c r="AA284" i="15"/>
  <c r="S284" i="15"/>
  <c r="Y284" i="15"/>
  <c r="K284" i="15"/>
  <c r="N284" i="15" s="1"/>
  <c r="X431" i="15"/>
  <c r="M430" i="15"/>
  <c r="M431" i="15" s="1"/>
  <c r="W431" i="15"/>
  <c r="V431" i="15"/>
  <c r="J431" i="15"/>
  <c r="U431" i="15"/>
  <c r="H431" i="15"/>
  <c r="Z431" i="15"/>
  <c r="AA431" i="15"/>
  <c r="Y431" i="15"/>
  <c r="S69" i="15"/>
  <c r="U83" i="15"/>
  <c r="R5" i="15"/>
  <c r="U49" i="15"/>
  <c r="S51" i="15"/>
  <c r="AA51" i="15"/>
  <c r="L53" i="15"/>
  <c r="Y53" i="15"/>
  <c r="J55" i="15"/>
  <c r="W55" i="15"/>
  <c r="Z65" i="15"/>
  <c r="K67" i="15"/>
  <c r="W67" i="15"/>
  <c r="T69" i="15"/>
  <c r="M71" i="15"/>
  <c r="Y71" i="15"/>
  <c r="T79" i="15"/>
  <c r="AB79" i="15"/>
  <c r="M81" i="15"/>
  <c r="Y81" i="15"/>
  <c r="J83" i="15"/>
  <c r="V83" i="15"/>
  <c r="AB116" i="15" s="1"/>
  <c r="S85" i="15"/>
  <c r="AA85" i="15"/>
  <c r="AB104" i="15"/>
  <c r="Z106" i="15"/>
  <c r="K108" i="15"/>
  <c r="X108" i="15"/>
  <c r="H110" i="15"/>
  <c r="V110" i="15"/>
  <c r="Z114" i="15"/>
  <c r="K116" i="15"/>
  <c r="X116" i="15"/>
  <c r="H118" i="15"/>
  <c r="V118" i="15"/>
  <c r="AB156" i="15" s="1"/>
  <c r="AB120" i="15"/>
  <c r="Z122" i="15"/>
  <c r="K124" i="15"/>
  <c r="X124" i="15"/>
  <c r="H126" i="15"/>
  <c r="V126" i="15"/>
  <c r="AB164" i="15" s="1"/>
  <c r="AB128" i="15"/>
  <c r="Z130" i="15"/>
  <c r="K132" i="15"/>
  <c r="X132" i="15"/>
  <c r="H134" i="15"/>
  <c r="V134" i="15"/>
  <c r="AB172" i="15" s="1"/>
  <c r="Z138" i="15"/>
  <c r="K140" i="15"/>
  <c r="X140" i="15"/>
  <c r="H142" i="15"/>
  <c r="V142" i="15"/>
  <c r="AB180" i="15" s="1"/>
  <c r="Z146" i="15"/>
  <c r="K148" i="15"/>
  <c r="X148" i="15"/>
  <c r="H150" i="15"/>
  <c r="V150" i="15"/>
  <c r="AB188" i="15" s="1"/>
  <c r="AA154" i="15"/>
  <c r="AA156" i="15"/>
  <c r="AA158" i="15"/>
  <c r="AA160" i="15"/>
  <c r="AA162" i="15"/>
  <c r="AA164" i="15"/>
  <c r="AA166" i="15"/>
  <c r="AA168" i="15"/>
  <c r="AA170" i="15"/>
  <c r="AA172" i="15"/>
  <c r="AA174" i="15"/>
  <c r="AA176" i="15"/>
  <c r="AA178" i="15"/>
  <c r="AA180" i="15"/>
  <c r="AA182" i="15"/>
  <c r="AB236" i="15"/>
  <c r="AB234" i="15"/>
  <c r="U232" i="15"/>
  <c r="U234" i="15"/>
  <c r="J236" i="15"/>
  <c r="H238" i="15"/>
  <c r="U240" i="15"/>
  <c r="AA240" i="15"/>
  <c r="K246" i="15"/>
  <c r="N246" i="15" s="1"/>
  <c r="Y250" i="15"/>
  <c r="V252" i="15"/>
  <c r="W254" i="15"/>
  <c r="S256" i="15"/>
  <c r="U258" i="15"/>
  <c r="U262" i="15"/>
  <c r="U278" i="15"/>
  <c r="U294" i="15"/>
  <c r="L402" i="15"/>
  <c r="L403" i="15" s="1"/>
  <c r="X413" i="15"/>
  <c r="K430" i="15"/>
  <c r="K431" i="15" s="1"/>
  <c r="X435" i="15"/>
  <c r="M434" i="15"/>
  <c r="M435" i="15" s="1"/>
  <c r="W435" i="15"/>
  <c r="V435" i="15"/>
  <c r="J435" i="15"/>
  <c r="U435" i="15"/>
  <c r="H435" i="15"/>
  <c r="Z435" i="15"/>
  <c r="Y435" i="15"/>
  <c r="P555" i="15"/>
  <c r="O555" i="15"/>
  <c r="AA232" i="15"/>
  <c r="S242" i="15"/>
  <c r="AA290" i="15"/>
  <c r="S290" i="15"/>
  <c r="Y290" i="15"/>
  <c r="K290" i="15"/>
  <c r="N290" i="15" s="1"/>
  <c r="X290" i="15"/>
  <c r="J290" i="15"/>
  <c r="V290" i="15"/>
  <c r="AA306" i="15"/>
  <c r="S306" i="15"/>
  <c r="Y306" i="15"/>
  <c r="K306" i="15"/>
  <c r="N306" i="15" s="1"/>
  <c r="X306" i="15"/>
  <c r="J306" i="15"/>
  <c r="V306" i="15"/>
  <c r="AB49" i="15"/>
  <c r="H55" i="15"/>
  <c r="H83" i="15"/>
  <c r="H48" i="15"/>
  <c r="V49" i="15"/>
  <c r="Z53" i="15"/>
  <c r="K55" i="15"/>
  <c r="X55" i="15"/>
  <c r="S65" i="15"/>
  <c r="L67" i="15"/>
  <c r="X67" i="15"/>
  <c r="H69" i="15"/>
  <c r="U69" i="15"/>
  <c r="Z71" i="15"/>
  <c r="H79" i="15"/>
  <c r="U79" i="15"/>
  <c r="Z81" i="15"/>
  <c r="K83" i="15"/>
  <c r="W83" i="15"/>
  <c r="AA106" i="15"/>
  <c r="L108" i="15"/>
  <c r="Y108" i="15"/>
  <c r="J110" i="15"/>
  <c r="W110" i="15"/>
  <c r="AA114" i="15"/>
  <c r="L116" i="15"/>
  <c r="Y116" i="15"/>
  <c r="J118" i="15"/>
  <c r="W118" i="15"/>
  <c r="AA122" i="15"/>
  <c r="L124" i="15"/>
  <c r="Y124" i="15"/>
  <c r="J126" i="15"/>
  <c r="W126" i="15"/>
  <c r="AA130" i="15"/>
  <c r="L132" i="15"/>
  <c r="Y132" i="15"/>
  <c r="J134" i="15"/>
  <c r="W134" i="15"/>
  <c r="AA138" i="15"/>
  <c r="L140" i="15"/>
  <c r="Y140" i="15"/>
  <c r="J142" i="15"/>
  <c r="W142" i="15"/>
  <c r="AA146" i="15"/>
  <c r="L148" i="15"/>
  <c r="Y148" i="15"/>
  <c r="J150" i="15"/>
  <c r="W150" i="15"/>
  <c r="U152" i="15"/>
  <c r="AB306" i="15"/>
  <c r="AB290" i="15"/>
  <c r="AB274" i="15"/>
  <c r="AB258" i="15"/>
  <c r="AB242" i="15"/>
  <c r="AB304" i="15"/>
  <c r="AB288" i="15"/>
  <c r="AB272" i="15"/>
  <c r="AB256" i="15"/>
  <c r="AB300" i="15"/>
  <c r="AB284" i="15"/>
  <c r="AB268" i="15"/>
  <c r="AB252" i="15"/>
  <c r="AB298" i="15"/>
  <c r="AB282" i="15"/>
  <c r="AB266" i="15"/>
  <c r="AB250" i="15"/>
  <c r="AB310" i="15"/>
  <c r="AB294" i="15"/>
  <c r="AB278" i="15"/>
  <c r="AB262" i="15"/>
  <c r="AB246" i="15"/>
  <c r="V232" i="15"/>
  <c r="X234" i="15"/>
  <c r="Z234" i="15"/>
  <c r="V234" i="15"/>
  <c r="K238" i="15"/>
  <c r="N238" i="15" s="1"/>
  <c r="AB240" i="15"/>
  <c r="Z242" i="15"/>
  <c r="V244" i="15"/>
  <c r="S246" i="15"/>
  <c r="X250" i="15"/>
  <c r="AA250" i="15"/>
  <c r="X252" i="15"/>
  <c r="Y254" i="15"/>
  <c r="V256" i="15"/>
  <c r="W258" i="15"/>
  <c r="X262" i="15"/>
  <c r="W264" i="15"/>
  <c r="S266" i="15"/>
  <c r="W270" i="15"/>
  <c r="S272" i="15"/>
  <c r="U274" i="15"/>
  <c r="V276" i="15"/>
  <c r="X278" i="15"/>
  <c r="W280" i="15"/>
  <c r="S282" i="15"/>
  <c r="U284" i="15"/>
  <c r="W286" i="15"/>
  <c r="S288" i="15"/>
  <c r="U290" i="15"/>
  <c r="V292" i="15"/>
  <c r="X294" i="15"/>
  <c r="W296" i="15"/>
  <c r="S298" i="15"/>
  <c r="U300" i="15"/>
  <c r="U306" i="15"/>
  <c r="V308" i="15"/>
  <c r="L362" i="15"/>
  <c r="L363" i="15" s="1"/>
  <c r="L366" i="15"/>
  <c r="L367" i="15" s="1"/>
  <c r="L370" i="15"/>
  <c r="L371" i="15" s="1"/>
  <c r="M384" i="15"/>
  <c r="M385" i="15" s="1"/>
  <c r="K384" i="15"/>
  <c r="M392" i="15"/>
  <c r="M393" i="15" s="1"/>
  <c r="K392" i="15"/>
  <c r="K395" i="15"/>
  <c r="L394" i="15"/>
  <c r="L395" i="15" s="1"/>
  <c r="V409" i="15"/>
  <c r="S296" i="15"/>
  <c r="S280" i="15"/>
  <c r="S248" i="15"/>
  <c r="AB238" i="15"/>
  <c r="V250" i="15"/>
  <c r="W268" i="15"/>
  <c r="H268" i="15"/>
  <c r="V268" i="15"/>
  <c r="AA268" i="15"/>
  <c r="S268" i="15"/>
  <c r="Y268" i="15"/>
  <c r="K268" i="15"/>
  <c r="N268" i="15" s="1"/>
  <c r="V55" i="15"/>
  <c r="J49" i="15"/>
  <c r="W49" i="15"/>
  <c r="AA53" i="15"/>
  <c r="L55" i="15"/>
  <c r="Y55" i="15"/>
  <c r="M67" i="15"/>
  <c r="Y67" i="15"/>
  <c r="J69" i="15"/>
  <c r="V69" i="15"/>
  <c r="S71" i="15"/>
  <c r="AA71" i="15"/>
  <c r="J79" i="15"/>
  <c r="V79" i="15"/>
  <c r="S81" i="15"/>
  <c r="AA81" i="15"/>
  <c r="L83" i="15"/>
  <c r="X83" i="15"/>
  <c r="AB106" i="15"/>
  <c r="Z108" i="15"/>
  <c r="K110" i="15"/>
  <c r="X110" i="15"/>
  <c r="V112" i="15"/>
  <c r="AB152" i="15" s="1"/>
  <c r="Z116" i="15"/>
  <c r="K118" i="15"/>
  <c r="X118" i="15"/>
  <c r="AB122" i="15"/>
  <c r="Z124" i="15"/>
  <c r="K126" i="15"/>
  <c r="X126" i="15"/>
  <c r="AB130" i="15"/>
  <c r="Z132" i="15"/>
  <c r="K134" i="15"/>
  <c r="X134" i="15"/>
  <c r="Z140" i="15"/>
  <c r="K142" i="15"/>
  <c r="X142" i="15"/>
  <c r="V144" i="15"/>
  <c r="AB182" i="15" s="1"/>
  <c r="Z148" i="15"/>
  <c r="K150" i="15"/>
  <c r="X150" i="15"/>
  <c r="W298" i="15"/>
  <c r="W282" i="15"/>
  <c r="W266" i="15"/>
  <c r="W304" i="15"/>
  <c r="W288" i="15"/>
  <c r="W272" i="15"/>
  <c r="W256" i="15"/>
  <c r="H232" i="15"/>
  <c r="W232" i="15"/>
  <c r="W234" i="15"/>
  <c r="U236" i="15"/>
  <c r="Y244" i="15"/>
  <c r="U246" i="15"/>
  <c r="AB254" i="15"/>
  <c r="Z258" i="15"/>
  <c r="Y260" i="15"/>
  <c r="AA262" i="15"/>
  <c r="Z264" i="15"/>
  <c r="V266" i="15"/>
  <c r="X268" i="15"/>
  <c r="Y270" i="15"/>
  <c r="V272" i="15"/>
  <c r="Y276" i="15"/>
  <c r="AA278" i="15"/>
  <c r="Z280" i="15"/>
  <c r="V282" i="15"/>
  <c r="X284" i="15"/>
  <c r="Y286" i="15"/>
  <c r="W290" i="15"/>
  <c r="Y292" i="15"/>
  <c r="AA294" i="15"/>
  <c r="Z296" i="15"/>
  <c r="V298" i="15"/>
  <c r="Y302" i="15"/>
  <c r="W306" i="15"/>
  <c r="AB308" i="15"/>
  <c r="X409" i="15"/>
  <c r="U512" i="15"/>
  <c r="AB505" i="15"/>
  <c r="AB510" i="15"/>
  <c r="L672" i="15"/>
  <c r="M672" i="15"/>
  <c r="S232" i="15"/>
  <c r="AA274" i="15"/>
  <c r="S274" i="15"/>
  <c r="Y274" i="15"/>
  <c r="K274" i="15"/>
  <c r="N274" i="15" s="1"/>
  <c r="X274" i="15"/>
  <c r="J274" i="15"/>
  <c r="V274" i="15"/>
  <c r="W300" i="15"/>
  <c r="H300" i="15"/>
  <c r="V300" i="15"/>
  <c r="AA300" i="15"/>
  <c r="S300" i="15"/>
  <c r="Y300" i="15"/>
  <c r="K300" i="15"/>
  <c r="N300" i="15" s="1"/>
  <c r="M5" i="15"/>
  <c r="T49" i="15"/>
  <c r="J67" i="15"/>
  <c r="V67" i="15"/>
  <c r="AA69" i="15"/>
  <c r="AA79" i="15"/>
  <c r="K49" i="15"/>
  <c r="K69" i="15"/>
  <c r="M83" i="15"/>
  <c r="W104" i="15"/>
  <c r="L110" i="15"/>
  <c r="W112" i="15"/>
  <c r="L118" i="15"/>
  <c r="W120" i="15"/>
  <c r="L126" i="15"/>
  <c r="W128" i="15"/>
  <c r="L134" i="15"/>
  <c r="W136" i="15"/>
  <c r="L142" i="15"/>
  <c r="L150" i="15"/>
  <c r="X296" i="15"/>
  <c r="X280" i="15"/>
  <c r="X264" i="15"/>
  <c r="J232" i="15"/>
  <c r="Y234" i="15"/>
  <c r="V236" i="15"/>
  <c r="U238" i="15"/>
  <c r="Y242" i="15"/>
  <c r="K242" i="15"/>
  <c r="N242" i="15" s="1"/>
  <c r="X242" i="15"/>
  <c r="J242" i="15"/>
  <c r="V242" i="15"/>
  <c r="Z244" i="15"/>
  <c r="X246" i="15"/>
  <c r="W252" i="15"/>
  <c r="H252" i="15"/>
  <c r="AA252" i="15"/>
  <c r="S252" i="15"/>
  <c r="Y252" i="15"/>
  <c r="K252" i="15"/>
  <c r="N252" i="15" s="1"/>
  <c r="AA256" i="15"/>
  <c r="AB260" i="15"/>
  <c r="AB264" i="15"/>
  <c r="Y266" i="15"/>
  <c r="Z268" i="15"/>
  <c r="AB270" i="15"/>
  <c r="X272" i="15"/>
  <c r="Z274" i="15"/>
  <c r="AB276" i="15"/>
  <c r="AB280" i="15"/>
  <c r="Y282" i="15"/>
  <c r="Z284" i="15"/>
  <c r="AB286" i="15"/>
  <c r="X288" i="15"/>
  <c r="Z290" i="15"/>
  <c r="AB292" i="15"/>
  <c r="AB296" i="15"/>
  <c r="Y298" i="15"/>
  <c r="Z300" i="15"/>
  <c r="AB302" i="15"/>
  <c r="X304" i="15"/>
  <c r="Z306" i="15"/>
  <c r="T354" i="15"/>
  <c r="AB354" i="15"/>
  <c r="M386" i="15"/>
  <c r="M387" i="15" s="1"/>
  <c r="K386" i="15"/>
  <c r="K418" i="15"/>
  <c r="K419" i="15" s="1"/>
  <c r="K422" i="15"/>
  <c r="K423" i="15" s="1"/>
  <c r="Y502" i="15"/>
  <c r="Y494" i="15"/>
  <c r="Y500" i="15"/>
  <c r="Y498" i="15"/>
  <c r="L498" i="15"/>
  <c r="X498" i="15"/>
  <c r="K498" i="15"/>
  <c r="W498" i="15"/>
  <c r="J498" i="15"/>
  <c r="V498" i="15"/>
  <c r="H498" i="15"/>
  <c r="U498" i="15"/>
  <c r="AA498" i="15"/>
  <c r="Z498" i="15"/>
  <c r="P573" i="15"/>
  <c r="O573" i="15"/>
  <c r="W240" i="15"/>
  <c r="U244" i="15"/>
  <c r="AA248" i="15"/>
  <c r="Z250" i="15"/>
  <c r="J254" i="15"/>
  <c r="X254" i="15"/>
  <c r="U260" i="15"/>
  <c r="S264" i="15"/>
  <c r="AA264" i="15"/>
  <c r="Z266" i="15"/>
  <c r="J270" i="15"/>
  <c r="X270" i="15"/>
  <c r="U276" i="15"/>
  <c r="Z282" i="15"/>
  <c r="J286" i="15"/>
  <c r="X286" i="15"/>
  <c r="U292" i="15"/>
  <c r="Z298" i="15"/>
  <c r="J302" i="15"/>
  <c r="X302" i="15"/>
  <c r="U308" i="15"/>
  <c r="J359" i="15"/>
  <c r="V359" i="15"/>
  <c r="J361" i="15"/>
  <c r="V361" i="15"/>
  <c r="V363" i="15"/>
  <c r="V369" i="15"/>
  <c r="V371" i="15"/>
  <c r="V373" i="15"/>
  <c r="V375" i="15"/>
  <c r="V379" i="15"/>
  <c r="V381" i="15"/>
  <c r="V383" i="15"/>
  <c r="V385" i="15"/>
  <c r="K404" i="15"/>
  <c r="V407" i="15"/>
  <c r="U411" i="15"/>
  <c r="H411" i="15"/>
  <c r="AA411" i="15"/>
  <c r="Z411" i="15"/>
  <c r="X411" i="15"/>
  <c r="K416" i="15"/>
  <c r="V417" i="15"/>
  <c r="U419" i="15"/>
  <c r="U423" i="15"/>
  <c r="V427" i="15"/>
  <c r="X433" i="15"/>
  <c r="M432" i="15"/>
  <c r="M433" i="15" s="1"/>
  <c r="W433" i="15"/>
  <c r="V433" i="15"/>
  <c r="J433" i="15"/>
  <c r="U433" i="15"/>
  <c r="H433" i="15"/>
  <c r="Z433" i="15"/>
  <c r="AA437" i="15"/>
  <c r="Z482" i="15"/>
  <c r="Y482" i="15"/>
  <c r="K482" i="15"/>
  <c r="N482" i="15" s="1"/>
  <c r="X482" i="15"/>
  <c r="J482" i="15"/>
  <c r="W482" i="15"/>
  <c r="H482" i="15"/>
  <c r="V482" i="15"/>
  <c r="T482" i="15"/>
  <c r="AA482" i="15"/>
  <c r="S482" i="15"/>
  <c r="P539" i="15"/>
  <c r="O539" i="15"/>
  <c r="O557" i="15"/>
  <c r="P557" i="15"/>
  <c r="P571" i="15"/>
  <c r="O571" i="15"/>
  <c r="O581" i="15"/>
  <c r="P581" i="15"/>
  <c r="K240" i="15"/>
  <c r="N240" i="15" s="1"/>
  <c r="Y240" i="15"/>
  <c r="H244" i="15"/>
  <c r="W244" i="15"/>
  <c r="U248" i="15"/>
  <c r="Z254" i="15"/>
  <c r="K256" i="15"/>
  <c r="Y256" i="15"/>
  <c r="H260" i="15"/>
  <c r="W260" i="15"/>
  <c r="U264" i="15"/>
  <c r="Z270" i="15"/>
  <c r="K272" i="15"/>
  <c r="Y272" i="15"/>
  <c r="H276" i="15"/>
  <c r="W276" i="15"/>
  <c r="U280" i="15"/>
  <c r="Z286" i="15"/>
  <c r="K288" i="15"/>
  <c r="Y288" i="15"/>
  <c r="H292" i="15"/>
  <c r="W292" i="15"/>
  <c r="U296" i="15"/>
  <c r="Z302" i="15"/>
  <c r="K304" i="15"/>
  <c r="Y304" i="15"/>
  <c r="H308" i="15"/>
  <c r="W308" i="15"/>
  <c r="W427" i="15"/>
  <c r="W425" i="15"/>
  <c r="W423" i="15"/>
  <c r="W421" i="15"/>
  <c r="M358" i="15"/>
  <c r="M359" i="15" s="1"/>
  <c r="X359" i="15"/>
  <c r="M360" i="15"/>
  <c r="M361" i="15" s="1"/>
  <c r="X361" i="15"/>
  <c r="M362" i="15"/>
  <c r="M363" i="15" s="1"/>
  <c r="X363" i="15"/>
  <c r="M364" i="15"/>
  <c r="M365" i="15" s="1"/>
  <c r="X365" i="15"/>
  <c r="M366" i="15"/>
  <c r="M367" i="15" s="1"/>
  <c r="X367" i="15"/>
  <c r="M368" i="15"/>
  <c r="M369" i="15" s="1"/>
  <c r="X369" i="15"/>
  <c r="M370" i="15"/>
  <c r="M371" i="15" s="1"/>
  <c r="X371" i="15"/>
  <c r="M372" i="15"/>
  <c r="M373" i="15" s="1"/>
  <c r="X373" i="15"/>
  <c r="M374" i="15"/>
  <c r="M375" i="15" s="1"/>
  <c r="X375" i="15"/>
  <c r="M376" i="15"/>
  <c r="M377" i="15" s="1"/>
  <c r="X377" i="15"/>
  <c r="M378" i="15"/>
  <c r="M379" i="15" s="1"/>
  <c r="X379" i="15"/>
  <c r="X381" i="15"/>
  <c r="X383" i="15"/>
  <c r="X385" i="15"/>
  <c r="X387" i="15"/>
  <c r="X389" i="15"/>
  <c r="X391" i="15"/>
  <c r="X393" i="15"/>
  <c r="U395" i="15"/>
  <c r="H395" i="15"/>
  <c r="AA395" i="15"/>
  <c r="V403" i="15"/>
  <c r="W405" i="15"/>
  <c r="U407" i="15"/>
  <c r="H407" i="15"/>
  <c r="AA407" i="15"/>
  <c r="Z407" i="15"/>
  <c r="X407" i="15"/>
  <c r="J411" i="15"/>
  <c r="X417" i="15"/>
  <c r="V421" i="15"/>
  <c r="U425" i="15"/>
  <c r="K426" i="15"/>
  <c r="K432" i="15"/>
  <c r="K433" i="15" s="1"/>
  <c r="X437" i="15"/>
  <c r="M436" i="15"/>
  <c r="M437" i="15" s="1"/>
  <c r="W437" i="15"/>
  <c r="V437" i="15"/>
  <c r="J437" i="15"/>
  <c r="U437" i="15"/>
  <c r="H437" i="15"/>
  <c r="Z437" i="15"/>
  <c r="O541" i="15"/>
  <c r="P541" i="15"/>
  <c r="AA549" i="15"/>
  <c r="H549" i="15"/>
  <c r="Z549" i="15"/>
  <c r="Y549" i="15"/>
  <c r="X549" i="15"/>
  <c r="W549" i="15"/>
  <c r="U549" i="15"/>
  <c r="K549" i="15"/>
  <c r="N549" i="15" s="1"/>
  <c r="J549" i="15"/>
  <c r="M674" i="15"/>
  <c r="L674" i="15"/>
  <c r="L688" i="15"/>
  <c r="M688" i="15"/>
  <c r="V694" i="15"/>
  <c r="Z240" i="15"/>
  <c r="J244" i="15"/>
  <c r="X244" i="15"/>
  <c r="U250" i="15"/>
  <c r="S254" i="15"/>
  <c r="AA254" i="15"/>
  <c r="X260" i="15"/>
  <c r="U266" i="15"/>
  <c r="S270" i="15"/>
  <c r="AA270" i="15"/>
  <c r="Z272" i="15"/>
  <c r="J276" i="15"/>
  <c r="X276" i="15"/>
  <c r="U282" i="15"/>
  <c r="S286" i="15"/>
  <c r="AA286" i="15"/>
  <c r="Z288" i="15"/>
  <c r="J292" i="15"/>
  <c r="X292" i="15"/>
  <c r="U298" i="15"/>
  <c r="S302" i="15"/>
  <c r="AA302" i="15"/>
  <c r="J308" i="15"/>
  <c r="X308" i="15"/>
  <c r="Y359" i="15"/>
  <c r="Y361" i="15"/>
  <c r="Y363" i="15"/>
  <c r="Y365" i="15"/>
  <c r="Y367" i="15"/>
  <c r="Y369" i="15"/>
  <c r="Y371" i="15"/>
  <c r="Y373" i="15"/>
  <c r="Y375" i="15"/>
  <c r="Y377" i="15"/>
  <c r="AA393" i="15"/>
  <c r="Y393" i="15"/>
  <c r="V395" i="15"/>
  <c r="M402" i="15"/>
  <c r="M403" i="15" s="1"/>
  <c r="U405" i="15"/>
  <c r="H405" i="15"/>
  <c r="AA405" i="15"/>
  <c r="Z405" i="15"/>
  <c r="X405" i="15"/>
  <c r="Y407" i="15"/>
  <c r="U417" i="15"/>
  <c r="X421" i="15"/>
  <c r="L424" i="15"/>
  <c r="L425" i="15" s="1"/>
  <c r="K434" i="15"/>
  <c r="K435" i="15" s="1"/>
  <c r="AB494" i="15"/>
  <c r="P559" i="15"/>
  <c r="O559" i="15"/>
  <c r="AA565" i="15"/>
  <c r="H565" i="15"/>
  <c r="Z565" i="15"/>
  <c r="Y565" i="15"/>
  <c r="X565" i="15"/>
  <c r="W565" i="15"/>
  <c r="U565" i="15"/>
  <c r="K565" i="15"/>
  <c r="N565" i="15" s="1"/>
  <c r="J565" i="15"/>
  <c r="M720" i="15"/>
  <c r="L720" i="15"/>
  <c r="Z383" i="15"/>
  <c r="Z385" i="15"/>
  <c r="Z387" i="15"/>
  <c r="Z389" i="15"/>
  <c r="Z391" i="15"/>
  <c r="W401" i="15"/>
  <c r="U403" i="15"/>
  <c r="H403" i="15"/>
  <c r="AA403" i="15"/>
  <c r="Z403" i="15"/>
  <c r="X403" i="15"/>
  <c r="Y405" i="15"/>
  <c r="W415" i="15"/>
  <c r="V423" i="15"/>
  <c r="U427" i="15"/>
  <c r="X429" i="15"/>
  <c r="W429" i="15"/>
  <c r="V429" i="15"/>
  <c r="J429" i="15"/>
  <c r="U429" i="15"/>
  <c r="H429" i="15"/>
  <c r="Z429" i="15"/>
  <c r="AA429" i="15"/>
  <c r="T478" i="15"/>
  <c r="AA478" i="15"/>
  <c r="S478" i="15"/>
  <c r="Z478" i="15"/>
  <c r="Y478" i="15"/>
  <c r="K478" i="15"/>
  <c r="N478" i="15" s="1"/>
  <c r="X478" i="15"/>
  <c r="J478" i="15"/>
  <c r="V478" i="15"/>
  <c r="P551" i="15"/>
  <c r="O551" i="15"/>
  <c r="AA605" i="15"/>
  <c r="H605" i="15"/>
  <c r="Z605" i="15"/>
  <c r="Y605" i="15"/>
  <c r="X605" i="15"/>
  <c r="U605" i="15"/>
  <c r="K605" i="15"/>
  <c r="N605" i="15" s="1"/>
  <c r="J605" i="15"/>
  <c r="W605" i="15"/>
  <c r="U254" i="15"/>
  <c r="U270" i="15"/>
  <c r="U286" i="15"/>
  <c r="U302" i="15"/>
  <c r="AA375" i="15"/>
  <c r="AA377" i="15"/>
  <c r="AA379" i="15"/>
  <c r="AA381" i="15"/>
  <c r="AA383" i="15"/>
  <c r="AA385" i="15"/>
  <c r="AA387" i="15"/>
  <c r="AA389" i="15"/>
  <c r="X395" i="15"/>
  <c r="U397" i="15"/>
  <c r="H397" i="15"/>
  <c r="AA397" i="15"/>
  <c r="W397" i="15"/>
  <c r="W399" i="15"/>
  <c r="U401" i="15"/>
  <c r="H401" i="15"/>
  <c r="AA401" i="15"/>
  <c r="Z401" i="15"/>
  <c r="X401" i="15"/>
  <c r="Y403" i="15"/>
  <c r="X415" i="15"/>
  <c r="V419" i="15"/>
  <c r="U421" i="15"/>
  <c r="H478" i="15"/>
  <c r="U514" i="15"/>
  <c r="Y518" i="15"/>
  <c r="L518" i="15"/>
  <c r="X518" i="15"/>
  <c r="K518" i="15"/>
  <c r="W518" i="15"/>
  <c r="J518" i="15"/>
  <c r="V518" i="15"/>
  <c r="H518" i="15"/>
  <c r="U518" i="15"/>
  <c r="AA518" i="15"/>
  <c r="Z518" i="15"/>
  <c r="P567" i="15"/>
  <c r="O567" i="15"/>
  <c r="P599" i="15"/>
  <c r="O599" i="15"/>
  <c r="P611" i="15"/>
  <c r="O611" i="15"/>
  <c r="M700" i="15"/>
  <c r="L700" i="15"/>
  <c r="S244" i="15"/>
  <c r="K248" i="15"/>
  <c r="N248" i="15" s="1"/>
  <c r="J250" i="15"/>
  <c r="S260" i="15"/>
  <c r="K264" i="15"/>
  <c r="N264" i="15" s="1"/>
  <c r="J266" i="15"/>
  <c r="S276" i="15"/>
  <c r="K280" i="15"/>
  <c r="N280" i="15" s="1"/>
  <c r="J282" i="15"/>
  <c r="S292" i="15"/>
  <c r="K296" i="15"/>
  <c r="N296" i="15" s="1"/>
  <c r="J298" i="15"/>
  <c r="S308" i="15"/>
  <c r="Y395" i="15"/>
  <c r="X397" i="15"/>
  <c r="U399" i="15"/>
  <c r="H399" i="15"/>
  <c r="AA399" i="15"/>
  <c r="Z399" i="15"/>
  <c r="X399" i="15"/>
  <c r="Y401" i="15"/>
  <c r="J403" i="15"/>
  <c r="V411" i="15"/>
  <c r="U415" i="15"/>
  <c r="W419" i="15"/>
  <c r="AA433" i="15"/>
  <c r="AB471" i="15"/>
  <c r="U478" i="15"/>
  <c r="Y510" i="15"/>
  <c r="L510" i="15"/>
  <c r="X510" i="15"/>
  <c r="K510" i="15"/>
  <c r="W510" i="15"/>
  <c r="J510" i="15"/>
  <c r="V510" i="15"/>
  <c r="H510" i="15"/>
  <c r="U510" i="15"/>
  <c r="AA510" i="15"/>
  <c r="Z510" i="15"/>
  <c r="P543" i="15"/>
  <c r="O543" i="15"/>
  <c r="P583" i="15"/>
  <c r="O583" i="15"/>
  <c r="M704" i="15"/>
  <c r="L704" i="15"/>
  <c r="Z615" i="15"/>
  <c r="Z611" i="15"/>
  <c r="Z595" i="15"/>
  <c r="Z537" i="15"/>
  <c r="V545" i="15"/>
  <c r="AB585" i="15" s="1"/>
  <c r="AB549" i="15"/>
  <c r="AA551" i="15"/>
  <c r="Z553" i="15"/>
  <c r="V561" i="15"/>
  <c r="U563" i="15"/>
  <c r="AA567" i="15"/>
  <c r="Z569" i="15"/>
  <c r="W581" i="15"/>
  <c r="Z583" i="15"/>
  <c r="P591" i="15"/>
  <c r="O591" i="15"/>
  <c r="AA595" i="15"/>
  <c r="Y599" i="15"/>
  <c r="W611" i="15"/>
  <c r="Y611" i="15"/>
  <c r="U674" i="15"/>
  <c r="K674" i="15"/>
  <c r="N674" i="15" s="1"/>
  <c r="J674" i="15"/>
  <c r="AA674" i="15"/>
  <c r="H674" i="15"/>
  <c r="Z674" i="15"/>
  <c r="Y674" i="15"/>
  <c r="W674" i="15"/>
  <c r="Z787" i="15"/>
  <c r="H787" i="15"/>
  <c r="Y787" i="15"/>
  <c r="X787" i="15"/>
  <c r="W787" i="15"/>
  <c r="J787" i="15"/>
  <c r="V787" i="15"/>
  <c r="L962" i="15"/>
  <c r="M962" i="15"/>
  <c r="U480" i="15"/>
  <c r="W494" i="15"/>
  <c r="U496" i="15"/>
  <c r="W502" i="15"/>
  <c r="U516" i="15"/>
  <c r="AA613" i="15"/>
  <c r="AA609" i="15"/>
  <c r="AA593" i="15"/>
  <c r="AA537" i="15"/>
  <c r="Z539" i="15"/>
  <c r="W545" i="15"/>
  <c r="V547" i="15"/>
  <c r="AB551" i="15"/>
  <c r="AA553" i="15"/>
  <c r="Z555" i="15"/>
  <c r="X559" i="15"/>
  <c r="W561" i="15"/>
  <c r="V563" i="15"/>
  <c r="AB567" i="15"/>
  <c r="AA569" i="15"/>
  <c r="Z571" i="15"/>
  <c r="X579" i="15"/>
  <c r="X581" i="15"/>
  <c r="AA589" i="15"/>
  <c r="H589" i="15"/>
  <c r="Z589" i="15"/>
  <c r="Y589" i="15"/>
  <c r="X589" i="15"/>
  <c r="U589" i="15"/>
  <c r="K589" i="15"/>
  <c r="N589" i="15" s="1"/>
  <c r="V589" i="15"/>
  <c r="P595" i="15"/>
  <c r="O595" i="15"/>
  <c r="AB595" i="15"/>
  <c r="Z599" i="15"/>
  <c r="P607" i="15"/>
  <c r="O607" i="15"/>
  <c r="AA611" i="15"/>
  <c r="AB732" i="15"/>
  <c r="AB716" i="15"/>
  <c r="AB730" i="15"/>
  <c r="AB714" i="15"/>
  <c r="AB728" i="15"/>
  <c r="AB712" i="15"/>
  <c r="AB726" i="15"/>
  <c r="AB736" i="15"/>
  <c r="AB720" i="15"/>
  <c r="AB704" i="15"/>
  <c r="AB740" i="15"/>
  <c r="AB692" i="15"/>
  <c r="AB690" i="15"/>
  <c r="AB688" i="15"/>
  <c r="AB722" i="15"/>
  <c r="AB702" i="15"/>
  <c r="AB686" i="15"/>
  <c r="AB718" i="15"/>
  <c r="AB708" i="15"/>
  <c r="AB684" i="15"/>
  <c r="AB734" i="15"/>
  <c r="AB706" i="15"/>
  <c r="AB696" i="15"/>
  <c r="AA662" i="15"/>
  <c r="H662" i="15"/>
  <c r="Z662" i="15"/>
  <c r="Y662" i="15"/>
  <c r="X662" i="15"/>
  <c r="W662" i="15"/>
  <c r="U662" i="15"/>
  <c r="K662" i="15"/>
  <c r="N662" i="15" s="1"/>
  <c r="AB662" i="15"/>
  <c r="M666" i="15"/>
  <c r="L666" i="15"/>
  <c r="M718" i="15"/>
  <c r="L718" i="15"/>
  <c r="M724" i="15"/>
  <c r="L724" i="15"/>
  <c r="W789" i="15"/>
  <c r="K806" i="15"/>
  <c r="L806" i="15" s="1"/>
  <c r="M807" i="15"/>
  <c r="Q807" i="15" s="1"/>
  <c r="W813" i="15"/>
  <c r="K838" i="15"/>
  <c r="L839" i="15" s="1"/>
  <c r="M839" i="15"/>
  <c r="Q839" i="15" s="1"/>
  <c r="Y415" i="15"/>
  <c r="Y417" i="15"/>
  <c r="Y419" i="15"/>
  <c r="Y421" i="15"/>
  <c r="Y423" i="15"/>
  <c r="Y425" i="15"/>
  <c r="Y427" i="15"/>
  <c r="H480" i="15"/>
  <c r="W480" i="15"/>
  <c r="U484" i="15"/>
  <c r="J496" i="15"/>
  <c r="W496" i="15"/>
  <c r="J516" i="15"/>
  <c r="W516" i="15"/>
  <c r="U537" i="15"/>
  <c r="AA541" i="15"/>
  <c r="Z543" i="15"/>
  <c r="Y545" i="15"/>
  <c r="X547" i="15"/>
  <c r="O549" i="15"/>
  <c r="Q549" i="15" s="1"/>
  <c r="V551" i="15"/>
  <c r="U553" i="15"/>
  <c r="AB555" i="15"/>
  <c r="AA557" i="15"/>
  <c r="Z559" i="15"/>
  <c r="Y561" i="15"/>
  <c r="X563" i="15"/>
  <c r="O565" i="15"/>
  <c r="Q565" i="15" s="1"/>
  <c r="V567" i="15"/>
  <c r="U569" i="15"/>
  <c r="Z575" i="15"/>
  <c r="Y575" i="15"/>
  <c r="X575" i="15"/>
  <c r="W575" i="15"/>
  <c r="P579" i="15"/>
  <c r="O579" i="15"/>
  <c r="Y579" i="15"/>
  <c r="Z581" i="15"/>
  <c r="U593" i="15"/>
  <c r="V597" i="15"/>
  <c r="X597" i="15"/>
  <c r="U601" i="15"/>
  <c r="K601" i="15"/>
  <c r="N601" i="15" s="1"/>
  <c r="J601" i="15"/>
  <c r="AA601" i="15"/>
  <c r="H601" i="15"/>
  <c r="Z601" i="15"/>
  <c r="W601" i="15"/>
  <c r="Y601" i="15"/>
  <c r="X609" i="15"/>
  <c r="M680" i="15"/>
  <c r="L680" i="15"/>
  <c r="M684" i="15"/>
  <c r="L684" i="15"/>
  <c r="U690" i="15"/>
  <c r="K690" i="15"/>
  <c r="N690" i="15" s="1"/>
  <c r="J690" i="15"/>
  <c r="AA690" i="15"/>
  <c r="H690" i="15"/>
  <c r="Z690" i="15"/>
  <c r="Y690" i="15"/>
  <c r="W690" i="15"/>
  <c r="W1036" i="15"/>
  <c r="W865" i="15"/>
  <c r="W857" i="15"/>
  <c r="W849" i="15"/>
  <c r="W841" i="15"/>
  <c r="W817" i="15"/>
  <c r="W809" i="15"/>
  <c r="W801" i="15"/>
  <c r="W793" i="15"/>
  <c r="W831" i="15"/>
  <c r="W839" i="15"/>
  <c r="W827" i="15"/>
  <c r="W863" i="15"/>
  <c r="W791" i="15"/>
  <c r="W855" i="15"/>
  <c r="W815" i="15"/>
  <c r="W797" i="15"/>
  <c r="W799" i="15"/>
  <c r="W847" i="15"/>
  <c r="I789" i="15"/>
  <c r="C789" i="15"/>
  <c r="W807" i="15"/>
  <c r="M916" i="15"/>
  <c r="L916" i="15"/>
  <c r="AA920" i="15"/>
  <c r="H920" i="15"/>
  <c r="Z920" i="15"/>
  <c r="Y920" i="15"/>
  <c r="X920" i="15"/>
  <c r="U920" i="15"/>
  <c r="K920" i="15"/>
  <c r="N920" i="15" s="1"/>
  <c r="J920" i="15"/>
  <c r="M960" i="15"/>
  <c r="L960" i="15"/>
  <c r="Z415" i="15"/>
  <c r="Z417" i="15"/>
  <c r="Z419" i="15"/>
  <c r="Z421" i="15"/>
  <c r="Z423" i="15"/>
  <c r="Z425" i="15"/>
  <c r="Z427" i="15"/>
  <c r="Z476" i="15"/>
  <c r="J480" i="15"/>
  <c r="X480" i="15"/>
  <c r="V484" i="15"/>
  <c r="Z494" i="15"/>
  <c r="K496" i="15"/>
  <c r="X496" i="15"/>
  <c r="Z502" i="15"/>
  <c r="Z514" i="15"/>
  <c r="K516" i="15"/>
  <c r="X516" i="15"/>
  <c r="AB603" i="15"/>
  <c r="AB587" i="15"/>
  <c r="AB601" i="15"/>
  <c r="AB615" i="15"/>
  <c r="AB599" i="15"/>
  <c r="AB613" i="15"/>
  <c r="AB597" i="15"/>
  <c r="AB607" i="15"/>
  <c r="AB591" i="15"/>
  <c r="K539" i="15"/>
  <c r="U539" i="15"/>
  <c r="J541" i="15"/>
  <c r="H543" i="15"/>
  <c r="AA543" i="15"/>
  <c r="Z545" i="15"/>
  <c r="Y547" i="15"/>
  <c r="W551" i="15"/>
  <c r="K555" i="15"/>
  <c r="U555" i="15"/>
  <c r="J557" i="15"/>
  <c r="AB557" i="15"/>
  <c r="H559" i="15"/>
  <c r="AA559" i="15"/>
  <c r="Z561" i="15"/>
  <c r="Y563" i="15"/>
  <c r="W567" i="15"/>
  <c r="K571" i="15"/>
  <c r="U571" i="15"/>
  <c r="J573" i="15"/>
  <c r="U575" i="15"/>
  <c r="P577" i="15"/>
  <c r="O577" i="15"/>
  <c r="U577" i="15"/>
  <c r="Z579" i="15"/>
  <c r="AA581" i="15"/>
  <c r="U587" i="15"/>
  <c r="P593" i="15"/>
  <c r="O593" i="15"/>
  <c r="Z593" i="15"/>
  <c r="Z597" i="15"/>
  <c r="AB605" i="15"/>
  <c r="U609" i="15"/>
  <c r="V613" i="15"/>
  <c r="Z613" i="15"/>
  <c r="M696" i="15"/>
  <c r="L696" i="15"/>
  <c r="M738" i="15"/>
  <c r="L738" i="15"/>
  <c r="L972" i="15"/>
  <c r="M972" i="15"/>
  <c r="AA415" i="15"/>
  <c r="AA417" i="15"/>
  <c r="AA419" i="15"/>
  <c r="AA421" i="15"/>
  <c r="AA423" i="15"/>
  <c r="AA425" i="15"/>
  <c r="AA427" i="15"/>
  <c r="AA476" i="15"/>
  <c r="K480" i="15"/>
  <c r="N480" i="15" s="1"/>
  <c r="Y480" i="15"/>
  <c r="H484" i="15"/>
  <c r="W484" i="15"/>
  <c r="AB489" i="15"/>
  <c r="AA494" i="15"/>
  <c r="L496" i="15"/>
  <c r="Y496" i="15"/>
  <c r="U500" i="15"/>
  <c r="AA502" i="15"/>
  <c r="AA514" i="15"/>
  <c r="L516" i="15"/>
  <c r="Y516" i="15"/>
  <c r="W613" i="15"/>
  <c r="W597" i="15"/>
  <c r="O537" i="15"/>
  <c r="Q537" i="15" s="1"/>
  <c r="W537" i="15"/>
  <c r="V539" i="15"/>
  <c r="AB579" i="15" s="1"/>
  <c r="U541" i="15"/>
  <c r="H545" i="15"/>
  <c r="AA545" i="15"/>
  <c r="Z547" i="15"/>
  <c r="X551" i="15"/>
  <c r="O553" i="15"/>
  <c r="Q553" i="15" s="1"/>
  <c r="W553" i="15"/>
  <c r="V555" i="15"/>
  <c r="U557" i="15"/>
  <c r="AB559" i="15"/>
  <c r="H561" i="15"/>
  <c r="AA561" i="15"/>
  <c r="Z563" i="15"/>
  <c r="X567" i="15"/>
  <c r="O569" i="15"/>
  <c r="Q569" i="15" s="1"/>
  <c r="W569" i="15"/>
  <c r="V571" i="15"/>
  <c r="P575" i="15"/>
  <c r="O575" i="15"/>
  <c r="V575" i="15"/>
  <c r="Z577" i="15"/>
  <c r="AA579" i="15"/>
  <c r="W587" i="15"/>
  <c r="J589" i="15"/>
  <c r="U591" i="15"/>
  <c r="AB593" i="15"/>
  <c r="AA597" i="15"/>
  <c r="U603" i="15"/>
  <c r="P609" i="15"/>
  <c r="O609" i="15"/>
  <c r="Z609" i="15"/>
  <c r="J662" i="15"/>
  <c r="V674" i="15"/>
  <c r="M708" i="15"/>
  <c r="R708" i="15" s="1"/>
  <c r="U787" i="15"/>
  <c r="L966" i="15"/>
  <c r="M966" i="15"/>
  <c r="Z480" i="15"/>
  <c r="J484" i="15"/>
  <c r="X484" i="15"/>
  <c r="Z496" i="15"/>
  <c r="Z516" i="15"/>
  <c r="X611" i="15"/>
  <c r="X595" i="15"/>
  <c r="X599" i="15"/>
  <c r="X583" i="15"/>
  <c r="X537" i="15"/>
  <c r="W539" i="15"/>
  <c r="V541" i="15"/>
  <c r="AB581" i="15" s="1"/>
  <c r="U543" i="15"/>
  <c r="J545" i="15"/>
  <c r="H547" i="15"/>
  <c r="AA547" i="15"/>
  <c r="Y551" i="15"/>
  <c r="X553" i="15"/>
  <c r="W555" i="15"/>
  <c r="V557" i="15"/>
  <c r="J561" i="15"/>
  <c r="H563" i="15"/>
  <c r="AA563" i="15"/>
  <c r="Y567" i="15"/>
  <c r="X569" i="15"/>
  <c r="W571" i="15"/>
  <c r="AA573" i="15"/>
  <c r="Y573" i="15"/>
  <c r="X573" i="15"/>
  <c r="W573" i="15"/>
  <c r="H575" i="15"/>
  <c r="AA575" i="15"/>
  <c r="AA577" i="15"/>
  <c r="V583" i="15"/>
  <c r="W583" i="15"/>
  <c r="X587" i="15"/>
  <c r="Z591" i="15"/>
  <c r="Y591" i="15"/>
  <c r="X591" i="15"/>
  <c r="W591" i="15"/>
  <c r="J591" i="15"/>
  <c r="V591" i="15"/>
  <c r="W603" i="15"/>
  <c r="AB609" i="15"/>
  <c r="V615" i="15"/>
  <c r="M664" i="15"/>
  <c r="L664" i="15"/>
  <c r="X674" i="15"/>
  <c r="AA678" i="15"/>
  <c r="H678" i="15"/>
  <c r="Z678" i="15"/>
  <c r="Y678" i="15"/>
  <c r="X678" i="15"/>
  <c r="W678" i="15"/>
  <c r="U678" i="15"/>
  <c r="K678" i="15"/>
  <c r="N678" i="15" s="1"/>
  <c r="M682" i="15"/>
  <c r="L682" i="15"/>
  <c r="L690" i="15"/>
  <c r="Q690" i="15" s="1"/>
  <c r="M698" i="15"/>
  <c r="L698" i="15"/>
  <c r="AB698" i="15"/>
  <c r="AA787" i="15"/>
  <c r="W835" i="15"/>
  <c r="H415" i="15"/>
  <c r="H417" i="15"/>
  <c r="H419" i="15"/>
  <c r="H421" i="15"/>
  <c r="H423" i="15"/>
  <c r="H425" i="15"/>
  <c r="H427" i="15"/>
  <c r="S480" i="15"/>
  <c r="K484" i="15"/>
  <c r="N484" i="15" s="1"/>
  <c r="Y609" i="15"/>
  <c r="Y593" i="15"/>
  <c r="Y613" i="15"/>
  <c r="Y597" i="15"/>
  <c r="Y537" i="15"/>
  <c r="K545" i="15"/>
  <c r="N545" i="15" s="1"/>
  <c r="J547" i="15"/>
  <c r="AB547" i="15"/>
  <c r="Y553" i="15"/>
  <c r="K561" i="15"/>
  <c r="N561" i="15" s="1"/>
  <c r="J563" i="15"/>
  <c r="Y569" i="15"/>
  <c r="Z573" i="15"/>
  <c r="J575" i="15"/>
  <c r="Y583" i="15"/>
  <c r="AA591" i="15"/>
  <c r="W595" i="15"/>
  <c r="Y595" i="15"/>
  <c r="V599" i="15"/>
  <c r="W599" i="15"/>
  <c r="P601" i="15"/>
  <c r="Q601" i="15" s="1"/>
  <c r="X603" i="15"/>
  <c r="Z607" i="15"/>
  <c r="Y607" i="15"/>
  <c r="X607" i="15"/>
  <c r="W607" i="15"/>
  <c r="J607" i="15"/>
  <c r="V607" i="15"/>
  <c r="AB657" i="15"/>
  <c r="AB647" i="15" s="1"/>
  <c r="M668" i="15"/>
  <c r="L668" i="15"/>
  <c r="M676" i="15"/>
  <c r="AB682" i="15"/>
  <c r="AA694" i="15"/>
  <c r="H694" i="15"/>
  <c r="Z694" i="15"/>
  <c r="Y694" i="15"/>
  <c r="X694" i="15"/>
  <c r="W694" i="15"/>
  <c r="U694" i="15"/>
  <c r="K694" i="15"/>
  <c r="N694" i="15" s="1"/>
  <c r="AB694" i="15"/>
  <c r="AB724" i="15"/>
  <c r="J805" i="15"/>
  <c r="AA805" i="15"/>
  <c r="Z805" i="15"/>
  <c r="H805" i="15"/>
  <c r="Y805" i="15"/>
  <c r="V805" i="15"/>
  <c r="W805" i="15"/>
  <c r="Z811" i="15"/>
  <c r="H811" i="15"/>
  <c r="Y811" i="15"/>
  <c r="X811" i="15"/>
  <c r="W811" i="15"/>
  <c r="J811" i="15"/>
  <c r="V811" i="15"/>
  <c r="W843" i="15"/>
  <c r="V587" i="15"/>
  <c r="V603" i="15"/>
  <c r="X615" i="15"/>
  <c r="J664" i="15"/>
  <c r="AA666" i="15"/>
  <c r="Z668" i="15"/>
  <c r="Y670" i="15"/>
  <c r="X672" i="15"/>
  <c r="V676" i="15"/>
  <c r="J680" i="15"/>
  <c r="AA682" i="15"/>
  <c r="Z684" i="15"/>
  <c r="Y686" i="15"/>
  <c r="X688" i="15"/>
  <c r="V692" i="15"/>
  <c r="J696" i="15"/>
  <c r="AA698" i="15"/>
  <c r="Z700" i="15"/>
  <c r="Y702" i="15"/>
  <c r="Y708" i="15"/>
  <c r="Z710" i="15"/>
  <c r="U714" i="15"/>
  <c r="K714" i="15"/>
  <c r="N714" i="15" s="1"/>
  <c r="J714" i="15"/>
  <c r="AA714" i="15"/>
  <c r="H714" i="15"/>
  <c r="Z714" i="15"/>
  <c r="W714" i="15"/>
  <c r="Y714" i="15"/>
  <c r="AA718" i="15"/>
  <c r="H718" i="15"/>
  <c r="Z718" i="15"/>
  <c r="Y718" i="15"/>
  <c r="X718" i="15"/>
  <c r="U718" i="15"/>
  <c r="K718" i="15"/>
  <c r="N718" i="15" s="1"/>
  <c r="V718" i="15"/>
  <c r="AA724" i="15"/>
  <c r="M732" i="15"/>
  <c r="Z738" i="15"/>
  <c r="Y807" i="15"/>
  <c r="I813" i="15"/>
  <c r="C813" i="15"/>
  <c r="Z843" i="15"/>
  <c r="C851" i="15"/>
  <c r="I851" i="15"/>
  <c r="Z853" i="15"/>
  <c r="W859" i="15"/>
  <c r="M942" i="15"/>
  <c r="L942" i="15"/>
  <c r="W909" i="15"/>
  <c r="W740" i="15"/>
  <c r="W724" i="15"/>
  <c r="V664" i="15"/>
  <c r="V680" i="15"/>
  <c r="V696" i="15"/>
  <c r="U698" i="15"/>
  <c r="AA702" i="15"/>
  <c r="U704" i="15"/>
  <c r="W706" i="15"/>
  <c r="V708" i="15"/>
  <c r="Z722" i="15"/>
  <c r="V728" i="15"/>
  <c r="W728" i="15"/>
  <c r="U732" i="15"/>
  <c r="U736" i="15"/>
  <c r="Z803" i="15"/>
  <c r="H803" i="15"/>
  <c r="Y803" i="15"/>
  <c r="X803" i="15"/>
  <c r="W803" i="15"/>
  <c r="J803" i="15"/>
  <c r="U803" i="15"/>
  <c r="I857" i="15"/>
  <c r="C857" i="15"/>
  <c r="C859" i="15"/>
  <c r="I859" i="15"/>
  <c r="Y861" i="15"/>
  <c r="X861" i="15"/>
  <c r="W861" i="15"/>
  <c r="V861" i="15"/>
  <c r="AA861" i="15"/>
  <c r="J861" i="15"/>
  <c r="H861" i="15"/>
  <c r="U932" i="15"/>
  <c r="K932" i="15"/>
  <c r="N932" i="15" s="1"/>
  <c r="J932" i="15"/>
  <c r="AA932" i="15"/>
  <c r="H932" i="15"/>
  <c r="Z932" i="15"/>
  <c r="X932" i="15"/>
  <c r="V932" i="15"/>
  <c r="M1041" i="15"/>
  <c r="L1041" i="15"/>
  <c r="V577" i="15"/>
  <c r="K579" i="15"/>
  <c r="N579" i="15" s="1"/>
  <c r="U579" i="15"/>
  <c r="J581" i="15"/>
  <c r="H583" i="15"/>
  <c r="AA583" i="15"/>
  <c r="Y587" i="15"/>
  <c r="V593" i="15"/>
  <c r="K595" i="15"/>
  <c r="N595" i="15" s="1"/>
  <c r="U595" i="15"/>
  <c r="J597" i="15"/>
  <c r="H599" i="15"/>
  <c r="AA599" i="15"/>
  <c r="Y603" i="15"/>
  <c r="V609" i="15"/>
  <c r="K611" i="15"/>
  <c r="N611" i="15" s="1"/>
  <c r="U611" i="15"/>
  <c r="J613" i="15"/>
  <c r="H615" i="15"/>
  <c r="AA615" i="15"/>
  <c r="X724" i="15"/>
  <c r="X738" i="15"/>
  <c r="X722" i="15"/>
  <c r="W664" i="15"/>
  <c r="V666" i="15"/>
  <c r="K668" i="15"/>
  <c r="N668" i="15" s="1"/>
  <c r="U668" i="15"/>
  <c r="J670" i="15"/>
  <c r="H672" i="15"/>
  <c r="AA672" i="15"/>
  <c r="Y676" i="15"/>
  <c r="W680" i="15"/>
  <c r="V682" i="15"/>
  <c r="U684" i="15"/>
  <c r="J686" i="15"/>
  <c r="H688" i="15"/>
  <c r="AA688" i="15"/>
  <c r="Y692" i="15"/>
  <c r="W696" i="15"/>
  <c r="V698" i="15"/>
  <c r="K700" i="15"/>
  <c r="N700" i="15" s="1"/>
  <c r="U700" i="15"/>
  <c r="J702" i="15"/>
  <c r="H704" i="15"/>
  <c r="V704" i="15"/>
  <c r="L714" i="15"/>
  <c r="Q714" i="15" s="1"/>
  <c r="V716" i="15"/>
  <c r="M722" i="15"/>
  <c r="L722" i="15"/>
  <c r="W726" i="15"/>
  <c r="W732" i="15"/>
  <c r="Z736" i="15"/>
  <c r="Y736" i="15"/>
  <c r="X736" i="15"/>
  <c r="W736" i="15"/>
  <c r="J736" i="15"/>
  <c r="V736" i="15"/>
  <c r="Y859" i="15"/>
  <c r="Y851" i="15"/>
  <c r="Y843" i="15"/>
  <c r="Y835" i="15"/>
  <c r="Y833" i="15"/>
  <c r="Y827" i="15"/>
  <c r="Y841" i="15"/>
  <c r="Y865" i="15"/>
  <c r="Y799" i="15"/>
  <c r="V803" i="15"/>
  <c r="I805" i="15"/>
  <c r="C805" i="15"/>
  <c r="K852" i="15"/>
  <c r="L853" i="15" s="1"/>
  <c r="M853" i="15"/>
  <c r="Q853" i="15" s="1"/>
  <c r="V857" i="15"/>
  <c r="M914" i="15"/>
  <c r="Q914" i="15" s="1"/>
  <c r="M928" i="15"/>
  <c r="L928" i="15"/>
  <c r="M964" i="15"/>
  <c r="L964" i="15"/>
  <c r="W577" i="15"/>
  <c r="V579" i="15"/>
  <c r="K581" i="15"/>
  <c r="N581" i="15" s="1"/>
  <c r="U581" i="15"/>
  <c r="J583" i="15"/>
  <c r="Z587" i="15"/>
  <c r="W593" i="15"/>
  <c r="V595" i="15"/>
  <c r="K597" i="15"/>
  <c r="N597" i="15" s="1"/>
  <c r="U597" i="15"/>
  <c r="J599" i="15"/>
  <c r="Z603" i="15"/>
  <c r="W609" i="15"/>
  <c r="V611" i="15"/>
  <c r="K613" i="15"/>
  <c r="N613" i="15" s="1"/>
  <c r="U613" i="15"/>
  <c r="J615" i="15"/>
  <c r="Y738" i="15"/>
  <c r="Y722" i="15"/>
  <c r="Y716" i="15"/>
  <c r="X664" i="15"/>
  <c r="W666" i="15"/>
  <c r="V668" i="15"/>
  <c r="K670" i="15"/>
  <c r="N670" i="15" s="1"/>
  <c r="U670" i="15"/>
  <c r="J672" i="15"/>
  <c r="Z676" i="15"/>
  <c r="X680" i="15"/>
  <c r="W682" i="15"/>
  <c r="V684" i="15"/>
  <c r="K686" i="15"/>
  <c r="N686" i="15" s="1"/>
  <c r="U686" i="15"/>
  <c r="J688" i="15"/>
  <c r="Z692" i="15"/>
  <c r="X696" i="15"/>
  <c r="W698" i="15"/>
  <c r="V700" i="15"/>
  <c r="K702" i="15"/>
  <c r="U702" i="15"/>
  <c r="K704" i="15"/>
  <c r="W704" i="15"/>
  <c r="M706" i="15"/>
  <c r="L706" i="15"/>
  <c r="U706" i="15"/>
  <c r="W710" i="15"/>
  <c r="U710" i="15"/>
  <c r="K710" i="15"/>
  <c r="N710" i="15" s="1"/>
  <c r="J710" i="15"/>
  <c r="Y710" i="15"/>
  <c r="V712" i="15"/>
  <c r="W712" i="15"/>
  <c r="U716" i="15"/>
  <c r="J718" i="15"/>
  <c r="Z728" i="15"/>
  <c r="V730" i="15"/>
  <c r="X732" i="15"/>
  <c r="AA736" i="15"/>
  <c r="X740" i="15"/>
  <c r="Y740" i="15"/>
  <c r="Z829" i="15"/>
  <c r="Z827" i="15"/>
  <c r="Z835" i="15"/>
  <c r="Z859" i="15"/>
  <c r="J797" i="15"/>
  <c r="AA797" i="15"/>
  <c r="Z797" i="15"/>
  <c r="H797" i="15"/>
  <c r="Y797" i="15"/>
  <c r="V797" i="15"/>
  <c r="X797" i="15"/>
  <c r="Z799" i="15"/>
  <c r="AA803" i="15"/>
  <c r="U813" i="15"/>
  <c r="X821" i="15"/>
  <c r="W821" i="15"/>
  <c r="V821" i="15"/>
  <c r="Z821" i="15"/>
  <c r="J821" i="15"/>
  <c r="Y821" i="15"/>
  <c r="U821" i="15"/>
  <c r="H821" i="15"/>
  <c r="AA821" i="15"/>
  <c r="W825" i="15"/>
  <c r="V833" i="15"/>
  <c r="Y857" i="15"/>
  <c r="V863" i="15"/>
  <c r="Z1162" i="15"/>
  <c r="Z978" i="15"/>
  <c r="Z986" i="15"/>
  <c r="Z1036" i="15"/>
  <c r="Z974" i="15"/>
  <c r="Z926" i="15"/>
  <c r="Z944" i="15"/>
  <c r="Z924" i="15"/>
  <c r="Z914" i="15"/>
  <c r="Z990" i="15"/>
  <c r="Z972" i="15"/>
  <c r="Z946" i="15"/>
  <c r="Z930" i="15"/>
  <c r="Z940" i="15"/>
  <c r="Z976" i="15"/>
  <c r="L946" i="15"/>
  <c r="M946" i="15"/>
  <c r="M948" i="15"/>
  <c r="L948" i="15"/>
  <c r="L992" i="15"/>
  <c r="M992" i="15"/>
  <c r="X577" i="15"/>
  <c r="W579" i="15"/>
  <c r="V581" i="15"/>
  <c r="K583" i="15"/>
  <c r="N583" i="15" s="1"/>
  <c r="U583" i="15"/>
  <c r="H587" i="15"/>
  <c r="AA587" i="15"/>
  <c r="K599" i="15"/>
  <c r="N599" i="15" s="1"/>
  <c r="U599" i="15"/>
  <c r="H603" i="15"/>
  <c r="AA603" i="15"/>
  <c r="K615" i="15"/>
  <c r="N615" i="15" s="1"/>
  <c r="U615" i="15"/>
  <c r="Y664" i="15"/>
  <c r="L670" i="15"/>
  <c r="Q670" i="15" s="1"/>
  <c r="K672" i="15"/>
  <c r="N672" i="15" s="1"/>
  <c r="U672" i="15"/>
  <c r="H676" i="15"/>
  <c r="AA676" i="15"/>
  <c r="Y680" i="15"/>
  <c r="L686" i="15"/>
  <c r="Q686" i="15" s="1"/>
  <c r="K688" i="15"/>
  <c r="N688" i="15" s="1"/>
  <c r="U688" i="15"/>
  <c r="H692" i="15"/>
  <c r="AA692" i="15"/>
  <c r="Y696" i="15"/>
  <c r="L702" i="15"/>
  <c r="Q702" i="15" s="1"/>
  <c r="X706" i="15"/>
  <c r="Y712" i="15"/>
  <c r="W716" i="15"/>
  <c r="Z720" i="15"/>
  <c r="Y720" i="15"/>
  <c r="X720" i="15"/>
  <c r="W720" i="15"/>
  <c r="J720" i="15"/>
  <c r="V720" i="15"/>
  <c r="V724" i="15"/>
  <c r="X726" i="15"/>
  <c r="V855" i="15"/>
  <c r="V849" i="15"/>
  <c r="J789" i="15"/>
  <c r="AA789" i="15"/>
  <c r="Z789" i="15"/>
  <c r="H789" i="15"/>
  <c r="Y789" i="15"/>
  <c r="V789" i="15"/>
  <c r="X789" i="15"/>
  <c r="Z795" i="15"/>
  <c r="H795" i="15"/>
  <c r="Y795" i="15"/>
  <c r="X795" i="15"/>
  <c r="W795" i="15"/>
  <c r="J795" i="15"/>
  <c r="U795" i="15"/>
  <c r="Y801" i="15"/>
  <c r="Y815" i="15"/>
  <c r="Z819" i="15"/>
  <c r="H819" i="15"/>
  <c r="Y819" i="15"/>
  <c r="X819" i="15"/>
  <c r="W819" i="15"/>
  <c r="J819" i="15"/>
  <c r="U819" i="15"/>
  <c r="Y837" i="15"/>
  <c r="X837" i="15"/>
  <c r="W837" i="15"/>
  <c r="V837" i="15"/>
  <c r="AA837" i="15"/>
  <c r="H837" i="15"/>
  <c r="Z837" i="15"/>
  <c r="U837" i="15"/>
  <c r="Y845" i="15"/>
  <c r="X845" i="15"/>
  <c r="W845" i="15"/>
  <c r="V845" i="15"/>
  <c r="AA845" i="15"/>
  <c r="J845" i="15"/>
  <c r="H845" i="15"/>
  <c r="Z845" i="15"/>
  <c r="M920" i="15"/>
  <c r="L930" i="15"/>
  <c r="M930" i="15"/>
  <c r="AA936" i="15"/>
  <c r="H936" i="15"/>
  <c r="Z936" i="15"/>
  <c r="Y936" i="15"/>
  <c r="X936" i="15"/>
  <c r="U936" i="15"/>
  <c r="K936" i="15"/>
  <c r="N936" i="15" s="1"/>
  <c r="J936" i="15"/>
  <c r="AA952" i="15"/>
  <c r="H952" i="15"/>
  <c r="Z952" i="15"/>
  <c r="Y952" i="15"/>
  <c r="X952" i="15"/>
  <c r="U952" i="15"/>
  <c r="K952" i="15"/>
  <c r="N952" i="15" s="1"/>
  <c r="J952" i="15"/>
  <c r="M968" i="15"/>
  <c r="L968" i="15"/>
  <c r="J587" i="15"/>
  <c r="J603" i="15"/>
  <c r="AA732" i="15"/>
  <c r="AA716" i="15"/>
  <c r="X668" i="15"/>
  <c r="W670" i="15"/>
  <c r="J676" i="15"/>
  <c r="Y682" i="15"/>
  <c r="X684" i="15"/>
  <c r="W686" i="15"/>
  <c r="J692" i="15"/>
  <c r="Y698" i="15"/>
  <c r="X700" i="15"/>
  <c r="W702" i="15"/>
  <c r="X704" i="15"/>
  <c r="J704" i="15"/>
  <c r="Z704" i="15"/>
  <c r="Y706" i="15"/>
  <c r="W708" i="15"/>
  <c r="Z712" i="15"/>
  <c r="V714" i="15"/>
  <c r="X716" i="15"/>
  <c r="AA720" i="15"/>
  <c r="Z726" i="15"/>
  <c r="U730" i="15"/>
  <c r="K730" i="15"/>
  <c r="N730" i="15" s="1"/>
  <c r="J730" i="15"/>
  <c r="AA730" i="15"/>
  <c r="H730" i="15"/>
  <c r="Z730" i="15"/>
  <c r="W730" i="15"/>
  <c r="Y730" i="15"/>
  <c r="AA734" i="15"/>
  <c r="H734" i="15"/>
  <c r="Z734" i="15"/>
  <c r="Y734" i="15"/>
  <c r="X734" i="15"/>
  <c r="U734" i="15"/>
  <c r="K734" i="15"/>
  <c r="N734" i="15" s="1"/>
  <c r="V734" i="15"/>
  <c r="M740" i="15"/>
  <c r="L740" i="15"/>
  <c r="I797" i="15"/>
  <c r="C797" i="15"/>
  <c r="J813" i="15"/>
  <c r="AA813" i="15"/>
  <c r="Z813" i="15"/>
  <c r="H813" i="15"/>
  <c r="Y813" i="15"/>
  <c r="V813" i="15"/>
  <c r="X813" i="15"/>
  <c r="Z815" i="15"/>
  <c r="I825" i="15"/>
  <c r="C825" i="15"/>
  <c r="Y932" i="15"/>
  <c r="Z962" i="15"/>
  <c r="L1069" i="15"/>
  <c r="M1069" i="15"/>
  <c r="H706" i="15"/>
  <c r="AA706" i="15"/>
  <c r="Z708" i="15"/>
  <c r="X712" i="15"/>
  <c r="H722" i="15"/>
  <c r="AA722" i="15"/>
  <c r="Z724" i="15"/>
  <c r="Y726" i="15"/>
  <c r="X728" i="15"/>
  <c r="V732" i="15"/>
  <c r="H738" i="15"/>
  <c r="AA738" i="15"/>
  <c r="Z740" i="15"/>
  <c r="AB787" i="15"/>
  <c r="X791" i="15"/>
  <c r="H793" i="15"/>
  <c r="Z793" i="15"/>
  <c r="X799" i="15"/>
  <c r="H801" i="15"/>
  <c r="Z801" i="15"/>
  <c r="X807" i="15"/>
  <c r="H809" i="15"/>
  <c r="Z809" i="15"/>
  <c r="X815" i="15"/>
  <c r="H817" i="15"/>
  <c r="Z817" i="15"/>
  <c r="AA823" i="15"/>
  <c r="M827" i="15"/>
  <c r="Q827" i="15" s="1"/>
  <c r="AA847" i="15"/>
  <c r="U849" i="15"/>
  <c r="W851" i="15"/>
  <c r="X851" i="15"/>
  <c r="Y853" i="15"/>
  <c r="X853" i="15"/>
  <c r="W853" i="15"/>
  <c r="V853" i="15"/>
  <c r="AA853" i="15"/>
  <c r="X857" i="15"/>
  <c r="Y1162" i="15"/>
  <c r="Y1036" i="15"/>
  <c r="Y990" i="15"/>
  <c r="Y978" i="15"/>
  <c r="Y988" i="15"/>
  <c r="Y960" i="15"/>
  <c r="Y944" i="15"/>
  <c r="Y928" i="15"/>
  <c r="U916" i="15"/>
  <c r="K916" i="15"/>
  <c r="N916" i="15" s="1"/>
  <c r="J916" i="15"/>
  <c r="AA916" i="15"/>
  <c r="H916" i="15"/>
  <c r="Z916" i="15"/>
  <c r="Y916" i="15"/>
  <c r="K938" i="15"/>
  <c r="N938" i="15" s="1"/>
  <c r="Y942" i="15"/>
  <c r="U948" i="15"/>
  <c r="K948" i="15"/>
  <c r="N948" i="15" s="1"/>
  <c r="J948" i="15"/>
  <c r="AA948" i="15"/>
  <c r="H948" i="15"/>
  <c r="Z948" i="15"/>
  <c r="Y948" i="15"/>
  <c r="AA954" i="15"/>
  <c r="Y992" i="15"/>
  <c r="L1059" i="15"/>
  <c r="M1059" i="15"/>
  <c r="V706" i="15"/>
  <c r="H712" i="15"/>
  <c r="AA712" i="15"/>
  <c r="V722" i="15"/>
  <c r="U724" i="15"/>
  <c r="J726" i="15"/>
  <c r="H728" i="15"/>
  <c r="AA728" i="15"/>
  <c r="Y732" i="15"/>
  <c r="V738" i="15"/>
  <c r="K740" i="15"/>
  <c r="N740" i="15" s="1"/>
  <c r="U740" i="15"/>
  <c r="AA791" i="15"/>
  <c r="U793" i="15"/>
  <c r="I799" i="15"/>
  <c r="AA799" i="15"/>
  <c r="U801" i="15"/>
  <c r="I807" i="15"/>
  <c r="AA807" i="15"/>
  <c r="U809" i="15"/>
  <c r="I815" i="15"/>
  <c r="AA815" i="15"/>
  <c r="U817" i="15"/>
  <c r="U825" i="15"/>
  <c r="V827" i="15"/>
  <c r="Y829" i="15"/>
  <c r="C833" i="15"/>
  <c r="X833" i="15"/>
  <c r="AA843" i="15"/>
  <c r="H853" i="15"/>
  <c r="L922" i="15"/>
  <c r="Q922" i="15" s="1"/>
  <c r="Y924" i="15"/>
  <c r="M926" i="15"/>
  <c r="L926" i="15"/>
  <c r="K954" i="15"/>
  <c r="N954" i="15" s="1"/>
  <c r="Y958" i="15"/>
  <c r="V964" i="15"/>
  <c r="V990" i="15"/>
  <c r="J712" i="15"/>
  <c r="K726" i="15"/>
  <c r="U726" i="15"/>
  <c r="J728" i="15"/>
  <c r="V740" i="15"/>
  <c r="AB782" i="15"/>
  <c r="J791" i="15"/>
  <c r="V793" i="15"/>
  <c r="J799" i="15"/>
  <c r="J807" i="15"/>
  <c r="J815" i="15"/>
  <c r="Z823" i="15"/>
  <c r="H823" i="15"/>
  <c r="Y823" i="15"/>
  <c r="X823" i="15"/>
  <c r="W823" i="15"/>
  <c r="AA835" i="15"/>
  <c r="K836" i="15"/>
  <c r="L836" i="15" s="1"/>
  <c r="M837" i="15"/>
  <c r="Q837" i="15" s="1"/>
  <c r="Y930" i="15"/>
  <c r="Z938" i="15"/>
  <c r="Y938" i="15"/>
  <c r="X938" i="15"/>
  <c r="J938" i="15"/>
  <c r="V938" i="15"/>
  <c r="Y946" i="15"/>
  <c r="Y956" i="15"/>
  <c r="Y972" i="15"/>
  <c r="V1117" i="15"/>
  <c r="V1111" i="15"/>
  <c r="U1045" i="15"/>
  <c r="K1045" i="15"/>
  <c r="N1045" i="15" s="1"/>
  <c r="J1045" i="15"/>
  <c r="H1045" i="15"/>
  <c r="V1045" i="15"/>
  <c r="K712" i="15"/>
  <c r="U712" i="15"/>
  <c r="V726" i="15"/>
  <c r="K728" i="15"/>
  <c r="U728" i="15"/>
  <c r="U791" i="15"/>
  <c r="K799" i="15"/>
  <c r="U799" i="15"/>
  <c r="U807" i="15"/>
  <c r="U815" i="15"/>
  <c r="J825" i="15"/>
  <c r="AA825" i="15"/>
  <c r="Z825" i="15"/>
  <c r="H825" i="15"/>
  <c r="Y825" i="15"/>
  <c r="V825" i="15"/>
  <c r="X825" i="15"/>
  <c r="K828" i="15"/>
  <c r="L828" i="15" s="1"/>
  <c r="M829" i="15"/>
  <c r="Q829" i="15" s="1"/>
  <c r="M958" i="15"/>
  <c r="L958" i="15"/>
  <c r="U964" i="15"/>
  <c r="K964" i="15"/>
  <c r="N964" i="15" s="1"/>
  <c r="J964" i="15"/>
  <c r="AA964" i="15"/>
  <c r="H964" i="15"/>
  <c r="Z964" i="15"/>
  <c r="Y964" i="15"/>
  <c r="Y968" i="15"/>
  <c r="Y974" i="15"/>
  <c r="AA980" i="15"/>
  <c r="H980" i="15"/>
  <c r="Z980" i="15"/>
  <c r="Y980" i="15"/>
  <c r="X980" i="15"/>
  <c r="U980" i="15"/>
  <c r="K980" i="15"/>
  <c r="J980" i="15"/>
  <c r="M990" i="15"/>
  <c r="L990" i="15"/>
  <c r="L1047" i="15"/>
  <c r="M1047" i="15"/>
  <c r="H1049" i="15"/>
  <c r="U1049" i="15"/>
  <c r="K1049" i="15"/>
  <c r="N1049" i="15" s="1"/>
  <c r="J1049" i="15"/>
  <c r="M1229" i="15"/>
  <c r="L1229" i="15"/>
  <c r="L799" i="15"/>
  <c r="U823" i="15"/>
  <c r="I835" i="15"/>
  <c r="M855" i="15"/>
  <c r="Q855" i="15" s="1"/>
  <c r="U865" i="15"/>
  <c r="Z922" i="15"/>
  <c r="Y922" i="15"/>
  <c r="X922" i="15"/>
  <c r="J922" i="15"/>
  <c r="M944" i="15"/>
  <c r="L944" i="15"/>
  <c r="Z954" i="15"/>
  <c r="Y954" i="15"/>
  <c r="X954" i="15"/>
  <c r="J954" i="15"/>
  <c r="U954" i="15"/>
  <c r="V962" i="15"/>
  <c r="X968" i="15"/>
  <c r="Z968" i="15"/>
  <c r="V968" i="15"/>
  <c r="H968" i="15"/>
  <c r="U968" i="15"/>
  <c r="AA968" i="15"/>
  <c r="K968" i="15"/>
  <c r="N968" i="15" s="1"/>
  <c r="X1097" i="15"/>
  <c r="V1055" i="15"/>
  <c r="U1057" i="15"/>
  <c r="K1057" i="15"/>
  <c r="J1057" i="15"/>
  <c r="H1057" i="15"/>
  <c r="V1057" i="15"/>
  <c r="M1095" i="15"/>
  <c r="L1095" i="15"/>
  <c r="U831" i="15"/>
  <c r="W833" i="15"/>
  <c r="U839" i="15"/>
  <c r="U847" i="15"/>
  <c r="K855" i="15"/>
  <c r="U855" i="15"/>
  <c r="U863" i="15"/>
  <c r="X1162" i="15"/>
  <c r="X992" i="15"/>
  <c r="X914" i="15"/>
  <c r="AA924" i="15"/>
  <c r="X930" i="15"/>
  <c r="V934" i="15"/>
  <c r="AA940" i="15"/>
  <c r="Z942" i="15"/>
  <c r="X946" i="15"/>
  <c r="V950" i="15"/>
  <c r="AA956" i="15"/>
  <c r="Z958" i="15"/>
  <c r="X962" i="15"/>
  <c r="V966" i="15"/>
  <c r="X970" i="15"/>
  <c r="M978" i="15"/>
  <c r="M1061" i="15"/>
  <c r="L1061" i="15"/>
  <c r="M1081" i="15"/>
  <c r="L1081" i="15"/>
  <c r="I827" i="15"/>
  <c r="AA827" i="15"/>
  <c r="V829" i="15"/>
  <c r="X831" i="15"/>
  <c r="H833" i="15"/>
  <c r="Z833" i="15"/>
  <c r="J835" i="15"/>
  <c r="X839" i="15"/>
  <c r="H841" i="15"/>
  <c r="Z841" i="15"/>
  <c r="J843" i="15"/>
  <c r="X847" i="15"/>
  <c r="H849" i="15"/>
  <c r="Z849" i="15"/>
  <c r="J851" i="15"/>
  <c r="X855" i="15"/>
  <c r="H857" i="15"/>
  <c r="Z857" i="15"/>
  <c r="J859" i="15"/>
  <c r="X863" i="15"/>
  <c r="H865" i="15"/>
  <c r="Z865" i="15"/>
  <c r="AA1162" i="15"/>
  <c r="AA992" i="15"/>
  <c r="H914" i="15"/>
  <c r="AA914" i="15"/>
  <c r="Y918" i="15"/>
  <c r="L924" i="15"/>
  <c r="V924" i="15"/>
  <c r="K926" i="15"/>
  <c r="N926" i="15" s="1"/>
  <c r="U926" i="15"/>
  <c r="J928" i="15"/>
  <c r="H930" i="15"/>
  <c r="AA930" i="15"/>
  <c r="Y934" i="15"/>
  <c r="L940" i="15"/>
  <c r="V940" i="15"/>
  <c r="K942" i="15"/>
  <c r="U942" i="15"/>
  <c r="J944" i="15"/>
  <c r="H946" i="15"/>
  <c r="AA946" i="15"/>
  <c r="Y950" i="15"/>
  <c r="L956" i="15"/>
  <c r="Q956" i="15" s="1"/>
  <c r="V956" i="15"/>
  <c r="K958" i="15"/>
  <c r="U958" i="15"/>
  <c r="AA962" i="15"/>
  <c r="Y966" i="15"/>
  <c r="AA972" i="15"/>
  <c r="U978" i="15"/>
  <c r="Y986" i="15"/>
  <c r="AA990" i="15"/>
  <c r="V1043" i="15"/>
  <c r="K1053" i="15"/>
  <c r="N1053" i="15" s="1"/>
  <c r="V1053" i="15"/>
  <c r="J1053" i="15"/>
  <c r="U1053" i="15"/>
  <c r="H1053" i="15"/>
  <c r="M1057" i="15"/>
  <c r="L1057" i="15"/>
  <c r="J827" i="15"/>
  <c r="W829" i="15"/>
  <c r="Y831" i="15"/>
  <c r="AA833" i="15"/>
  <c r="U835" i="15"/>
  <c r="Y839" i="15"/>
  <c r="AA841" i="15"/>
  <c r="U843" i="15"/>
  <c r="Y847" i="15"/>
  <c r="AA849" i="15"/>
  <c r="U851" i="15"/>
  <c r="L854" i="15"/>
  <c r="Y855" i="15"/>
  <c r="AA857" i="15"/>
  <c r="U859" i="15"/>
  <c r="Y863" i="15"/>
  <c r="AA865" i="15"/>
  <c r="Z918" i="15"/>
  <c r="V926" i="15"/>
  <c r="U928" i="15"/>
  <c r="Z934" i="15"/>
  <c r="V942" i="15"/>
  <c r="U944" i="15"/>
  <c r="Z950" i="15"/>
  <c r="V958" i="15"/>
  <c r="Z966" i="15"/>
  <c r="U976" i="15"/>
  <c r="K976" i="15"/>
  <c r="J976" i="15"/>
  <c r="AA976" i="15"/>
  <c r="H976" i="15"/>
  <c r="V976" i="15"/>
  <c r="Z984" i="15"/>
  <c r="M988" i="15"/>
  <c r="L988" i="15"/>
  <c r="AA988" i="15"/>
  <c r="AA1036" i="15"/>
  <c r="M1065" i="15"/>
  <c r="L1065" i="15"/>
  <c r="U1083" i="15"/>
  <c r="K1083" i="15"/>
  <c r="N1083" i="15" s="1"/>
  <c r="J1083" i="15"/>
  <c r="H1083" i="15"/>
  <c r="V1083" i="15"/>
  <c r="M1181" i="15"/>
  <c r="L1181" i="15"/>
  <c r="K827" i="15"/>
  <c r="U827" i="15"/>
  <c r="X829" i="15"/>
  <c r="H831" i="15"/>
  <c r="Z831" i="15"/>
  <c r="J833" i="15"/>
  <c r="V835" i="15"/>
  <c r="H839" i="15"/>
  <c r="Z839" i="15"/>
  <c r="J841" i="15"/>
  <c r="V843" i="15"/>
  <c r="H847" i="15"/>
  <c r="Z847" i="15"/>
  <c r="J849" i="15"/>
  <c r="V851" i="15"/>
  <c r="H855" i="15"/>
  <c r="Z855" i="15"/>
  <c r="J857" i="15"/>
  <c r="V859" i="15"/>
  <c r="H863" i="15"/>
  <c r="Z863" i="15"/>
  <c r="J865" i="15"/>
  <c r="U990" i="15"/>
  <c r="U988" i="15"/>
  <c r="K914" i="15"/>
  <c r="U914" i="15"/>
  <c r="H918" i="15"/>
  <c r="AA918" i="15"/>
  <c r="X924" i="15"/>
  <c r="V928" i="15"/>
  <c r="K930" i="15"/>
  <c r="U930" i="15"/>
  <c r="H934" i="15"/>
  <c r="AA934" i="15"/>
  <c r="X940" i="15"/>
  <c r="V944" i="15"/>
  <c r="K946" i="15"/>
  <c r="U946" i="15"/>
  <c r="H950" i="15"/>
  <c r="AA950" i="15"/>
  <c r="X956" i="15"/>
  <c r="V960" i="15"/>
  <c r="K962" i="15"/>
  <c r="U962" i="15"/>
  <c r="H966" i="15"/>
  <c r="AA966" i="15"/>
  <c r="V972" i="15"/>
  <c r="X976" i="15"/>
  <c r="X978" i="15"/>
  <c r="U984" i="15"/>
  <c r="U986" i="15"/>
  <c r="L1045" i="15"/>
  <c r="Q1045" i="15" s="1"/>
  <c r="L827" i="15"/>
  <c r="J918" i="15"/>
  <c r="J934" i="15"/>
  <c r="J950" i="15"/>
  <c r="J966" i="15"/>
  <c r="M970" i="15"/>
  <c r="L970" i="15"/>
  <c r="V974" i="15"/>
  <c r="U974" i="15"/>
  <c r="K974" i="15"/>
  <c r="N974" i="15" s="1"/>
  <c r="J974" i="15"/>
  <c r="X974" i="15"/>
  <c r="Y976" i="15"/>
  <c r="Z982" i="15"/>
  <c r="Y982" i="15"/>
  <c r="X982" i="15"/>
  <c r="J982" i="15"/>
  <c r="U982" i="15"/>
  <c r="V992" i="15"/>
  <c r="L1053" i="15"/>
  <c r="Q1053" i="15" s="1"/>
  <c r="Y970" i="15"/>
  <c r="X972" i="15"/>
  <c r="V978" i="15"/>
  <c r="J984" i="15"/>
  <c r="H986" i="15"/>
  <c r="AA986" i="15"/>
  <c r="Z988" i="15"/>
  <c r="V1047" i="15"/>
  <c r="V1051" i="15"/>
  <c r="V1071" i="15"/>
  <c r="J1081" i="15"/>
  <c r="H1081" i="15"/>
  <c r="V1081" i="15"/>
  <c r="U1091" i="15"/>
  <c r="M1167" i="15"/>
  <c r="R1167" i="15" s="1"/>
  <c r="H1063" i="15"/>
  <c r="U1063" i="15"/>
  <c r="U1067" i="15"/>
  <c r="K1067" i="15"/>
  <c r="N1067" i="15" s="1"/>
  <c r="J1067" i="15"/>
  <c r="M1071" i="15"/>
  <c r="L1071" i="15"/>
  <c r="V1085" i="15"/>
  <c r="V1105" i="15"/>
  <c r="L1113" i="15"/>
  <c r="M1113" i="15"/>
  <c r="V986" i="15"/>
  <c r="U1055" i="15"/>
  <c r="V1063" i="15"/>
  <c r="V1067" i="15"/>
  <c r="N1101" i="15"/>
  <c r="L1119" i="15"/>
  <c r="Q1119" i="15" s="1"/>
  <c r="U1193" i="15"/>
  <c r="K1193" i="15"/>
  <c r="J1193" i="15"/>
  <c r="H1193" i="15"/>
  <c r="V1193" i="15"/>
  <c r="L1223" i="15"/>
  <c r="M1223" i="15"/>
  <c r="X984" i="15"/>
  <c r="V988" i="15"/>
  <c r="U1115" i="15"/>
  <c r="U1099" i="15"/>
  <c r="U1087" i="15"/>
  <c r="U1107" i="15"/>
  <c r="U1101" i="15"/>
  <c r="U1085" i="15"/>
  <c r="U1071" i="15"/>
  <c r="U1117" i="15"/>
  <c r="U1041" i="15"/>
  <c r="M1073" i="15"/>
  <c r="L1073" i="15"/>
  <c r="K1081" i="15"/>
  <c r="M1221" i="15"/>
  <c r="L1221" i="15"/>
  <c r="V970" i="15"/>
  <c r="K972" i="15"/>
  <c r="U972" i="15"/>
  <c r="H978" i="15"/>
  <c r="AA978" i="15"/>
  <c r="Y984" i="15"/>
  <c r="X986" i="15"/>
  <c r="K992" i="15"/>
  <c r="U992" i="15"/>
  <c r="K1043" i="15"/>
  <c r="U1043" i="15"/>
  <c r="H1047" i="15"/>
  <c r="H1051" i="15"/>
  <c r="J1063" i="15"/>
  <c r="L1083" i="15"/>
  <c r="Q1083" i="15" s="1"/>
  <c r="V1097" i="15"/>
  <c r="J1103" i="15"/>
  <c r="K1103" i="15"/>
  <c r="H1103" i="15"/>
  <c r="V1103" i="15"/>
  <c r="J1109" i="15"/>
  <c r="H1109" i="15"/>
  <c r="K1109" i="15"/>
  <c r="N1109" i="15" s="1"/>
  <c r="L1191" i="15"/>
  <c r="M1191" i="15"/>
  <c r="J978" i="15"/>
  <c r="J1047" i="15"/>
  <c r="J1051" i="15"/>
  <c r="U1061" i="15"/>
  <c r="K1063" i="15"/>
  <c r="N1063" i="15" s="1"/>
  <c r="J1065" i="15"/>
  <c r="H1065" i="15"/>
  <c r="H1067" i="15"/>
  <c r="V1069" i="15"/>
  <c r="H1079" i="15"/>
  <c r="V1079" i="15"/>
  <c r="L1097" i="15"/>
  <c r="M1097" i="15"/>
  <c r="M1099" i="15"/>
  <c r="L1099" i="15"/>
  <c r="V1251" i="15"/>
  <c r="V1253" i="15"/>
  <c r="J1177" i="15"/>
  <c r="K1177" i="15"/>
  <c r="N1177" i="15" s="1"/>
  <c r="V1177" i="15"/>
  <c r="H1177" i="15"/>
  <c r="U1177" i="15"/>
  <c r="M1215" i="15"/>
  <c r="L1215" i="15"/>
  <c r="M1217" i="15"/>
  <c r="L1217" i="15"/>
  <c r="H1055" i="15"/>
  <c r="K1059" i="15"/>
  <c r="U1059" i="15"/>
  <c r="V1061" i="15"/>
  <c r="H1071" i="15"/>
  <c r="J1073" i="15"/>
  <c r="K1075" i="15"/>
  <c r="U1075" i="15"/>
  <c r="L1077" i="15"/>
  <c r="Q1077" i="15" s="1"/>
  <c r="V1077" i="15"/>
  <c r="J1087" i="15"/>
  <c r="J1089" i="15"/>
  <c r="J1093" i="15"/>
  <c r="H1093" i="15"/>
  <c r="V1093" i="15"/>
  <c r="M1107" i="15"/>
  <c r="U1111" i="15"/>
  <c r="K1111" i="15"/>
  <c r="J1111" i="15"/>
  <c r="H1111" i="15"/>
  <c r="U1167" i="15"/>
  <c r="J1205" i="15"/>
  <c r="K1205" i="15"/>
  <c r="N1205" i="15" s="1"/>
  <c r="V1205" i="15"/>
  <c r="H1205" i="15"/>
  <c r="U1205" i="15"/>
  <c r="J1055" i="15"/>
  <c r="V1059" i="15"/>
  <c r="H1069" i="15"/>
  <c r="J1071" i="15"/>
  <c r="K1073" i="15"/>
  <c r="N1073" i="15" s="1"/>
  <c r="U1073" i="15"/>
  <c r="L1075" i="15"/>
  <c r="Q1075" i="15" s="1"/>
  <c r="V1075" i="15"/>
  <c r="H1085" i="15"/>
  <c r="V1309" i="15"/>
  <c r="V1307" i="15"/>
  <c r="V1181" i="15"/>
  <c r="U1239" i="15"/>
  <c r="U1235" i="15"/>
  <c r="U1219" i="15"/>
  <c r="U1243" i="15"/>
  <c r="U1255" i="15"/>
  <c r="U1191" i="15"/>
  <c r="U1189" i="15"/>
  <c r="U1223" i="15"/>
  <c r="U1179" i="15"/>
  <c r="U1227" i="15"/>
  <c r="U1215" i="15"/>
  <c r="U1199" i="15"/>
  <c r="U1183" i="15"/>
  <c r="U1173" i="15"/>
  <c r="U1187" i="15"/>
  <c r="M1173" i="15"/>
  <c r="J1195" i="15"/>
  <c r="H1195" i="15"/>
  <c r="L1255" i="15"/>
  <c r="M1255" i="15"/>
  <c r="V1073" i="15"/>
  <c r="U1089" i="15"/>
  <c r="K1089" i="15"/>
  <c r="N1089" i="15" s="1"/>
  <c r="U1095" i="15"/>
  <c r="K1095" i="15"/>
  <c r="J1095" i="15"/>
  <c r="H1095" i="15"/>
  <c r="V1115" i="15"/>
  <c r="M1117" i="15"/>
  <c r="L1117" i="15"/>
  <c r="M1171" i="15"/>
  <c r="L1171" i="15"/>
  <c r="M1195" i="15"/>
  <c r="L1195" i="15"/>
  <c r="U1201" i="15"/>
  <c r="K1201" i="15"/>
  <c r="V1201" i="15"/>
  <c r="K1209" i="15"/>
  <c r="J1209" i="15"/>
  <c r="U1209" i="15"/>
  <c r="H1209" i="15"/>
  <c r="M1339" i="15"/>
  <c r="L1339" i="15"/>
  <c r="K1069" i="15"/>
  <c r="U1069" i="15"/>
  <c r="K1085" i="15"/>
  <c r="N1085" i="15" s="1"/>
  <c r="K1093" i="15"/>
  <c r="N1093" i="15" s="1"/>
  <c r="V1095" i="15"/>
  <c r="U1105" i="15"/>
  <c r="K1105" i="15"/>
  <c r="J1119" i="15"/>
  <c r="V1119" i="15"/>
  <c r="K1119" i="15"/>
  <c r="N1119" i="15" s="1"/>
  <c r="U1119" i="15"/>
  <c r="H1119" i="15"/>
  <c r="U1185" i="15"/>
  <c r="K1185" i="15"/>
  <c r="V1185" i="15"/>
  <c r="M1189" i="15"/>
  <c r="L1189" i="15"/>
  <c r="V1191" i="15"/>
  <c r="U1231" i="15"/>
  <c r="L1093" i="15"/>
  <c r="Q1093" i="15" s="1"/>
  <c r="V1099" i="15"/>
  <c r="M1101" i="15"/>
  <c r="L1101" i="15"/>
  <c r="V1113" i="15"/>
  <c r="M1115" i="15"/>
  <c r="L1115" i="15"/>
  <c r="U1169" i="15"/>
  <c r="K1169" i="15"/>
  <c r="J1169" i="15"/>
  <c r="H1169" i="15"/>
  <c r="M1205" i="15"/>
  <c r="Q1205" i="15" s="1"/>
  <c r="V1091" i="15"/>
  <c r="H1101" i="15"/>
  <c r="V1107" i="15"/>
  <c r="H1117" i="15"/>
  <c r="U1171" i="15"/>
  <c r="J1223" i="15"/>
  <c r="H1223" i="15"/>
  <c r="K1223" i="15"/>
  <c r="N1223" i="15" s="1"/>
  <c r="V1223" i="15"/>
  <c r="H1225" i="15"/>
  <c r="K1225" i="15"/>
  <c r="N1225" i="15" s="1"/>
  <c r="V1225" i="15"/>
  <c r="J1301" i="15"/>
  <c r="H1301" i="15"/>
  <c r="W1301" i="15"/>
  <c r="U1301" i="15"/>
  <c r="K1301" i="15"/>
  <c r="N1301" i="15" s="1"/>
  <c r="H1207" i="15"/>
  <c r="U1207" i="15"/>
  <c r="L1211" i="15"/>
  <c r="M1307" i="15"/>
  <c r="L1307" i="15"/>
  <c r="J1097" i="15"/>
  <c r="V1101" i="15"/>
  <c r="J1113" i="15"/>
  <c r="V1337" i="15"/>
  <c r="V1341" i="15"/>
  <c r="V1339" i="15"/>
  <c r="U1175" i="15"/>
  <c r="K1175" i="15"/>
  <c r="N1175" i="15" s="1"/>
  <c r="J1179" i="15"/>
  <c r="H1179" i="15"/>
  <c r="M1293" i="15"/>
  <c r="L1293" i="15"/>
  <c r="K1097" i="15"/>
  <c r="U1097" i="15"/>
  <c r="K1113" i="15"/>
  <c r="U1113" i="15"/>
  <c r="H1181" i="15"/>
  <c r="U1181" i="15"/>
  <c r="M1187" i="15"/>
  <c r="L1187" i="15"/>
  <c r="H1197" i="15"/>
  <c r="U1197" i="15"/>
  <c r="M1209" i="15"/>
  <c r="Q1209" i="15" s="1"/>
  <c r="J1225" i="15"/>
  <c r="M1317" i="15"/>
  <c r="L1317" i="15"/>
  <c r="V1371" i="15"/>
  <c r="V1357" i="15"/>
  <c r="J1171" i="15"/>
  <c r="L1227" i="15"/>
  <c r="M1227" i="15"/>
  <c r="M1231" i="15"/>
  <c r="L1231" i="15"/>
  <c r="M1237" i="15"/>
  <c r="L1237" i="15"/>
  <c r="M1355" i="15"/>
  <c r="L1355" i="15"/>
  <c r="U1241" i="15"/>
  <c r="K1241" i="15"/>
  <c r="V1241" i="15"/>
  <c r="M1301" i="15"/>
  <c r="L1301" i="15"/>
  <c r="V1329" i="15"/>
  <c r="V1327" i="15"/>
  <c r="H1173" i="15"/>
  <c r="J1187" i="15"/>
  <c r="H1189" i="15"/>
  <c r="V1199" i="15"/>
  <c r="V1211" i="15"/>
  <c r="L1213" i="15"/>
  <c r="Q1213" i="15" s="1"/>
  <c r="U1221" i="15"/>
  <c r="K1221" i="15"/>
  <c r="J1221" i="15"/>
  <c r="H1221" i="15"/>
  <c r="M1303" i="15"/>
  <c r="L1303" i="15"/>
  <c r="V1305" i="15"/>
  <c r="M1309" i="15"/>
  <c r="L1309" i="15"/>
  <c r="V1187" i="15"/>
  <c r="U1203" i="15"/>
  <c r="K1203" i="15"/>
  <c r="H1203" i="15"/>
  <c r="U1213" i="15"/>
  <c r="K1213" i="15"/>
  <c r="J1241" i="15"/>
  <c r="L1319" i="15"/>
  <c r="M1319" i="15"/>
  <c r="V1189" i="15"/>
  <c r="U1229" i="15"/>
  <c r="K1229" i="15"/>
  <c r="V1231" i="15"/>
  <c r="V1247" i="15"/>
  <c r="U1299" i="15"/>
  <c r="K1299" i="15"/>
  <c r="J1299" i="15"/>
  <c r="H1299" i="15"/>
  <c r="W1299" i="15"/>
  <c r="V1365" i="15"/>
  <c r="H1211" i="15"/>
  <c r="U1211" i="15"/>
  <c r="M1233" i="15"/>
  <c r="L1233" i="15"/>
  <c r="M1245" i="15"/>
  <c r="L1245" i="15"/>
  <c r="L1247" i="15"/>
  <c r="M1247" i="15"/>
  <c r="M1299" i="15"/>
  <c r="L1299" i="15"/>
  <c r="H1325" i="15"/>
  <c r="V1325" i="15"/>
  <c r="U1325" i="15"/>
  <c r="K1325" i="15"/>
  <c r="N1325" i="15" s="1"/>
  <c r="J1325" i="15"/>
  <c r="U1355" i="15"/>
  <c r="K1355" i="15"/>
  <c r="N1355" i="15" s="1"/>
  <c r="J1355" i="15"/>
  <c r="H1355" i="15"/>
  <c r="V1355" i="15"/>
  <c r="W1355" i="15"/>
  <c r="H1217" i="15"/>
  <c r="V1227" i="15"/>
  <c r="H1233" i="15"/>
  <c r="H1253" i="15"/>
  <c r="U1253" i="15"/>
  <c r="K1311" i="15"/>
  <c r="N1311" i="15" s="1"/>
  <c r="W1311" i="15"/>
  <c r="J1311" i="15"/>
  <c r="U1311" i="15"/>
  <c r="V1311" i="15"/>
  <c r="K1313" i="15"/>
  <c r="N1313" i="15" s="1"/>
  <c r="M1363" i="15"/>
  <c r="L1363" i="15"/>
  <c r="V1215" i="15"/>
  <c r="K1217" i="15"/>
  <c r="U1217" i="15"/>
  <c r="J1219" i="15"/>
  <c r="K1233" i="15"/>
  <c r="U1233" i="15"/>
  <c r="J1235" i="15"/>
  <c r="J1251" i="15"/>
  <c r="H1251" i="15"/>
  <c r="U1251" i="15"/>
  <c r="V1319" i="15"/>
  <c r="M1331" i="15"/>
  <c r="L1331" i="15"/>
  <c r="V1367" i="15"/>
  <c r="V1217" i="15"/>
  <c r="V1233" i="15"/>
  <c r="M1243" i="15"/>
  <c r="L1243" i="15"/>
  <c r="U1249" i="15"/>
  <c r="K1249" i="15"/>
  <c r="N1249" i="15" s="1"/>
  <c r="J1249" i="15"/>
  <c r="H1249" i="15"/>
  <c r="H1303" i="15"/>
  <c r="W1303" i="15"/>
  <c r="U1303" i="15"/>
  <c r="W1313" i="15"/>
  <c r="V1313" i="15"/>
  <c r="H1313" i="15"/>
  <c r="U1313" i="15"/>
  <c r="L1335" i="15"/>
  <c r="M1335" i="15"/>
  <c r="M1351" i="15"/>
  <c r="L1351" i="15"/>
  <c r="V1369" i="15"/>
  <c r="V1235" i="15"/>
  <c r="H1237" i="15"/>
  <c r="U1237" i="15"/>
  <c r="V1249" i="15"/>
  <c r="K1253" i="15"/>
  <c r="N1253" i="15" s="1"/>
  <c r="M1295" i="15"/>
  <c r="L1295" i="15"/>
  <c r="V1303" i="15"/>
  <c r="H1311" i="15"/>
  <c r="J1323" i="15"/>
  <c r="H1323" i="15"/>
  <c r="W1323" i="15"/>
  <c r="V1323" i="15"/>
  <c r="U1323" i="15"/>
  <c r="V1239" i="15"/>
  <c r="J1243" i="15"/>
  <c r="H1245" i="15"/>
  <c r="J1293" i="15"/>
  <c r="H1295" i="15"/>
  <c r="H1307" i="15"/>
  <c r="J1309" i="15"/>
  <c r="U1321" i="15"/>
  <c r="K1321" i="15"/>
  <c r="J1321" i="15"/>
  <c r="H1321" i="15"/>
  <c r="K1327" i="15"/>
  <c r="N1327" i="15" s="1"/>
  <c r="L1345" i="15"/>
  <c r="Q1345" i="15" s="1"/>
  <c r="M1349" i="15"/>
  <c r="L1349" i="15"/>
  <c r="V1353" i="15"/>
  <c r="M1367" i="15"/>
  <c r="L1367" i="15"/>
  <c r="V1243" i="15"/>
  <c r="K1245" i="15"/>
  <c r="U1245" i="15"/>
  <c r="J1247" i="15"/>
  <c r="U1333" i="15"/>
  <c r="U1317" i="15"/>
  <c r="U1363" i="15"/>
  <c r="K1295" i="15"/>
  <c r="U1295" i="15"/>
  <c r="J1297" i="15"/>
  <c r="U1331" i="15"/>
  <c r="M1333" i="15"/>
  <c r="L1333" i="15"/>
  <c r="V1335" i="15"/>
  <c r="W1345" i="15"/>
  <c r="U1345" i="15"/>
  <c r="K1345" i="15"/>
  <c r="M1347" i="15"/>
  <c r="L1347" i="15"/>
  <c r="J1357" i="15"/>
  <c r="H1357" i="15"/>
  <c r="W1357" i="15"/>
  <c r="V1245" i="15"/>
  <c r="K1247" i="15"/>
  <c r="U1247" i="15"/>
  <c r="W1293" i="15"/>
  <c r="K1297" i="15"/>
  <c r="N1297" i="15" s="1"/>
  <c r="U1297" i="15"/>
  <c r="V1317" i="15"/>
  <c r="H1341" i="15"/>
  <c r="W1341" i="15"/>
  <c r="V1345" i="15"/>
  <c r="V1351" i="15"/>
  <c r="M1361" i="15"/>
  <c r="L1361" i="15"/>
  <c r="M1365" i="15"/>
  <c r="L1365" i="15"/>
  <c r="U1371" i="15"/>
  <c r="K1371" i="15"/>
  <c r="N1371" i="15" s="1"/>
  <c r="J1371" i="15"/>
  <c r="H1371" i="15"/>
  <c r="U1307" i="15"/>
  <c r="H1309" i="15"/>
  <c r="M1315" i="15"/>
  <c r="L1315" i="15"/>
  <c r="W1329" i="15"/>
  <c r="U1337" i="15"/>
  <c r="K1337" i="15"/>
  <c r="J1337" i="15"/>
  <c r="H1337" i="15"/>
  <c r="J1339" i="15"/>
  <c r="H1339" i="15"/>
  <c r="U1339" i="15"/>
  <c r="U1341" i="15"/>
  <c r="U1343" i="15"/>
  <c r="U1359" i="15"/>
  <c r="V1343" i="15"/>
  <c r="L1359" i="15"/>
  <c r="Q1359" i="15" s="1"/>
  <c r="V1359" i="15"/>
  <c r="K1361" i="15"/>
  <c r="N1361" i="15" s="1"/>
  <c r="U1361" i="15"/>
  <c r="V1361" i="15"/>
  <c r="V1315" i="15"/>
  <c r="V1331" i="15"/>
  <c r="J1335" i="15"/>
  <c r="V1347" i="15"/>
  <c r="K1349" i="15"/>
  <c r="U1349" i="15"/>
  <c r="J1351" i="15"/>
  <c r="H1353" i="15"/>
  <c r="W1361" i="15"/>
  <c r="V1363" i="15"/>
  <c r="K1365" i="15"/>
  <c r="U1365" i="15"/>
  <c r="J1367" i="15"/>
  <c r="H1369" i="15"/>
  <c r="W1315" i="15"/>
  <c r="K1319" i="15"/>
  <c r="U1319" i="15"/>
  <c r="W1331" i="15"/>
  <c r="V1333" i="15"/>
  <c r="K1335" i="15"/>
  <c r="U1335" i="15"/>
  <c r="W1347" i="15"/>
  <c r="V1349" i="15"/>
  <c r="K1351" i="15"/>
  <c r="N1351" i="15" s="1"/>
  <c r="U1351" i="15"/>
  <c r="J1353" i="15"/>
  <c r="K1367" i="15"/>
  <c r="N1367" i="15" s="1"/>
  <c r="U1367" i="15"/>
  <c r="J1369" i="15"/>
  <c r="K1353" i="15"/>
  <c r="U1353" i="15"/>
  <c r="K1369" i="15"/>
  <c r="N1369" i="15" s="1"/>
  <c r="U1369" i="15"/>
  <c r="H1359" i="15"/>
  <c r="X1283" i="15" l="1"/>
  <c r="X1277" i="15"/>
  <c r="X1281" i="15"/>
  <c r="X1285" i="15"/>
  <c r="X1279" i="15"/>
  <c r="AA1283" i="15"/>
  <c r="AA1279" i="15"/>
  <c r="AA1277" i="15"/>
  <c r="AA1281" i="15"/>
  <c r="AA1285" i="15"/>
  <c r="Z1283" i="15"/>
  <c r="Z1277" i="15"/>
  <c r="Z1281" i="15"/>
  <c r="Z1285" i="15"/>
  <c r="Z1279" i="15"/>
  <c r="Y1281" i="15"/>
  <c r="Y1283" i="15"/>
  <c r="Y1277" i="15"/>
  <c r="Y1285" i="15"/>
  <c r="Y1279" i="15"/>
  <c r="AB1145" i="15"/>
  <c r="AA1143" i="15"/>
  <c r="AA1149" i="15"/>
  <c r="AA1147" i="15"/>
  <c r="AA1141" i="15"/>
  <c r="AA1145" i="15"/>
  <c r="X1113" i="15"/>
  <c r="X1149" i="15"/>
  <c r="X1143" i="15"/>
  <c r="X1147" i="15"/>
  <c r="X1145" i="15"/>
  <c r="X1141" i="15"/>
  <c r="Z1143" i="15"/>
  <c r="Z1147" i="15"/>
  <c r="Z1149" i="15"/>
  <c r="Z1141" i="15"/>
  <c r="Z1145" i="15"/>
  <c r="AB1149" i="15"/>
  <c r="AB1147" i="15"/>
  <c r="AB1141" i="15"/>
  <c r="Y1143" i="15"/>
  <c r="Y1147" i="15"/>
  <c r="Y1149" i="15"/>
  <c r="Y1141" i="15"/>
  <c r="Y1145" i="15"/>
  <c r="W1147" i="15"/>
  <c r="W1143" i="15"/>
  <c r="W1149" i="15"/>
  <c r="W1145" i="15"/>
  <c r="W1141" i="15"/>
  <c r="AB1143" i="15"/>
  <c r="W1016" i="15"/>
  <c r="W1014" i="15"/>
  <c r="W1018" i="15"/>
  <c r="W1020" i="15"/>
  <c r="W1022" i="15"/>
  <c r="X1085" i="15"/>
  <c r="X1117" i="15"/>
  <c r="X1105" i="15"/>
  <c r="X1095" i="15"/>
  <c r="S461" i="15"/>
  <c r="S463" i="15"/>
  <c r="S465" i="15"/>
  <c r="S467" i="15"/>
  <c r="S459" i="15"/>
  <c r="S439" i="15"/>
  <c r="X1077" i="15"/>
  <c r="T461" i="15"/>
  <c r="T463" i="15"/>
  <c r="T465" i="15"/>
  <c r="T467" i="15"/>
  <c r="T459" i="15"/>
  <c r="T447" i="15"/>
  <c r="X1063" i="15"/>
  <c r="T332" i="15"/>
  <c r="G332" i="15" s="1"/>
  <c r="T340" i="15"/>
  <c r="G340" i="15" s="1"/>
  <c r="T336" i="15"/>
  <c r="G336" i="15" s="1"/>
  <c r="T334" i="15"/>
  <c r="G334" i="15" s="1"/>
  <c r="T338" i="15"/>
  <c r="G338" i="15" s="1"/>
  <c r="X1115" i="15"/>
  <c r="T208" i="15"/>
  <c r="T204" i="15"/>
  <c r="T210" i="15"/>
  <c r="T212" i="15"/>
  <c r="T206" i="15"/>
  <c r="S208" i="15"/>
  <c r="S206" i="15"/>
  <c r="S212" i="15"/>
  <c r="S210" i="15"/>
  <c r="S204" i="15"/>
  <c r="X1081" i="15"/>
  <c r="X1109" i="15"/>
  <c r="X1079" i="15"/>
  <c r="X1075" i="15"/>
  <c r="X1083" i="15"/>
  <c r="X1051" i="15"/>
  <c r="X1111" i="15"/>
  <c r="X1091" i="15"/>
  <c r="X1099" i="15"/>
  <c r="X1107" i="15"/>
  <c r="X1055" i="15"/>
  <c r="X1119" i="15"/>
  <c r="X1103" i="15"/>
  <c r="X1087" i="15"/>
  <c r="X1057" i="15"/>
  <c r="X1065" i="15"/>
  <c r="X1067" i="15"/>
  <c r="X1059" i="15"/>
  <c r="X1069" i="15"/>
  <c r="X1049" i="15"/>
  <c r="X1061" i="15"/>
  <c r="X1043" i="15"/>
  <c r="X1041" i="15"/>
  <c r="X1123" i="15"/>
  <c r="X1093" i="15"/>
  <c r="X1071" i="15"/>
  <c r="X1073" i="15"/>
  <c r="X1089" i="15"/>
  <c r="AA1175" i="15"/>
  <c r="AA1269" i="15"/>
  <c r="AA1273" i="15"/>
  <c r="AA1267" i="15"/>
  <c r="AA1275" i="15"/>
  <c r="AA1271" i="15"/>
  <c r="Y1269" i="15"/>
  <c r="Y1273" i="15"/>
  <c r="Y1271" i="15"/>
  <c r="Y1275" i="15"/>
  <c r="Y1267" i="15"/>
  <c r="Z1269" i="15"/>
  <c r="Z1267" i="15"/>
  <c r="Z1275" i="15"/>
  <c r="Z1271" i="15"/>
  <c r="Z1273" i="15"/>
  <c r="X1267" i="15"/>
  <c r="X1271" i="15"/>
  <c r="X1275" i="15"/>
  <c r="X1273" i="15"/>
  <c r="X1269" i="15"/>
  <c r="Y1133" i="15"/>
  <c r="Y1139" i="15"/>
  <c r="Y1135" i="15"/>
  <c r="Y1131" i="15"/>
  <c r="Y1137" i="15"/>
  <c r="W1131" i="15"/>
  <c r="W1139" i="15"/>
  <c r="W1133" i="15"/>
  <c r="W1137" i="15"/>
  <c r="W1135" i="15"/>
  <c r="AB1135" i="15"/>
  <c r="X1121" i="15"/>
  <c r="X1137" i="15"/>
  <c r="X1133" i="15"/>
  <c r="X1135" i="15"/>
  <c r="X1139" i="15"/>
  <c r="X1131" i="15"/>
  <c r="AB1137" i="15"/>
  <c r="AA1133" i="15"/>
  <c r="AA1135" i="15"/>
  <c r="AA1131" i="15"/>
  <c r="AA1137" i="15"/>
  <c r="AA1139" i="15"/>
  <c r="AB1139" i="15"/>
  <c r="AB1131" i="15"/>
  <c r="Z1135" i="15"/>
  <c r="Z1131" i="15"/>
  <c r="Z1137" i="15"/>
  <c r="Z1133" i="15"/>
  <c r="Z1139" i="15"/>
  <c r="AB1133" i="15"/>
  <c r="W1006" i="15"/>
  <c r="W1012" i="15"/>
  <c r="W1010" i="15"/>
  <c r="W1004" i="15"/>
  <c r="W1008" i="15"/>
  <c r="X1047" i="15"/>
  <c r="K413" i="15"/>
  <c r="N413" i="15" s="1"/>
  <c r="T449" i="15"/>
  <c r="T451" i="15"/>
  <c r="T453" i="15"/>
  <c r="T455" i="15"/>
  <c r="T457" i="15"/>
  <c r="S451" i="15"/>
  <c r="S453" i="15"/>
  <c r="S455" i="15"/>
  <c r="S457" i="15"/>
  <c r="S449" i="15"/>
  <c r="T324" i="15"/>
  <c r="G324" i="15" s="1"/>
  <c r="T330" i="15"/>
  <c r="G330" i="15" s="1"/>
  <c r="T322" i="15"/>
  <c r="G322" i="15" s="1"/>
  <c r="T328" i="15"/>
  <c r="G328" i="15" s="1"/>
  <c r="T326" i="15"/>
  <c r="G326" i="15" s="1"/>
  <c r="S194" i="15"/>
  <c r="S196" i="15"/>
  <c r="S198" i="15"/>
  <c r="S200" i="15"/>
  <c r="S202" i="15"/>
  <c r="X1125" i="15"/>
  <c r="T198" i="15"/>
  <c r="T200" i="15"/>
  <c r="T194" i="15"/>
  <c r="T196" i="15"/>
  <c r="T202" i="15"/>
  <c r="X1045" i="15"/>
  <c r="X1053" i="15"/>
  <c r="X1127" i="15"/>
  <c r="AB522" i="15"/>
  <c r="X1129" i="15"/>
  <c r="W928" i="15"/>
  <c r="W996" i="15"/>
  <c r="W998" i="15"/>
  <c r="W1002" i="15"/>
  <c r="W1000" i="15"/>
  <c r="W994" i="15"/>
  <c r="D34" i="10"/>
  <c r="D28" i="10"/>
  <c r="T134" i="15"/>
  <c r="T186" i="15"/>
  <c r="T190" i="15"/>
  <c r="T192" i="15"/>
  <c r="T188" i="15"/>
  <c r="T184" i="15"/>
  <c r="S110" i="15"/>
  <c r="S186" i="15"/>
  <c r="S188" i="15"/>
  <c r="S190" i="15"/>
  <c r="S184" i="15"/>
  <c r="S192" i="15"/>
  <c r="AB215" i="15"/>
  <c r="AB217" i="15"/>
  <c r="AB216" i="15"/>
  <c r="T246" i="15"/>
  <c r="G246" i="15" s="1"/>
  <c r="T316" i="15"/>
  <c r="G316" i="15" s="1"/>
  <c r="T318" i="15"/>
  <c r="G318" i="15" s="1"/>
  <c r="T312" i="15"/>
  <c r="G312" i="15" s="1"/>
  <c r="T314" i="15"/>
  <c r="G314" i="15" s="1"/>
  <c r="T320" i="15"/>
  <c r="G320" i="15" s="1"/>
  <c r="S429" i="15"/>
  <c r="S447" i="15"/>
  <c r="S441" i="15"/>
  <c r="S445" i="15"/>
  <c r="S443" i="15"/>
  <c r="T373" i="15"/>
  <c r="T445" i="15"/>
  <c r="T439" i="15"/>
  <c r="T441" i="15"/>
  <c r="T443" i="15"/>
  <c r="AB1123" i="15"/>
  <c r="W1093" i="15"/>
  <c r="W1127" i="15"/>
  <c r="W1125" i="15"/>
  <c r="W1123" i="15"/>
  <c r="W1121" i="15"/>
  <c r="W1129" i="15"/>
  <c r="AB1127" i="15"/>
  <c r="AB1121" i="15"/>
  <c r="Z1057" i="15"/>
  <c r="Z1123" i="15"/>
  <c r="Z1127" i="15"/>
  <c r="Z1125" i="15"/>
  <c r="Z1121" i="15"/>
  <c r="Z1129" i="15"/>
  <c r="AB1129" i="15"/>
  <c r="AA1045" i="15"/>
  <c r="AA1121" i="15"/>
  <c r="AA1125" i="15"/>
  <c r="AA1127" i="15"/>
  <c r="AA1123" i="15"/>
  <c r="AA1129" i="15"/>
  <c r="Y1081" i="15"/>
  <c r="Y1129" i="15"/>
  <c r="Y1121" i="15"/>
  <c r="Y1127" i="15"/>
  <c r="Y1125" i="15"/>
  <c r="Y1123" i="15"/>
  <c r="AB1125" i="15"/>
  <c r="AA1193" i="15"/>
  <c r="AA1261" i="15"/>
  <c r="AA1263" i="15"/>
  <c r="AA1265" i="15"/>
  <c r="AA1259" i="15"/>
  <c r="AA1257" i="15"/>
  <c r="Y1177" i="15"/>
  <c r="Y1259" i="15"/>
  <c r="Y1263" i="15"/>
  <c r="Y1257" i="15"/>
  <c r="Y1261" i="15"/>
  <c r="Y1265" i="15"/>
  <c r="Z1181" i="15"/>
  <c r="Z1259" i="15"/>
  <c r="Z1261" i="15"/>
  <c r="Z1257" i="15"/>
  <c r="Z1265" i="15"/>
  <c r="Z1263" i="15"/>
  <c r="X1185" i="15"/>
  <c r="X1257" i="15"/>
  <c r="X1263" i="15"/>
  <c r="X1259" i="15"/>
  <c r="X1261" i="15"/>
  <c r="X1265" i="15"/>
  <c r="W1073" i="15"/>
  <c r="W1109" i="15"/>
  <c r="T433" i="15"/>
  <c r="S176" i="15"/>
  <c r="AB710" i="15"/>
  <c r="Z1099" i="15"/>
  <c r="Z1091" i="15"/>
  <c r="V914" i="15"/>
  <c r="W1079" i="15"/>
  <c r="T427" i="15"/>
  <c r="T401" i="15"/>
  <c r="T419" i="15"/>
  <c r="T403" i="15"/>
  <c r="T417" i="15"/>
  <c r="X1195" i="15"/>
  <c r="K817" i="15"/>
  <c r="N817" i="15" s="1"/>
  <c r="T415" i="15"/>
  <c r="AB577" i="15"/>
  <c r="T399" i="15"/>
  <c r="T405" i="15"/>
  <c r="T425" i="15"/>
  <c r="AB523" i="15"/>
  <c r="AB561" i="15"/>
  <c r="T423" i="15"/>
  <c r="T429" i="15"/>
  <c r="L816" i="15"/>
  <c r="T421" i="15"/>
  <c r="T397" i="15"/>
  <c r="V918" i="15"/>
  <c r="V920" i="15"/>
  <c r="T268" i="15"/>
  <c r="G268" i="15" s="1"/>
  <c r="T252" i="15"/>
  <c r="G252" i="15" s="1"/>
  <c r="T266" i="15"/>
  <c r="G266" i="15" s="1"/>
  <c r="T282" i="15"/>
  <c r="G282" i="15" s="1"/>
  <c r="T242" i="15"/>
  <c r="G242" i="15" s="1"/>
  <c r="T298" i="15"/>
  <c r="G298" i="15" s="1"/>
  <c r="S162" i="15"/>
  <c r="S136" i="15"/>
  <c r="T300" i="15"/>
  <c r="G300" i="15" s="1"/>
  <c r="S106" i="15"/>
  <c r="S160" i="15"/>
  <c r="AA1079" i="15"/>
  <c r="S116" i="15"/>
  <c r="T274" i="15"/>
  <c r="G274" i="15" s="1"/>
  <c r="T234" i="15"/>
  <c r="G234" i="15" s="1"/>
  <c r="S138" i="15"/>
  <c r="T306" i="15"/>
  <c r="G306" i="15" s="1"/>
  <c r="T290" i="15"/>
  <c r="G290" i="15" s="1"/>
  <c r="T284" i="15"/>
  <c r="G284" i="15" s="1"/>
  <c r="T250" i="15"/>
  <c r="G250" i="15" s="1"/>
  <c r="T238" i="15"/>
  <c r="G238" i="15" s="1"/>
  <c r="S178" i="15"/>
  <c r="S104" i="15"/>
  <c r="S132" i="15"/>
  <c r="S174" i="15"/>
  <c r="S158" i="15"/>
  <c r="Q952" i="15"/>
  <c r="S152" i="15"/>
  <c r="S108" i="15"/>
  <c r="S172" i="15"/>
  <c r="S156" i="15"/>
  <c r="S146" i="15"/>
  <c r="S114" i="15"/>
  <c r="S144" i="15"/>
  <c r="S112" i="15"/>
  <c r="S150" i="15"/>
  <c r="S134" i="15"/>
  <c r="S118" i="15"/>
  <c r="S170" i="15"/>
  <c r="S154" i="15"/>
  <c r="Z1063" i="15"/>
  <c r="S148" i="15"/>
  <c r="S124" i="15"/>
  <c r="S168" i="15"/>
  <c r="S122" i="15"/>
  <c r="S120" i="15"/>
  <c r="S182" i="15"/>
  <c r="S166" i="15"/>
  <c r="Z1109" i="15"/>
  <c r="Y1103" i="15"/>
  <c r="Z1047" i="15"/>
  <c r="Z1067" i="15"/>
  <c r="S140" i="15"/>
  <c r="S180" i="15"/>
  <c r="S164" i="15"/>
  <c r="S130" i="15"/>
  <c r="S128" i="15"/>
  <c r="S142" i="15"/>
  <c r="S126" i="15"/>
  <c r="AA1213" i="15"/>
  <c r="Z1107" i="15"/>
  <c r="Z1093" i="15"/>
  <c r="Z1051" i="15"/>
  <c r="Z1083" i="15"/>
  <c r="Z1103" i="15"/>
  <c r="R1341" i="15"/>
  <c r="G1341" i="15" s="1"/>
  <c r="AA1085" i="15"/>
  <c r="Z1087" i="15"/>
  <c r="Z1079" i="15"/>
  <c r="Z1081" i="15"/>
  <c r="Z1089" i="15"/>
  <c r="Z1045" i="15"/>
  <c r="Z1105" i="15"/>
  <c r="Z1069" i="15"/>
  <c r="W982" i="15"/>
  <c r="Z1049" i="15"/>
  <c r="T502" i="15"/>
  <c r="T494" i="15"/>
  <c r="Y1107" i="15"/>
  <c r="AA1071" i="15"/>
  <c r="Y1097" i="15"/>
  <c r="Y1089" i="15"/>
  <c r="Z1053" i="15"/>
  <c r="T407" i="15"/>
  <c r="R1079" i="15"/>
  <c r="G1079" i="15" s="1"/>
  <c r="T500" i="15"/>
  <c r="X1215" i="15"/>
  <c r="X1223" i="15"/>
  <c r="X1177" i="15"/>
  <c r="X1211" i="15"/>
  <c r="X1179" i="15"/>
  <c r="X1243" i="15"/>
  <c r="X1207" i="15"/>
  <c r="X1225" i="15"/>
  <c r="T146" i="15"/>
  <c r="T395" i="15"/>
  <c r="T162" i="15"/>
  <c r="T437" i="15"/>
  <c r="T106" i="15"/>
  <c r="S407" i="15"/>
  <c r="S395" i="15"/>
  <c r="Y1067" i="15"/>
  <c r="AA1217" i="15"/>
  <c r="AA1173" i="15"/>
  <c r="Y1181" i="15"/>
  <c r="Y1185" i="15"/>
  <c r="AB1107" i="15"/>
  <c r="Y1079" i="15"/>
  <c r="AB1117" i="15"/>
  <c r="AB1085" i="15"/>
  <c r="AB1055" i="15"/>
  <c r="Y1083" i="15"/>
  <c r="Y1053" i="15"/>
  <c r="S415" i="15"/>
  <c r="T498" i="15"/>
  <c r="T178" i="15"/>
  <c r="T158" i="15"/>
  <c r="T130" i="15"/>
  <c r="T114" i="15"/>
  <c r="S435" i="15"/>
  <c r="T112" i="15"/>
  <c r="W960" i="15"/>
  <c r="T118" i="15"/>
  <c r="S431" i="15"/>
  <c r="AA1251" i="15"/>
  <c r="AA1171" i="15"/>
  <c r="Y1171" i="15"/>
  <c r="AA1225" i="15"/>
  <c r="AA1201" i="15"/>
  <c r="AA1177" i="15"/>
  <c r="T176" i="15"/>
  <c r="T156" i="15"/>
  <c r="AA1223" i="15"/>
  <c r="T160" i="15"/>
  <c r="AA1245" i="15"/>
  <c r="AA1203" i="15"/>
  <c r="Z1197" i="15"/>
  <c r="AA1181" i="15"/>
  <c r="Y1119" i="15"/>
  <c r="Y1109" i="15"/>
  <c r="Y1063" i="15"/>
  <c r="AB1099" i="15"/>
  <c r="T174" i="15"/>
  <c r="T154" i="15"/>
  <c r="Y1113" i="15"/>
  <c r="Y1169" i="15"/>
  <c r="Y1105" i="15"/>
  <c r="AB1081" i="15"/>
  <c r="AA1207" i="15"/>
  <c r="Y1065" i="15"/>
  <c r="AA1249" i="15"/>
  <c r="Y1221" i="15"/>
  <c r="Y1223" i="15"/>
  <c r="AA1209" i="15"/>
  <c r="Y1193" i="15"/>
  <c r="Y1077" i="15"/>
  <c r="S423" i="15"/>
  <c r="T172" i="15"/>
  <c r="T138" i="15"/>
  <c r="AA1237" i="15"/>
  <c r="AA1253" i="15"/>
  <c r="AA1197" i="15"/>
  <c r="AA1179" i="15"/>
  <c r="AA1195" i="15"/>
  <c r="Y1061" i="15"/>
  <c r="Y1195" i="15"/>
  <c r="S516" i="15"/>
  <c r="S401" i="15"/>
  <c r="T142" i="15"/>
  <c r="T170" i="15"/>
  <c r="T126" i="15"/>
  <c r="AA1233" i="15"/>
  <c r="AA1221" i="15"/>
  <c r="AA1189" i="15"/>
  <c r="S399" i="15"/>
  <c r="T168" i="15"/>
  <c r="N49" i="15"/>
  <c r="N130" i="15"/>
  <c r="K864" i="15"/>
  <c r="K865" i="15" s="1"/>
  <c r="AA1111" i="15"/>
  <c r="Y1253" i="15"/>
  <c r="S510" i="15"/>
  <c r="G510" i="15" s="1"/>
  <c r="N409" i="15"/>
  <c r="AB1115" i="15"/>
  <c r="AA1067" i="15"/>
  <c r="AA1069" i="15"/>
  <c r="AB1075" i="15"/>
  <c r="X1203" i="15"/>
  <c r="X1239" i="15"/>
  <c r="X1253" i="15"/>
  <c r="X1229" i="15"/>
  <c r="Y1213" i="15"/>
  <c r="AB1113" i="15"/>
  <c r="X1209" i="15"/>
  <c r="Y1201" i="15"/>
  <c r="AB1073" i="15"/>
  <c r="X1187" i="15"/>
  <c r="Z1177" i="15"/>
  <c r="AB520" i="15"/>
  <c r="T182" i="15"/>
  <c r="T166" i="15"/>
  <c r="T120" i="15"/>
  <c r="AA1101" i="15"/>
  <c r="AB1091" i="15"/>
  <c r="X1201" i="15"/>
  <c r="AA1087" i="15"/>
  <c r="S421" i="15"/>
  <c r="Y1239" i="15"/>
  <c r="Y1237" i="15"/>
  <c r="X1227" i="15"/>
  <c r="Y1229" i="15"/>
  <c r="X1241" i="15"/>
  <c r="W1117" i="15"/>
  <c r="W1095" i="15"/>
  <c r="Y1209" i="15"/>
  <c r="AB1089" i="15"/>
  <c r="R1179" i="15"/>
  <c r="G1179" i="15" s="1"/>
  <c r="AA1055" i="15"/>
  <c r="AA1109" i="15"/>
  <c r="W1103" i="15"/>
  <c r="AA1063" i="15"/>
  <c r="AA1081" i="15"/>
  <c r="AB1097" i="15"/>
  <c r="S427" i="15"/>
  <c r="S419" i="15"/>
  <c r="T180" i="15"/>
  <c r="T164" i="15"/>
  <c r="T122" i="15"/>
  <c r="AB1093" i="15"/>
  <c r="X1205" i="15"/>
  <c r="AA1103" i="15"/>
  <c r="S411" i="15"/>
  <c r="Y1225" i="15"/>
  <c r="AA1093" i="15"/>
  <c r="Z1237" i="15"/>
  <c r="Y1249" i="15"/>
  <c r="X1251" i="15"/>
  <c r="Y1241" i="15"/>
  <c r="Z1175" i="15"/>
  <c r="AA1117" i="15"/>
  <c r="AB1105" i="15"/>
  <c r="X1169" i="15"/>
  <c r="AB1109" i="15"/>
  <c r="AA1095" i="15"/>
  <c r="AB1087" i="15"/>
  <c r="Z1171" i="15"/>
  <c r="AA1065" i="15"/>
  <c r="AA1051" i="15"/>
  <c r="AB1119" i="15"/>
  <c r="W1049" i="15"/>
  <c r="S403" i="15"/>
  <c r="S425" i="15"/>
  <c r="S417" i="15"/>
  <c r="S405" i="15"/>
  <c r="S413" i="15"/>
  <c r="Y1197" i="15"/>
  <c r="Y1207" i="15"/>
  <c r="Z1201" i="15"/>
  <c r="AA1089" i="15"/>
  <c r="AB1083" i="15"/>
  <c r="AB1111" i="15"/>
  <c r="AA1047" i="15"/>
  <c r="AB1077" i="15"/>
  <c r="AB1095" i="15"/>
  <c r="AB1065" i="15"/>
  <c r="AB575" i="15"/>
  <c r="S437" i="15"/>
  <c r="S397" i="15"/>
  <c r="L792" i="15"/>
  <c r="K793" i="15"/>
  <c r="N793" i="15" s="1"/>
  <c r="N154" i="15"/>
  <c r="N421" i="15"/>
  <c r="N156" i="15"/>
  <c r="N425" i="15"/>
  <c r="R732" i="15"/>
  <c r="G732" i="15" s="1"/>
  <c r="K794" i="15"/>
  <c r="L794" i="15" s="1"/>
  <c r="N361" i="15"/>
  <c r="M803" i="15"/>
  <c r="Q803" i="15" s="1"/>
  <c r="L809" i="15"/>
  <c r="N809" i="15" s="1"/>
  <c r="Q1091" i="15"/>
  <c r="K840" i="15"/>
  <c r="K841" i="15" s="1"/>
  <c r="Q1199" i="15"/>
  <c r="Q1353" i="15"/>
  <c r="Q938" i="15"/>
  <c r="Q1105" i="15"/>
  <c r="AB134" i="15"/>
  <c r="N51" i="15"/>
  <c r="K848" i="15"/>
  <c r="K849" i="15" s="1"/>
  <c r="AB142" i="15"/>
  <c r="R1107" i="15"/>
  <c r="G1107" i="15" s="1"/>
  <c r="L808" i="15"/>
  <c r="R676" i="15"/>
  <c r="G676" i="15" s="1"/>
  <c r="K862" i="15"/>
  <c r="L862" i="15" s="1"/>
  <c r="R716" i="15"/>
  <c r="G716" i="15" s="1"/>
  <c r="M823" i="15"/>
  <c r="Q823" i="15" s="1"/>
  <c r="N128" i="15"/>
  <c r="L821" i="15"/>
  <c r="N821" i="15" s="1"/>
  <c r="K815" i="15"/>
  <c r="AB138" i="15"/>
  <c r="Q1239" i="15"/>
  <c r="Q1051" i="15"/>
  <c r="L820" i="15"/>
  <c r="K846" i="15"/>
  <c r="K847" i="15" s="1"/>
  <c r="L815" i="15"/>
  <c r="K843" i="15"/>
  <c r="M787" i="15"/>
  <c r="Q787" i="15" s="1"/>
  <c r="R585" i="15"/>
  <c r="G585" i="15" s="1"/>
  <c r="M793" i="15"/>
  <c r="Q793" i="15" s="1"/>
  <c r="L843" i="15"/>
  <c r="R920" i="15"/>
  <c r="G920" i="15" s="1"/>
  <c r="AB563" i="15"/>
  <c r="R1215" i="15"/>
  <c r="G1215" i="15" s="1"/>
  <c r="Q1329" i="15"/>
  <c r="Q982" i="15"/>
  <c r="Q918" i="15"/>
  <c r="R1293" i="15"/>
  <c r="G1293" i="15" s="1"/>
  <c r="R1339" i="15"/>
  <c r="G1339" i="15" s="1"/>
  <c r="AA1083" i="15"/>
  <c r="AB1059" i="15"/>
  <c r="AB1067" i="15"/>
  <c r="Z1253" i="15"/>
  <c r="Z1211" i="15"/>
  <c r="Z1195" i="15"/>
  <c r="Z1193" i="15"/>
  <c r="Z1251" i="15"/>
  <c r="Z1235" i="15"/>
  <c r="Z1191" i="15"/>
  <c r="Z1207" i="15"/>
  <c r="Z1185" i="15"/>
  <c r="Z1209" i="15"/>
  <c r="Z1205" i="15"/>
  <c r="Z1247" i="15"/>
  <c r="Z1223" i="15"/>
  <c r="Z1199" i="15"/>
  <c r="Z1227" i="15"/>
  <c r="Z1203" i="15"/>
  <c r="Z1225" i="15"/>
  <c r="Z1169" i="15"/>
  <c r="Z1239" i="15"/>
  <c r="Z1221" i="15"/>
  <c r="Z1241" i="15"/>
  <c r="T512" i="15"/>
  <c r="T516" i="15"/>
  <c r="T518" i="15"/>
  <c r="G518" i="15" s="1"/>
  <c r="T514" i="15"/>
  <c r="T363" i="15"/>
  <c r="T369" i="15"/>
  <c r="Q1245" i="15"/>
  <c r="R1195" i="15"/>
  <c r="G1195" i="15" s="1"/>
  <c r="Q984" i="15"/>
  <c r="Q605" i="15"/>
  <c r="Q710" i="15"/>
  <c r="R950" i="15"/>
  <c r="G950" i="15" s="1"/>
  <c r="Q1067" i="15"/>
  <c r="Q716" i="15"/>
  <c r="Q1189" i="15"/>
  <c r="R984" i="15"/>
  <c r="R1065" i="15"/>
  <c r="G1065" i="15" s="1"/>
  <c r="R736" i="15"/>
  <c r="G736" i="15" s="1"/>
  <c r="R583" i="15"/>
  <c r="G583" i="15" s="1"/>
  <c r="N122" i="15"/>
  <c r="Q662" i="15"/>
  <c r="R1091" i="15"/>
  <c r="G1091" i="15" s="1"/>
  <c r="N79" i="15"/>
  <c r="Q704" i="15"/>
  <c r="N71" i="15"/>
  <c r="G1305" i="15"/>
  <c r="R1061" i="15"/>
  <c r="G1061" i="15" s="1"/>
  <c r="R605" i="15"/>
  <c r="R918" i="15"/>
  <c r="G918" i="15" s="1"/>
  <c r="R982" i="15"/>
  <c r="G982" i="15" s="1"/>
  <c r="N120" i="15"/>
  <c r="R1311" i="15"/>
  <c r="G1311" i="15" s="1"/>
  <c r="L852" i="15"/>
  <c r="R551" i="15"/>
  <c r="G551" i="15" s="1"/>
  <c r="N69" i="15"/>
  <c r="N502" i="15"/>
  <c r="N373" i="15"/>
  <c r="N180" i="15"/>
  <c r="Q1219" i="15"/>
  <c r="Q1305" i="15"/>
  <c r="L838" i="15"/>
  <c r="K853" i="15"/>
  <c r="N853" i="15" s="1"/>
  <c r="Q724" i="15"/>
  <c r="N146" i="15"/>
  <c r="L835" i="15"/>
  <c r="R581" i="15"/>
  <c r="G581" i="15" s="1"/>
  <c r="N53" i="15"/>
  <c r="N172" i="15"/>
  <c r="M801" i="15"/>
  <c r="Q801" i="15" s="1"/>
  <c r="K839" i="15"/>
  <c r="N839" i="15" s="1"/>
  <c r="R1175" i="15"/>
  <c r="K835" i="15"/>
  <c r="L388" i="15"/>
  <c r="L389" i="15" s="1"/>
  <c r="N389" i="15" s="1"/>
  <c r="N401" i="15"/>
  <c r="Q1169" i="15"/>
  <c r="N152" i="15"/>
  <c r="Q1229" i="15"/>
  <c r="Q1235" i="15"/>
  <c r="Q563" i="15"/>
  <c r="Q1361" i="15"/>
  <c r="Q954" i="15"/>
  <c r="Q700" i="15"/>
  <c r="N518" i="15"/>
  <c r="Q1327" i="15"/>
  <c r="Q1369" i="15"/>
  <c r="Q613" i="15"/>
  <c r="Q1217" i="15"/>
  <c r="R1317" i="15"/>
  <c r="G1317" i="15" s="1"/>
  <c r="R1047" i="15"/>
  <c r="G1047" i="15" s="1"/>
  <c r="Q1063" i="15"/>
  <c r="Q1089" i="15"/>
  <c r="Q986" i="15"/>
  <c r="Q950" i="15"/>
  <c r="R934" i="15"/>
  <c r="G934" i="15" s="1"/>
  <c r="Q734" i="15"/>
  <c r="Q678" i="15"/>
  <c r="R720" i="15"/>
  <c r="Q712" i="15"/>
  <c r="R591" i="15"/>
  <c r="G591" i="15" s="1"/>
  <c r="Q561" i="15"/>
  <c r="R615" i="15"/>
  <c r="Q603" i="15"/>
  <c r="R589" i="15"/>
  <c r="G589" i="15" s="1"/>
  <c r="N182" i="15"/>
  <c r="N144" i="15"/>
  <c r="N136" i="15"/>
  <c r="N65" i="15"/>
  <c r="R1207" i="15"/>
  <c r="G1207" i="15" s="1"/>
  <c r="R1333" i="15"/>
  <c r="G1333" i="15" s="1"/>
  <c r="R1255" i="15"/>
  <c r="G1255" i="15" s="1"/>
  <c r="R724" i="15"/>
  <c r="R1197" i="15"/>
  <c r="G1197" i="15" s="1"/>
  <c r="N104" i="15"/>
  <c r="Q706" i="15"/>
  <c r="L861" i="15"/>
  <c r="N861" i="15" s="1"/>
  <c r="R966" i="15"/>
  <c r="N132" i="15"/>
  <c r="R1343" i="15"/>
  <c r="G1343" i="15" s="1"/>
  <c r="Q1201" i="15"/>
  <c r="R563" i="15"/>
  <c r="G563" i="15" s="1"/>
  <c r="R692" i="15"/>
  <c r="G692" i="15" s="1"/>
  <c r="N112" i="15"/>
  <c r="R1323" i="15"/>
  <c r="G1323" i="15" s="1"/>
  <c r="L829" i="15"/>
  <c r="R952" i="15"/>
  <c r="G952" i="15" s="1"/>
  <c r="R595" i="15"/>
  <c r="Q962" i="15"/>
  <c r="Q557" i="15"/>
  <c r="Q587" i="15"/>
  <c r="Q1307" i="15"/>
  <c r="Q1339" i="15"/>
  <c r="Q1107" i="15"/>
  <c r="N174" i="15"/>
  <c r="N170" i="15"/>
  <c r="N138" i="15"/>
  <c r="R543" i="15"/>
  <c r="G543" i="15" s="1"/>
  <c r="R1235" i="15"/>
  <c r="M819" i="15"/>
  <c r="Q819" i="15" s="1"/>
  <c r="G587" i="15"/>
  <c r="N81" i="15"/>
  <c r="R1087" i="15"/>
  <c r="G1087" i="15" s="1"/>
  <c r="L860" i="15"/>
  <c r="M811" i="15"/>
  <c r="Q811" i="15" s="1"/>
  <c r="R674" i="15"/>
  <c r="G674" i="15" s="1"/>
  <c r="AB136" i="15"/>
  <c r="N164" i="15"/>
  <c r="Q1057" i="15"/>
  <c r="N855" i="15"/>
  <c r="Q928" i="15"/>
  <c r="Q668" i="15"/>
  <c r="G65" i="15"/>
  <c r="Q1371" i="15"/>
  <c r="R1225" i="15"/>
  <c r="G1225" i="15" s="1"/>
  <c r="R1173" i="15"/>
  <c r="G1173" i="15" s="1"/>
  <c r="Q970" i="15"/>
  <c r="M861" i="15"/>
  <c r="Q861" i="15" s="1"/>
  <c r="R936" i="15"/>
  <c r="G936" i="15" s="1"/>
  <c r="Q926" i="15"/>
  <c r="Q720" i="15"/>
  <c r="L831" i="15"/>
  <c r="L830" i="15"/>
  <c r="K831" i="15"/>
  <c r="R1359" i="15"/>
  <c r="G1359" i="15" s="1"/>
  <c r="R1077" i="15"/>
  <c r="G1077" i="15" s="1"/>
  <c r="M845" i="15"/>
  <c r="Q845" i="15" s="1"/>
  <c r="R579" i="15"/>
  <c r="G579" i="15" s="1"/>
  <c r="M831" i="15"/>
  <c r="Q831" i="15" s="1"/>
  <c r="R1219" i="15"/>
  <c r="G1219" i="15" s="1"/>
  <c r="Q1227" i="15"/>
  <c r="R1109" i="15"/>
  <c r="Q934" i="15"/>
  <c r="R561" i="15"/>
  <c r="G561" i="15" s="1"/>
  <c r="R541" i="15"/>
  <c r="G541" i="15" s="1"/>
  <c r="L432" i="15"/>
  <c r="L433" i="15" s="1"/>
  <c r="N433" i="15" s="1"/>
  <c r="Q581" i="15"/>
  <c r="R1329" i="15"/>
  <c r="G1329" i="15" s="1"/>
  <c r="N85" i="15"/>
  <c r="R1253" i="15"/>
  <c r="G1253" i="15" s="1"/>
  <c r="L807" i="15"/>
  <c r="R599" i="15"/>
  <c r="G599" i="15" s="1"/>
  <c r="R597" i="15"/>
  <c r="G597" i="15" s="1"/>
  <c r="L802" i="15"/>
  <c r="R1301" i="15"/>
  <c r="G1301" i="15" s="1"/>
  <c r="R1093" i="15"/>
  <c r="G1093" i="15" s="1"/>
  <c r="Q1073" i="15"/>
  <c r="Q958" i="15"/>
  <c r="R968" i="15"/>
  <c r="G968" i="15" s="1"/>
  <c r="R1199" i="15"/>
  <c r="G1199" i="15" s="1"/>
  <c r="Q1233" i="15"/>
  <c r="R1189" i="15"/>
  <c r="G1189" i="15" s="1"/>
  <c r="R1073" i="15"/>
  <c r="G1073" i="15" s="1"/>
  <c r="R944" i="15"/>
  <c r="G944" i="15" s="1"/>
  <c r="Q948" i="15"/>
  <c r="R613" i="15"/>
  <c r="G613" i="15" s="1"/>
  <c r="R738" i="15"/>
  <c r="G738" i="15" s="1"/>
  <c r="Q1321" i="15"/>
  <c r="G1167" i="15"/>
  <c r="R1105" i="15"/>
  <c r="G1105" i="15" s="1"/>
  <c r="R1041" i="15"/>
  <c r="G1041" i="15" s="1"/>
  <c r="R694" i="15"/>
  <c r="G694" i="15" s="1"/>
  <c r="N494" i="15"/>
  <c r="Q545" i="15"/>
  <c r="Q1207" i="15"/>
  <c r="Q1113" i="15"/>
  <c r="K807" i="15"/>
  <c r="Q732" i="15"/>
  <c r="N516" i="15"/>
  <c r="Q591" i="15"/>
  <c r="G85" i="15"/>
  <c r="Q1323" i="15"/>
  <c r="R1055" i="15"/>
  <c r="G1055" i="15" s="1"/>
  <c r="R1237" i="15"/>
  <c r="G1237" i="15" s="1"/>
  <c r="K811" i="15"/>
  <c r="N811" i="15" s="1"/>
  <c r="R696" i="15"/>
  <c r="G696" i="15" s="1"/>
  <c r="R680" i="15"/>
  <c r="G680" i="15" s="1"/>
  <c r="G67" i="15"/>
  <c r="G51" i="15"/>
  <c r="L410" i="15"/>
  <c r="L411" i="15" s="1"/>
  <c r="N411" i="15" s="1"/>
  <c r="N359" i="15"/>
  <c r="Q1043" i="15"/>
  <c r="K790" i="15"/>
  <c r="M791" i="15"/>
  <c r="Q791" i="15" s="1"/>
  <c r="Q1193" i="15"/>
  <c r="Q726" i="15"/>
  <c r="Q1297" i="15"/>
  <c r="L364" i="15"/>
  <c r="L365" i="15" s="1"/>
  <c r="N365" i="15" s="1"/>
  <c r="R1251" i="15"/>
  <c r="G1251" i="15" s="1"/>
  <c r="R1351" i="15"/>
  <c r="G1351" i="15" s="1"/>
  <c r="R1227" i="15"/>
  <c r="G1227" i="15" s="1"/>
  <c r="Q1097" i="15"/>
  <c r="R1223" i="15"/>
  <c r="G1223" i="15" s="1"/>
  <c r="Q1071" i="15"/>
  <c r="R914" i="15"/>
  <c r="G914" i="15" s="1"/>
  <c r="R1053" i="15"/>
  <c r="G1053" i="15" s="1"/>
  <c r="K829" i="15"/>
  <c r="Q930" i="15"/>
  <c r="L845" i="15"/>
  <c r="Q966" i="15"/>
  <c r="N166" i="15"/>
  <c r="R986" i="15"/>
  <c r="N114" i="15"/>
  <c r="R1367" i="15"/>
  <c r="G1367" i="15" s="1"/>
  <c r="Q1225" i="15"/>
  <c r="Q1255" i="15"/>
  <c r="R1067" i="15"/>
  <c r="G1067" i="15" s="1"/>
  <c r="R1049" i="15"/>
  <c r="R954" i="15"/>
  <c r="G954" i="15" s="1"/>
  <c r="R932" i="15"/>
  <c r="G932" i="15" s="1"/>
  <c r="G476" i="15"/>
  <c r="Q972" i="15"/>
  <c r="R601" i="15"/>
  <c r="G601" i="15" s="1"/>
  <c r="R559" i="15"/>
  <c r="G559" i="15" s="1"/>
  <c r="Q688" i="15"/>
  <c r="N407" i="15"/>
  <c r="G1239" i="15"/>
  <c r="L801" i="15"/>
  <c r="N801" i="15" s="1"/>
  <c r="L800" i="15"/>
  <c r="Q1349" i="15"/>
  <c r="Q1351" i="15"/>
  <c r="R1355" i="15"/>
  <c r="G1355" i="15" s="1"/>
  <c r="Q1309" i="15"/>
  <c r="Q1069" i="15"/>
  <c r="L837" i="15"/>
  <c r="R964" i="15"/>
  <c r="G964" i="15" s="1"/>
  <c r="G708" i="15"/>
  <c r="N134" i="15"/>
  <c r="N110" i="15"/>
  <c r="N363" i="15"/>
  <c r="N148" i="15"/>
  <c r="L414" i="15"/>
  <c r="L415" i="15" s="1"/>
  <c r="N176" i="15"/>
  <c r="Q1049" i="15"/>
  <c r="Q1087" i="15"/>
  <c r="L396" i="15"/>
  <c r="L397" i="15" s="1"/>
  <c r="N397" i="15" s="1"/>
  <c r="Q1343" i="15"/>
  <c r="Q1081" i="15"/>
  <c r="G603" i="15"/>
  <c r="Q920" i="15"/>
  <c r="Q692" i="15"/>
  <c r="Q599" i="15"/>
  <c r="Q539" i="15"/>
  <c r="Q589" i="15"/>
  <c r="N162" i="15"/>
  <c r="N514" i="15"/>
  <c r="N106" i="15"/>
  <c r="R1243" i="15"/>
  <c r="G1243" i="15" s="1"/>
  <c r="Q1301" i="15"/>
  <c r="R1205" i="15"/>
  <c r="G1205" i="15" s="1"/>
  <c r="Q1195" i="15"/>
  <c r="R1075" i="15"/>
  <c r="G1075" i="15" s="1"/>
  <c r="R988" i="15"/>
  <c r="G988" i="15" s="1"/>
  <c r="Q1095" i="15"/>
  <c r="L844" i="15"/>
  <c r="R688" i="15"/>
  <c r="G688" i="15" s="1"/>
  <c r="N118" i="15"/>
  <c r="N55" i="15"/>
  <c r="Q1357" i="15"/>
  <c r="Q976" i="15"/>
  <c r="Q1365" i="15"/>
  <c r="Q1295" i="15"/>
  <c r="Q1061" i="15"/>
  <c r="L822" i="15"/>
  <c r="R545" i="15"/>
  <c r="Q577" i="15"/>
  <c r="Q684" i="15"/>
  <c r="L434" i="15"/>
  <c r="L435" i="15" s="1"/>
  <c r="N435" i="15" s="1"/>
  <c r="R549" i="15"/>
  <c r="G549" i="15" s="1"/>
  <c r="Q672" i="15"/>
  <c r="R1357" i="15"/>
  <c r="G1357" i="15" s="1"/>
  <c r="N168" i="15"/>
  <c r="N178" i="15"/>
  <c r="N500" i="15"/>
  <c r="N158" i="15"/>
  <c r="Q728" i="15"/>
  <c r="R1183" i="15"/>
  <c r="G1183" i="15" s="1"/>
  <c r="Q1197" i="15"/>
  <c r="Q730" i="15"/>
  <c r="N1365" i="15"/>
  <c r="R1297" i="15"/>
  <c r="G1297" i="15" s="1"/>
  <c r="N1241" i="15"/>
  <c r="R1241" i="15"/>
  <c r="G1241" i="15" s="1"/>
  <c r="R1249" i="15"/>
  <c r="G1249" i="15" s="1"/>
  <c r="Q1317" i="15"/>
  <c r="Q1215" i="15"/>
  <c r="Q1099" i="15"/>
  <c r="R1099" i="15"/>
  <c r="G1099" i="15" s="1"/>
  <c r="N728" i="15"/>
  <c r="R728" i="15"/>
  <c r="G728" i="15" s="1"/>
  <c r="W1162" i="15"/>
  <c r="W990" i="15"/>
  <c r="W978" i="15"/>
  <c r="W956" i="15"/>
  <c r="W940" i="15"/>
  <c r="W924" i="15"/>
  <c r="W992" i="15"/>
  <c r="W972" i="15"/>
  <c r="W950" i="15"/>
  <c r="W918" i="15"/>
  <c r="W914" i="15"/>
  <c r="W946" i="15"/>
  <c r="W930" i="15"/>
  <c r="W962" i="15"/>
  <c r="W934" i="15"/>
  <c r="W966" i="15"/>
  <c r="W916" i="15"/>
  <c r="W944" i="15"/>
  <c r="W974" i="15"/>
  <c r="W920" i="15"/>
  <c r="W964" i="15"/>
  <c r="W922" i="15"/>
  <c r="W984" i="15"/>
  <c r="W938" i="15"/>
  <c r="W968" i="15"/>
  <c r="W970" i="15"/>
  <c r="W976" i="15"/>
  <c r="W986" i="15"/>
  <c r="W988" i="15"/>
  <c r="W952" i="15"/>
  <c r="W980" i="15"/>
  <c r="W954" i="15"/>
  <c r="W936" i="15"/>
  <c r="W948" i="15"/>
  <c r="W926" i="15"/>
  <c r="W942" i="15"/>
  <c r="W958" i="15"/>
  <c r="W932" i="15"/>
  <c r="N371" i="15"/>
  <c r="S500" i="15"/>
  <c r="S502" i="15"/>
  <c r="S496" i="15"/>
  <c r="G496" i="15" s="1"/>
  <c r="S494" i="15"/>
  <c r="S498" i="15"/>
  <c r="N1319" i="15"/>
  <c r="N1295" i="15"/>
  <c r="R1295" i="15"/>
  <c r="G1295" i="15" s="1"/>
  <c r="N1245" i="15"/>
  <c r="R1245" i="15"/>
  <c r="Q1243" i="15"/>
  <c r="Q1237" i="15"/>
  <c r="Q1115" i="15"/>
  <c r="N1185" i="15"/>
  <c r="R1185" i="15"/>
  <c r="G1185" i="15" s="1"/>
  <c r="Q924" i="15"/>
  <c r="R924" i="15"/>
  <c r="G924" i="15" s="1"/>
  <c r="R664" i="15"/>
  <c r="G664" i="15" s="1"/>
  <c r="Q593" i="15"/>
  <c r="R593" i="15"/>
  <c r="G593" i="15" s="1"/>
  <c r="N377" i="15"/>
  <c r="N369" i="15"/>
  <c r="N272" i="15"/>
  <c r="R1217" i="15"/>
  <c r="G1217" i="15" s="1"/>
  <c r="N1217" i="15"/>
  <c r="Q1319" i="15"/>
  <c r="N1221" i="15"/>
  <c r="R1221" i="15"/>
  <c r="G1221" i="15" s="1"/>
  <c r="Q1231" i="15"/>
  <c r="N1069" i="15"/>
  <c r="R1069" i="15"/>
  <c r="N1201" i="15"/>
  <c r="R1201" i="15"/>
  <c r="G1201" i="15" s="1"/>
  <c r="N1059" i="15"/>
  <c r="R1059" i="15"/>
  <c r="G1059" i="15" s="1"/>
  <c r="Q1181" i="15"/>
  <c r="R1181" i="15"/>
  <c r="G1181" i="15" s="1"/>
  <c r="Q718" i="15"/>
  <c r="R718" i="15"/>
  <c r="G718" i="15" s="1"/>
  <c r="K427" i="15"/>
  <c r="L426" i="15"/>
  <c r="L427" i="15" s="1"/>
  <c r="N395" i="15"/>
  <c r="R1321" i="15"/>
  <c r="G1321" i="15" s="1"/>
  <c r="N1321" i="15"/>
  <c r="N1113" i="15"/>
  <c r="R1113" i="15"/>
  <c r="G1113" i="15" s="1"/>
  <c r="R1335" i="15"/>
  <c r="G1335" i="15" s="1"/>
  <c r="N1335" i="15"/>
  <c r="Q1315" i="15"/>
  <c r="Q1347" i="15"/>
  <c r="Q1367" i="15"/>
  <c r="Q1247" i="15"/>
  <c r="R1315" i="15"/>
  <c r="G1315" i="15" s="1"/>
  <c r="R1097" i="15"/>
  <c r="G1097" i="15" s="1"/>
  <c r="N1097" i="15"/>
  <c r="Q1101" i="15"/>
  <c r="R1101" i="15"/>
  <c r="G1101" i="15" s="1"/>
  <c r="R976" i="15"/>
  <c r="N976" i="15"/>
  <c r="R611" i="15"/>
  <c r="G611" i="15" s="1"/>
  <c r="Q607" i="15"/>
  <c r="R607" i="15"/>
  <c r="G607" i="15" s="1"/>
  <c r="N1349" i="15"/>
  <c r="N1337" i="15"/>
  <c r="R1337" i="15"/>
  <c r="G1337" i="15" s="1"/>
  <c r="R1319" i="15"/>
  <c r="G1319" i="15" s="1"/>
  <c r="R1233" i="15"/>
  <c r="G1233" i="15" s="1"/>
  <c r="N1233" i="15"/>
  <c r="Q1363" i="15"/>
  <c r="R1363" i="15"/>
  <c r="G1363" i="15" s="1"/>
  <c r="N1229" i="15"/>
  <c r="R1229" i="15"/>
  <c r="G1229" i="15" s="1"/>
  <c r="R1371" i="15"/>
  <c r="G1371" i="15" s="1"/>
  <c r="Q1355" i="15"/>
  <c r="Q1293" i="15"/>
  <c r="Q1117" i="15"/>
  <c r="R1117" i="15"/>
  <c r="G1117" i="15" s="1"/>
  <c r="R1349" i="15"/>
  <c r="G1349" i="15" s="1"/>
  <c r="N1353" i="15"/>
  <c r="R1353" i="15"/>
  <c r="G1353" i="15" s="1"/>
  <c r="N1247" i="15"/>
  <c r="R1247" i="15"/>
  <c r="G1247" i="15" s="1"/>
  <c r="R1361" i="15"/>
  <c r="G1361" i="15" s="1"/>
  <c r="Q1335" i="15"/>
  <c r="R1313" i="15"/>
  <c r="G1313" i="15" s="1"/>
  <c r="R1213" i="15"/>
  <c r="G1213" i="15" s="1"/>
  <c r="N1213" i="15"/>
  <c r="N1203" i="15"/>
  <c r="R1203" i="15"/>
  <c r="G1203" i="15" s="1"/>
  <c r="R1347" i="15"/>
  <c r="G1347" i="15" s="1"/>
  <c r="N1169" i="15"/>
  <c r="R1169" i="15"/>
  <c r="G1169" i="15" s="1"/>
  <c r="R1231" i="15"/>
  <c r="G1231" i="15" s="1"/>
  <c r="N1095" i="15"/>
  <c r="R1095" i="15"/>
  <c r="G1095" i="15" s="1"/>
  <c r="N1111" i="15"/>
  <c r="R1111" i="15"/>
  <c r="G1111" i="15" s="1"/>
  <c r="R1089" i="15"/>
  <c r="G1089" i="15" s="1"/>
  <c r="N980" i="15"/>
  <c r="R980" i="15"/>
  <c r="G980" i="15" s="1"/>
  <c r="N539" i="15"/>
  <c r="R539" i="15" s="1"/>
  <c r="G539" i="15" s="1"/>
  <c r="W1115" i="15"/>
  <c r="W1099" i="15"/>
  <c r="W1107" i="15"/>
  <c r="W1071" i="15"/>
  <c r="W1119" i="15"/>
  <c r="W1111" i="15"/>
  <c r="W1075" i="15"/>
  <c r="W1097" i="15"/>
  <c r="W1069" i="15"/>
  <c r="W1041" i="15"/>
  <c r="W1087" i="15"/>
  <c r="W1055" i="15"/>
  <c r="W1105" i="15"/>
  <c r="W1089" i="15"/>
  <c r="W1047" i="15"/>
  <c r="W1091" i="15"/>
  <c r="W1059" i="15"/>
  <c r="W1043" i="15"/>
  <c r="W1081" i="15"/>
  <c r="W1051" i="15"/>
  <c r="W1083" i="15"/>
  <c r="W1113" i="15"/>
  <c r="W1065" i="15"/>
  <c r="W1045" i="15"/>
  <c r="AB1051" i="15"/>
  <c r="AB1079" i="15"/>
  <c r="W1061" i="15"/>
  <c r="W1101" i="15"/>
  <c r="W1085" i="15"/>
  <c r="AB1071" i="15"/>
  <c r="AB1061" i="15"/>
  <c r="W1057" i="15"/>
  <c r="AB1101" i="15"/>
  <c r="W1067" i="15"/>
  <c r="W1077" i="15"/>
  <c r="W1053" i="15"/>
  <c r="AB1063" i="15"/>
  <c r="W1063" i="15"/>
  <c r="AB1041" i="15"/>
  <c r="AB1103" i="15"/>
  <c r="AB1069" i="15"/>
  <c r="AB1057" i="15"/>
  <c r="AB1036" i="15"/>
  <c r="AB1053" i="15"/>
  <c r="Q666" i="15"/>
  <c r="R666" i="15"/>
  <c r="G666" i="15" s="1"/>
  <c r="G71" i="15"/>
  <c r="K381" i="15"/>
  <c r="L380" i="15"/>
  <c r="L381" i="15" s="1"/>
  <c r="Q1331" i="15"/>
  <c r="R1331" i="15"/>
  <c r="G1331" i="15" s="1"/>
  <c r="Q978" i="15"/>
  <c r="R978" i="15"/>
  <c r="G978" i="15" s="1"/>
  <c r="R1369" i="15"/>
  <c r="G1369" i="15" s="1"/>
  <c r="R1345" i="15"/>
  <c r="G1345" i="15" s="1"/>
  <c r="N1345" i="15"/>
  <c r="Q1333" i="15"/>
  <c r="R1327" i="15"/>
  <c r="G1327" i="15" s="1"/>
  <c r="R1365" i="15"/>
  <c r="G1365" i="15" s="1"/>
  <c r="Q1299" i="15"/>
  <c r="R1299" i="15"/>
  <c r="G1299" i="15" s="1"/>
  <c r="N1299" i="15"/>
  <c r="R1309" i="15"/>
  <c r="G1309" i="15" s="1"/>
  <c r="Q1303" i="15"/>
  <c r="R1303" i="15"/>
  <c r="G1303" i="15" s="1"/>
  <c r="R1325" i="15"/>
  <c r="G1325" i="15" s="1"/>
  <c r="Q1187" i="15"/>
  <c r="R1187" i="15"/>
  <c r="G1187" i="15" s="1"/>
  <c r="Q1211" i="15"/>
  <c r="R1211" i="15"/>
  <c r="G1211" i="15" s="1"/>
  <c r="R1307" i="15"/>
  <c r="G1307" i="15" s="1"/>
  <c r="N1105" i="15"/>
  <c r="Q1173" i="15"/>
  <c r="L786" i="15"/>
  <c r="K787" i="15"/>
  <c r="N403" i="15"/>
  <c r="Q547" i="15"/>
  <c r="R547" i="15"/>
  <c r="G547" i="15" s="1"/>
  <c r="R1081" i="15"/>
  <c r="G1081" i="15" s="1"/>
  <c r="N1081" i="15"/>
  <c r="R1193" i="15"/>
  <c r="G1193" i="15" s="1"/>
  <c r="N1193" i="15"/>
  <c r="Q1167" i="15"/>
  <c r="N827" i="15"/>
  <c r="R827" i="15"/>
  <c r="P826" i="15" s="1"/>
  <c r="G827" i="15" s="1"/>
  <c r="R1115" i="15"/>
  <c r="G1115" i="15" s="1"/>
  <c r="R1045" i="15"/>
  <c r="G1045" i="15" s="1"/>
  <c r="Q940" i="15"/>
  <c r="R940" i="15"/>
  <c r="G940" i="15" s="1"/>
  <c r="AA1288" i="15"/>
  <c r="AA1255" i="15"/>
  <c r="AA1235" i="15"/>
  <c r="AA1247" i="15"/>
  <c r="AA1239" i="15"/>
  <c r="AA1243" i="15"/>
  <c r="AA1231" i="15"/>
  <c r="AA1227" i="15"/>
  <c r="AA1211" i="15"/>
  <c r="AA1191" i="15"/>
  <c r="AA1219" i="15"/>
  <c r="AA1167" i="15"/>
  <c r="AA1241" i="15"/>
  <c r="AA1229" i="15"/>
  <c r="AA1185" i="15"/>
  <c r="AA1215" i="15"/>
  <c r="AA1183" i="15"/>
  <c r="AA1205" i="15"/>
  <c r="AA1169" i="15"/>
  <c r="AA1187" i="15"/>
  <c r="AA1199" i="15"/>
  <c r="R726" i="15"/>
  <c r="G726" i="15" s="1"/>
  <c r="N726" i="15"/>
  <c r="M833" i="15"/>
  <c r="Q833" i="15" s="1"/>
  <c r="K832" i="15"/>
  <c r="K796" i="15"/>
  <c r="M797" i="15"/>
  <c r="Q797" i="15" s="1"/>
  <c r="Z1115" i="15"/>
  <c r="Z1119" i="15"/>
  <c r="Z1111" i="15"/>
  <c r="Z1077" i="15"/>
  <c r="Z1061" i="15"/>
  <c r="Z1117" i="15"/>
  <c r="Z1097" i="15"/>
  <c r="Z1113" i="15"/>
  <c r="Z1095" i="15"/>
  <c r="Z1101" i="15"/>
  <c r="Z1085" i="15"/>
  <c r="Z1073" i="15"/>
  <c r="Z1071" i="15"/>
  <c r="Z1065" i="15"/>
  <c r="Z1059" i="15"/>
  <c r="Z1075" i="15"/>
  <c r="Z1041" i="15"/>
  <c r="Z1055" i="15"/>
  <c r="Z1043" i="15"/>
  <c r="R1119" i="15"/>
  <c r="M859" i="15"/>
  <c r="Q859" i="15" s="1"/>
  <c r="K858" i="15"/>
  <c r="M851" i="15"/>
  <c r="Q851" i="15" s="1"/>
  <c r="K850" i="15"/>
  <c r="L823" i="15"/>
  <c r="N823" i="15" s="1"/>
  <c r="Q698" i="15"/>
  <c r="R698" i="15"/>
  <c r="G698" i="15" s="1"/>
  <c r="R668" i="15"/>
  <c r="G668" i="15" s="1"/>
  <c r="Q609" i="15"/>
  <c r="R609" i="15"/>
  <c r="G609" i="15" s="1"/>
  <c r="N555" i="15"/>
  <c r="R555" i="15" s="1"/>
  <c r="G555" i="15" s="1"/>
  <c r="G480" i="15"/>
  <c r="R565" i="15"/>
  <c r="R537" i="15"/>
  <c r="S782" i="15"/>
  <c r="S657" i="15"/>
  <c r="S532" i="15"/>
  <c r="R670" i="15"/>
  <c r="R557" i="15"/>
  <c r="G557" i="15" s="1"/>
  <c r="T361" i="15"/>
  <c r="S393" i="15"/>
  <c r="S391" i="15"/>
  <c r="S389" i="15"/>
  <c r="S387" i="15"/>
  <c r="S385" i="15"/>
  <c r="S383" i="15"/>
  <c r="S381" i="15"/>
  <c r="S379" i="15"/>
  <c r="S377" i="15"/>
  <c r="S375" i="15"/>
  <c r="S373" i="15"/>
  <c r="S371" i="15"/>
  <c r="S369" i="15"/>
  <c r="S367" i="15"/>
  <c r="S365" i="15"/>
  <c r="S363" i="15"/>
  <c r="S361" i="15"/>
  <c r="S359" i="15"/>
  <c r="S433" i="15"/>
  <c r="T140" i="15"/>
  <c r="Q1171" i="15"/>
  <c r="R1171" i="15"/>
  <c r="G1171" i="15" s="1"/>
  <c r="N1075" i="15"/>
  <c r="N1043" i="15"/>
  <c r="R1043" i="15"/>
  <c r="G1043" i="15" s="1"/>
  <c r="AA1057" i="15"/>
  <c r="R938" i="15"/>
  <c r="G938" i="15" s="1"/>
  <c r="Q1059" i="15"/>
  <c r="R855" i="15"/>
  <c r="P854" i="15" s="1"/>
  <c r="G855" i="15" s="1"/>
  <c r="L819" i="15"/>
  <c r="K819" i="15"/>
  <c r="Q964" i="15"/>
  <c r="R928" i="15"/>
  <c r="G928" i="15" s="1"/>
  <c r="M857" i="15"/>
  <c r="Q857" i="15" s="1"/>
  <c r="K856" i="15"/>
  <c r="Q942" i="15"/>
  <c r="L810" i="15"/>
  <c r="Q664" i="15"/>
  <c r="Q575" i="15"/>
  <c r="Q738" i="15"/>
  <c r="R690" i="15"/>
  <c r="Q960" i="15"/>
  <c r="R960" i="15"/>
  <c r="G960" i="15" s="1"/>
  <c r="R577" i="15"/>
  <c r="G577" i="15" s="1"/>
  <c r="Q611" i="15"/>
  <c r="R714" i="15"/>
  <c r="G714" i="15" s="1"/>
  <c r="Q559" i="15"/>
  <c r="N256" i="15"/>
  <c r="K417" i="15"/>
  <c r="L416" i="15"/>
  <c r="L417" i="15" s="1"/>
  <c r="Q573" i="15"/>
  <c r="L418" i="15"/>
  <c r="L419" i="15" s="1"/>
  <c r="T393" i="15"/>
  <c r="T391" i="15"/>
  <c r="T389" i="15"/>
  <c r="T387" i="15"/>
  <c r="T385" i="15"/>
  <c r="T383" i="15"/>
  <c r="T381" i="15"/>
  <c r="T379" i="15"/>
  <c r="G79" i="15"/>
  <c r="Q555" i="15"/>
  <c r="N140" i="15"/>
  <c r="AB150" i="15"/>
  <c r="AB140" i="15"/>
  <c r="T110" i="15"/>
  <c r="L398" i="15"/>
  <c r="L399" i="15" s="1"/>
  <c r="N367" i="15"/>
  <c r="T359" i="15"/>
  <c r="S514" i="15"/>
  <c r="S512" i="15"/>
  <c r="T116" i="15"/>
  <c r="G81" i="15"/>
  <c r="Q1191" i="15"/>
  <c r="N992" i="15"/>
  <c r="R992" i="15"/>
  <c r="N972" i="15"/>
  <c r="X1288" i="15"/>
  <c r="X1255" i="15"/>
  <c r="X1231" i="15"/>
  <c r="X1245" i="15"/>
  <c r="X1219" i="15"/>
  <c r="X1217" i="15"/>
  <c r="X1235" i="15"/>
  <c r="X1233" i="15"/>
  <c r="X1221" i="15"/>
  <c r="X1247" i="15"/>
  <c r="X1199" i="15"/>
  <c r="X1183" i="15"/>
  <c r="X1191" i="15"/>
  <c r="X1237" i="15"/>
  <c r="X1173" i="15"/>
  <c r="X1181" i="15"/>
  <c r="X1197" i="15"/>
  <c r="X1213" i="15"/>
  <c r="X1189" i="15"/>
  <c r="X1175" i="15"/>
  <c r="X1167" i="15"/>
  <c r="X1171" i="15"/>
  <c r="X1249" i="15"/>
  <c r="X1193" i="15"/>
  <c r="R972" i="15"/>
  <c r="G972" i="15" s="1"/>
  <c r="AA1049" i="15"/>
  <c r="Q946" i="15"/>
  <c r="Z1255" i="15"/>
  <c r="Z1243" i="15"/>
  <c r="Z1245" i="15"/>
  <c r="Z1219" i="15"/>
  <c r="Z1183" i="15"/>
  <c r="Z1288" i="15"/>
  <c r="Z1215" i="15"/>
  <c r="Z1249" i="15"/>
  <c r="Z1233" i="15"/>
  <c r="Z1187" i="15"/>
  <c r="Z1231" i="15"/>
  <c r="Z1189" i="15"/>
  <c r="Z1167" i="15"/>
  <c r="Z1213" i="15"/>
  <c r="Z1173" i="15"/>
  <c r="Z1217" i="15"/>
  <c r="Z1179" i="15"/>
  <c r="Z1229" i="15"/>
  <c r="N704" i="15"/>
  <c r="R704" i="15"/>
  <c r="G704" i="15" s="1"/>
  <c r="R948" i="15"/>
  <c r="G948" i="15" s="1"/>
  <c r="Q1041" i="15"/>
  <c r="R1071" i="15"/>
  <c r="G1071" i="15" s="1"/>
  <c r="R916" i="15"/>
  <c r="K812" i="15"/>
  <c r="M813" i="15"/>
  <c r="Q813" i="15" s="1"/>
  <c r="R710" i="15"/>
  <c r="G710" i="15" s="1"/>
  <c r="R730" i="15"/>
  <c r="AB571" i="15"/>
  <c r="R926" i="15"/>
  <c r="G926" i="15" s="1"/>
  <c r="G478" i="15"/>
  <c r="R686" i="15"/>
  <c r="G686" i="15" s="1"/>
  <c r="N288" i="15"/>
  <c r="K405" i="15"/>
  <c r="L404" i="15"/>
  <c r="L405" i="15" s="1"/>
  <c r="R553" i="15"/>
  <c r="G553" i="15" s="1"/>
  <c r="N142" i="15"/>
  <c r="L392" i="15"/>
  <c r="L393" i="15" s="1"/>
  <c r="K393" i="15"/>
  <c r="T365" i="15"/>
  <c r="T128" i="15"/>
  <c r="G83" i="15"/>
  <c r="S409" i="15"/>
  <c r="K391" i="15"/>
  <c r="L390" i="15"/>
  <c r="L391" i="15" s="1"/>
  <c r="AB343" i="15"/>
  <c r="AB342" i="15"/>
  <c r="AB344" i="15"/>
  <c r="T132" i="15"/>
  <c r="G53" i="15"/>
  <c r="R1177" i="15"/>
  <c r="G1177" i="15" s="1"/>
  <c r="N958" i="15"/>
  <c r="R958" i="15"/>
  <c r="G958" i="15" s="1"/>
  <c r="N1057" i="15"/>
  <c r="R1057" i="15"/>
  <c r="G1057" i="15" s="1"/>
  <c r="R922" i="15"/>
  <c r="K837" i="15"/>
  <c r="Q682" i="15"/>
  <c r="R682" i="15"/>
  <c r="G682" i="15" s="1"/>
  <c r="G484" i="15"/>
  <c r="R678" i="15"/>
  <c r="G678" i="15" s="1"/>
  <c r="N496" i="15"/>
  <c r="Q579" i="15"/>
  <c r="Q708" i="15"/>
  <c r="Q543" i="15"/>
  <c r="R974" i="15"/>
  <c r="L436" i="15"/>
  <c r="L437" i="15" s="1"/>
  <c r="Q674" i="15"/>
  <c r="N304" i="15"/>
  <c r="R573" i="15"/>
  <c r="G573" i="15" s="1"/>
  <c r="G482" i="15"/>
  <c r="K387" i="15"/>
  <c r="L386" i="15"/>
  <c r="L387" i="15" s="1"/>
  <c r="T136" i="15"/>
  <c r="N108" i="15"/>
  <c r="N67" i="15"/>
  <c r="T431" i="15"/>
  <c r="N375" i="15"/>
  <c r="T304" i="15"/>
  <c r="G304" i="15" s="1"/>
  <c r="T288" i="15"/>
  <c r="G288" i="15" s="1"/>
  <c r="T272" i="15"/>
  <c r="G272" i="15" s="1"/>
  <c r="T256" i="15"/>
  <c r="G256" i="15" s="1"/>
  <c r="T248" i="15"/>
  <c r="G248" i="15" s="1"/>
  <c r="T308" i="15"/>
  <c r="G308" i="15" s="1"/>
  <c r="T302" i="15"/>
  <c r="G302" i="15" s="1"/>
  <c r="T296" i="15"/>
  <c r="G296" i="15" s="1"/>
  <c r="T292" i="15"/>
  <c r="G292" i="15" s="1"/>
  <c r="T286" i="15"/>
  <c r="G286" i="15" s="1"/>
  <c r="T280" i="15"/>
  <c r="G280" i="15" s="1"/>
  <c r="T276" i="15"/>
  <c r="G276" i="15" s="1"/>
  <c r="T270" i="15"/>
  <c r="G270" i="15" s="1"/>
  <c r="T264" i="15"/>
  <c r="G264" i="15" s="1"/>
  <c r="T260" i="15"/>
  <c r="G260" i="15" s="1"/>
  <c r="T244" i="15"/>
  <c r="G244" i="15" s="1"/>
  <c r="T254" i="15"/>
  <c r="G254" i="15" s="1"/>
  <c r="T232" i="15"/>
  <c r="G232" i="15" s="1"/>
  <c r="T240" i="15"/>
  <c r="G240" i="15" s="1"/>
  <c r="T236" i="15"/>
  <c r="G236" i="15" s="1"/>
  <c r="T413" i="15"/>
  <c r="T377" i="15"/>
  <c r="N379" i="15"/>
  <c r="T108" i="15"/>
  <c r="R1209" i="15"/>
  <c r="G1209" i="15" s="1"/>
  <c r="N1103" i="15"/>
  <c r="R1103" i="15"/>
  <c r="G1103" i="15" s="1"/>
  <c r="Q1221" i="15"/>
  <c r="R1063" i="15"/>
  <c r="G1063" i="15" s="1"/>
  <c r="AA1107" i="15"/>
  <c r="AA1091" i="15"/>
  <c r="AA1097" i="15"/>
  <c r="AA1113" i="15"/>
  <c r="AA1099" i="15"/>
  <c r="AA1119" i="15"/>
  <c r="AA1105" i="15"/>
  <c r="AA1077" i="15"/>
  <c r="AA1073" i="15"/>
  <c r="AA1059" i="15"/>
  <c r="AA1043" i="15"/>
  <c r="AA1115" i="15"/>
  <c r="AA1075" i="15"/>
  <c r="AA1061" i="15"/>
  <c r="AA1041" i="15"/>
  <c r="Q1047" i="15"/>
  <c r="N712" i="15"/>
  <c r="R712" i="15"/>
  <c r="G712" i="15" s="1"/>
  <c r="K824" i="15"/>
  <c r="M825" i="15"/>
  <c r="Q825" i="15" s="1"/>
  <c r="Q740" i="15"/>
  <c r="Q968" i="15"/>
  <c r="L818" i="15"/>
  <c r="R702" i="15"/>
  <c r="G702" i="15" s="1"/>
  <c r="N702" i="15"/>
  <c r="M805" i="15"/>
  <c r="Q805" i="15" s="1"/>
  <c r="K804" i="15"/>
  <c r="R740" i="15"/>
  <c r="Q696" i="15"/>
  <c r="N571" i="15"/>
  <c r="R571" i="15" s="1"/>
  <c r="G571" i="15" s="1"/>
  <c r="Q680" i="15"/>
  <c r="R700" i="15"/>
  <c r="G700" i="15" s="1"/>
  <c r="Q571" i="15"/>
  <c r="T375" i="15"/>
  <c r="N126" i="15"/>
  <c r="G69" i="15"/>
  <c r="G49" i="15"/>
  <c r="T144" i="15"/>
  <c r="T782" i="15"/>
  <c r="T657" i="15"/>
  <c r="T532" i="15"/>
  <c r="R684" i="15"/>
  <c r="G684" i="15" s="1"/>
  <c r="T409" i="15"/>
  <c r="T258" i="15"/>
  <c r="G258" i="15" s="1"/>
  <c r="N942" i="15"/>
  <c r="R942" i="15"/>
  <c r="Q990" i="15"/>
  <c r="R990" i="15"/>
  <c r="G990" i="15" s="1"/>
  <c r="N799" i="15"/>
  <c r="R799" i="15"/>
  <c r="P798" i="15" s="1"/>
  <c r="G799" i="15" s="1"/>
  <c r="Y1117" i="15"/>
  <c r="Y1091" i="15"/>
  <c r="Y1101" i="15"/>
  <c r="Y1075" i="15"/>
  <c r="Y1059" i="15"/>
  <c r="Y1111" i="15"/>
  <c r="Y1093" i="15"/>
  <c r="Y1055" i="15"/>
  <c r="Y1099" i="15"/>
  <c r="Y1087" i="15"/>
  <c r="Y1095" i="15"/>
  <c r="Y1085" i="15"/>
  <c r="Y1051" i="15"/>
  <c r="Y1047" i="15"/>
  <c r="Y1073" i="15"/>
  <c r="Y1069" i="15"/>
  <c r="Y1041" i="15"/>
  <c r="Y1043" i="15"/>
  <c r="Y1071" i="15"/>
  <c r="Y1115" i="15"/>
  <c r="Y1045" i="15"/>
  <c r="R734" i="15"/>
  <c r="R706" i="15"/>
  <c r="G706" i="15" s="1"/>
  <c r="R970" i="15"/>
  <c r="G970" i="15" s="1"/>
  <c r="K788" i="15"/>
  <c r="M789" i="15"/>
  <c r="Q789" i="15" s="1"/>
  <c r="R569" i="15"/>
  <c r="G569" i="15" s="1"/>
  <c r="T371" i="15"/>
  <c r="N150" i="15"/>
  <c r="L384" i="15"/>
  <c r="L385" i="15" s="1"/>
  <c r="K385" i="15"/>
  <c r="T435" i="15"/>
  <c r="T152" i="15"/>
  <c r="N116" i="15"/>
  <c r="R575" i="15"/>
  <c r="G575" i="15" s="1"/>
  <c r="K383" i="15"/>
  <c r="L382" i="15"/>
  <c r="L383" i="15" s="1"/>
  <c r="T148" i="15"/>
  <c r="T124" i="15"/>
  <c r="T150" i="15"/>
  <c r="R1191" i="15"/>
  <c r="G1191" i="15" s="1"/>
  <c r="G1051" i="15"/>
  <c r="R1085" i="15"/>
  <c r="G1085" i="15" s="1"/>
  <c r="Q1223" i="15"/>
  <c r="R1083" i="15"/>
  <c r="G1083" i="15" s="1"/>
  <c r="N962" i="15"/>
  <c r="R962" i="15"/>
  <c r="G962" i="15" s="1"/>
  <c r="N946" i="15"/>
  <c r="R946" i="15"/>
  <c r="G946" i="15" s="1"/>
  <c r="N930" i="15"/>
  <c r="R930" i="15"/>
  <c r="G930" i="15" s="1"/>
  <c r="N914" i="15"/>
  <c r="Q1065" i="15"/>
  <c r="Q988" i="15"/>
  <c r="AA1053" i="15"/>
  <c r="Y1057" i="15"/>
  <c r="Q944" i="15"/>
  <c r="Y1049" i="15"/>
  <c r="Y1255" i="15"/>
  <c r="Y1243" i="15"/>
  <c r="Y1227" i="15"/>
  <c r="Y1288" i="15"/>
  <c r="Y1247" i="15"/>
  <c r="Y1235" i="15"/>
  <c r="Y1233" i="15"/>
  <c r="Y1199" i="15"/>
  <c r="Y1183" i="15"/>
  <c r="Y1215" i="15"/>
  <c r="Y1211" i="15"/>
  <c r="Y1191" i="15"/>
  <c r="Y1187" i="15"/>
  <c r="Y1231" i="15"/>
  <c r="Y1219" i="15"/>
  <c r="Y1203" i="15"/>
  <c r="Y1189" i="15"/>
  <c r="Y1179" i="15"/>
  <c r="Y1175" i="15"/>
  <c r="Y1167" i="15"/>
  <c r="Y1217" i="15"/>
  <c r="Y1245" i="15"/>
  <c r="Y1173" i="15"/>
  <c r="Y1205" i="15"/>
  <c r="Y1251" i="15"/>
  <c r="Q992" i="15"/>
  <c r="Q722" i="15"/>
  <c r="R722" i="15"/>
  <c r="G722" i="15" s="1"/>
  <c r="R956" i="15"/>
  <c r="G956" i="15" s="1"/>
  <c r="R672" i="15"/>
  <c r="G672" i="15" s="1"/>
  <c r="AB573" i="15"/>
  <c r="AB565" i="15"/>
  <c r="L803" i="15"/>
  <c r="Q916" i="15"/>
  <c r="D29" i="10" s="1"/>
  <c r="Q676" i="15"/>
  <c r="V1162" i="15"/>
  <c r="AB932" i="15"/>
  <c r="AB930" i="15"/>
  <c r="AB914" i="15"/>
  <c r="AB909" i="15"/>
  <c r="AB928" i="15"/>
  <c r="V916" i="15"/>
  <c r="AB926" i="15"/>
  <c r="AB924" i="15"/>
  <c r="Q595" i="15"/>
  <c r="R662" i="15"/>
  <c r="G662" i="15" s="1"/>
  <c r="Q583" i="15"/>
  <c r="N510" i="15"/>
  <c r="Q567" i="15"/>
  <c r="Q551" i="15"/>
  <c r="R567" i="15"/>
  <c r="G567" i="15" s="1"/>
  <c r="Q541" i="15"/>
  <c r="T411" i="15"/>
  <c r="N498" i="15"/>
  <c r="L422" i="15"/>
  <c r="L423" i="15" s="1"/>
  <c r="T367" i="15"/>
  <c r="N83" i="15"/>
  <c r="L430" i="15"/>
  <c r="L431" i="15" s="1"/>
  <c r="N124" i="15"/>
  <c r="T104" i="15"/>
  <c r="G55" i="15"/>
  <c r="AB88" i="15"/>
  <c r="T294" i="15"/>
  <c r="G294" i="15" s="1"/>
  <c r="T278" i="15"/>
  <c r="G278" i="15" s="1"/>
  <c r="T262" i="15"/>
  <c r="G262" i="15" s="1"/>
  <c r="T310" i="15"/>
  <c r="G310" i="15" s="1"/>
  <c r="G82" i="11"/>
  <c r="G85" i="11"/>
  <c r="W1283" i="15" l="1"/>
  <c r="W1277" i="15"/>
  <c r="W1279" i="15"/>
  <c r="W1285" i="15"/>
  <c r="W1281" i="15"/>
  <c r="AB1281" i="15"/>
  <c r="AB1285" i="15"/>
  <c r="AB1283" i="15"/>
  <c r="AB1277" i="15"/>
  <c r="AB1279" i="15"/>
  <c r="T887" i="15"/>
  <c r="T895" i="15"/>
  <c r="T893" i="15"/>
  <c r="T891" i="15"/>
  <c r="T889" i="15"/>
  <c r="S895" i="15"/>
  <c r="S887" i="15"/>
  <c r="S893" i="15"/>
  <c r="S891" i="15"/>
  <c r="S889" i="15"/>
  <c r="T762" i="15"/>
  <c r="T766" i="15"/>
  <c r="T768" i="15"/>
  <c r="T764" i="15"/>
  <c r="T770" i="15"/>
  <c r="S762" i="15"/>
  <c r="S766" i="15"/>
  <c r="S768" i="15"/>
  <c r="S764" i="15"/>
  <c r="S770" i="15"/>
  <c r="G86" i="11"/>
  <c r="T641" i="15"/>
  <c r="T639" i="15"/>
  <c r="T643" i="15"/>
  <c r="T645" i="15"/>
  <c r="T637" i="15"/>
  <c r="S639" i="15"/>
  <c r="S641" i="15"/>
  <c r="S643" i="15"/>
  <c r="S645" i="15"/>
  <c r="S637" i="15"/>
  <c r="G204" i="15"/>
  <c r="G459" i="15"/>
  <c r="G467" i="15"/>
  <c r="G465" i="15"/>
  <c r="G463" i="15"/>
  <c r="G461" i="15"/>
  <c r="G212" i="15"/>
  <c r="G206" i="15"/>
  <c r="G210" i="15"/>
  <c r="G208" i="15"/>
  <c r="D36" i="10"/>
  <c r="D39" i="10"/>
  <c r="D37" i="10"/>
  <c r="G126" i="15"/>
  <c r="Z1390" i="15"/>
  <c r="Z1388" i="15"/>
  <c r="Z1392" i="15"/>
  <c r="Z1386" i="15"/>
  <c r="Z1384" i="15"/>
  <c r="X1388" i="15"/>
  <c r="X1392" i="15"/>
  <c r="X1384" i="15"/>
  <c r="X1390" i="15"/>
  <c r="X1386" i="15"/>
  <c r="AA1390" i="15"/>
  <c r="AA1388" i="15"/>
  <c r="AA1392" i="15"/>
  <c r="AA1386" i="15"/>
  <c r="AA1384" i="15"/>
  <c r="Y1386" i="15"/>
  <c r="Y1390" i="15"/>
  <c r="Y1388" i="15"/>
  <c r="Y1392" i="15"/>
  <c r="Y1384" i="15"/>
  <c r="D38" i="10"/>
  <c r="G202" i="15"/>
  <c r="AB1271" i="15"/>
  <c r="AB1267" i="15"/>
  <c r="AB1269" i="15"/>
  <c r="AB1275" i="15"/>
  <c r="AB1273" i="15"/>
  <c r="W1275" i="15"/>
  <c r="W1271" i="15"/>
  <c r="W1273" i="15"/>
  <c r="W1267" i="15"/>
  <c r="W1269" i="15"/>
  <c r="G451" i="15"/>
  <c r="S879" i="15"/>
  <c r="S883" i="15"/>
  <c r="S881" i="15"/>
  <c r="P880" i="15" s="1"/>
  <c r="G881" i="15" s="1"/>
  <c r="S877" i="15"/>
  <c r="S885" i="15"/>
  <c r="T885" i="15"/>
  <c r="T883" i="15"/>
  <c r="T881" i="15"/>
  <c r="T877" i="15"/>
  <c r="T879" i="15"/>
  <c r="G449" i="15"/>
  <c r="S756" i="15"/>
  <c r="S752" i="15"/>
  <c r="S758" i="15"/>
  <c r="S760" i="15"/>
  <c r="S754" i="15"/>
  <c r="T754" i="15"/>
  <c r="T760" i="15"/>
  <c r="T756" i="15"/>
  <c r="T758" i="15"/>
  <c r="T752" i="15"/>
  <c r="S629" i="15"/>
  <c r="S633" i="15"/>
  <c r="S627" i="15"/>
  <c r="S635" i="15"/>
  <c r="S631" i="15"/>
  <c r="T629" i="15"/>
  <c r="T631" i="15"/>
  <c r="T633" i="15"/>
  <c r="T635" i="15"/>
  <c r="T627" i="15"/>
  <c r="G453" i="15"/>
  <c r="G455" i="15"/>
  <c r="G457" i="15"/>
  <c r="D27" i="10"/>
  <c r="G200" i="15"/>
  <c r="G198" i="15"/>
  <c r="G196" i="15"/>
  <c r="G194" i="15"/>
  <c r="G916" i="15"/>
  <c r="D30" i="10"/>
  <c r="G134" i="15"/>
  <c r="G186" i="15"/>
  <c r="G190" i="15"/>
  <c r="G192" i="15"/>
  <c r="G110" i="15"/>
  <c r="G188" i="15"/>
  <c r="G184" i="15"/>
  <c r="G429" i="15"/>
  <c r="G443" i="15"/>
  <c r="G441" i="15"/>
  <c r="G447" i="15"/>
  <c r="G445" i="15"/>
  <c r="G425" i="15"/>
  <c r="G403" i="15"/>
  <c r="G373" i="15"/>
  <c r="G439" i="15"/>
  <c r="S617" i="15"/>
  <c r="S619" i="15"/>
  <c r="S621" i="15"/>
  <c r="S623" i="15"/>
  <c r="S625" i="15"/>
  <c r="G625" i="15" s="1"/>
  <c r="T619" i="15"/>
  <c r="T617" i="15"/>
  <c r="T621" i="15"/>
  <c r="T623" i="15"/>
  <c r="T625" i="15"/>
  <c r="S742" i="15"/>
  <c r="S750" i="15"/>
  <c r="S744" i="15"/>
  <c r="S748" i="15"/>
  <c r="S746" i="15"/>
  <c r="T742" i="15"/>
  <c r="T744" i="15"/>
  <c r="T746" i="15"/>
  <c r="T750" i="15"/>
  <c r="T748" i="15"/>
  <c r="G407" i="15"/>
  <c r="T869" i="15"/>
  <c r="T867" i="15"/>
  <c r="T873" i="15"/>
  <c r="T875" i="15"/>
  <c r="T871" i="15"/>
  <c r="S869" i="15"/>
  <c r="S867" i="15"/>
  <c r="S873" i="15"/>
  <c r="S875" i="15"/>
  <c r="S871" i="15"/>
  <c r="Z1382" i="15"/>
  <c r="Z1378" i="15"/>
  <c r="Z1380" i="15"/>
  <c r="Z1374" i="15"/>
  <c r="Z1376" i="15"/>
  <c r="X1376" i="15"/>
  <c r="X1378" i="15"/>
  <c r="X1374" i="15"/>
  <c r="X1380" i="15"/>
  <c r="X1382" i="15"/>
  <c r="W1259" i="15"/>
  <c r="W1257" i="15"/>
  <c r="W1263" i="15"/>
  <c r="W1265" i="15"/>
  <c r="W1261" i="15"/>
  <c r="AA1376" i="15"/>
  <c r="AA1374" i="15"/>
  <c r="AA1380" i="15"/>
  <c r="AA1378" i="15"/>
  <c r="AA1382" i="15"/>
  <c r="AB1263" i="15"/>
  <c r="AB1265" i="15"/>
  <c r="AB1259" i="15"/>
  <c r="AB1257" i="15"/>
  <c r="AB1261" i="15"/>
  <c r="Y1376" i="15"/>
  <c r="Y1382" i="15"/>
  <c r="Y1378" i="15"/>
  <c r="Y1374" i="15"/>
  <c r="Y1380" i="15"/>
  <c r="G140" i="15"/>
  <c r="G176" i="15"/>
  <c r="G108" i="15"/>
  <c r="G423" i="15"/>
  <c r="G500" i="15"/>
  <c r="G154" i="15"/>
  <c r="R817" i="15"/>
  <c r="P816" i="15" s="1"/>
  <c r="G817" i="15" s="1"/>
  <c r="G122" i="15"/>
  <c r="G494" i="15"/>
  <c r="G180" i="15"/>
  <c r="G120" i="15"/>
  <c r="G116" i="15"/>
  <c r="G502" i="15"/>
  <c r="G178" i="15"/>
  <c r="G106" i="15"/>
  <c r="G401" i="15"/>
  <c r="G399" i="15"/>
  <c r="G421" i="15"/>
  <c r="G144" i="15"/>
  <c r="G168" i="15"/>
  <c r="G148" i="15"/>
  <c r="G138" i="15"/>
  <c r="G150" i="15"/>
  <c r="G124" i="15"/>
  <c r="G142" i="15"/>
  <c r="G112" i="15"/>
  <c r="G162" i="15"/>
  <c r="G114" i="15"/>
  <c r="G136" i="15"/>
  <c r="G152" i="15"/>
  <c r="G158" i="15"/>
  <c r="G174" i="15"/>
  <c r="G146" i="15"/>
  <c r="G160" i="15"/>
  <c r="G104" i="15"/>
  <c r="G516" i="15"/>
  <c r="G132" i="15"/>
  <c r="G170" i="15"/>
  <c r="G166" i="15"/>
  <c r="G128" i="15"/>
  <c r="G130" i="15"/>
  <c r="G182" i="15"/>
  <c r="G415" i="15"/>
  <c r="G172" i="15"/>
  <c r="G156" i="15"/>
  <c r="G164" i="15"/>
  <c r="G118" i="15"/>
  <c r="L841" i="15"/>
  <c r="N841" i="15" s="1"/>
  <c r="G395" i="15"/>
  <c r="L865" i="15"/>
  <c r="N865" i="15" s="1"/>
  <c r="G498" i="15"/>
  <c r="L864" i="15"/>
  <c r="G437" i="15"/>
  <c r="R835" i="15"/>
  <c r="P834" i="15" s="1"/>
  <c r="G835" i="15" s="1"/>
  <c r="G413" i="15"/>
  <c r="G419" i="15"/>
  <c r="R809" i="15"/>
  <c r="P808" i="15" s="1"/>
  <c r="G809" i="15" s="1"/>
  <c r="K795" i="15"/>
  <c r="L840" i="15"/>
  <c r="L795" i="15"/>
  <c r="R803" i="15"/>
  <c r="P802" i="15" s="1"/>
  <c r="G803" i="15" s="1"/>
  <c r="R843" i="15"/>
  <c r="P842" i="15" s="1"/>
  <c r="G843" i="15" s="1"/>
  <c r="L849" i="15"/>
  <c r="R849" i="15" s="1"/>
  <c r="G512" i="15"/>
  <c r="G514" i="15"/>
  <c r="R821" i="15"/>
  <c r="P820" i="15" s="1"/>
  <c r="G821" i="15" s="1"/>
  <c r="L848" i="15"/>
  <c r="R831" i="15"/>
  <c r="P830" i="15" s="1"/>
  <c r="G831" i="15" s="1"/>
  <c r="R793" i="15"/>
  <c r="P792" i="15" s="1"/>
  <c r="G793" i="15" s="1"/>
  <c r="G433" i="15"/>
  <c r="N815" i="15"/>
  <c r="G363" i="15"/>
  <c r="L863" i="15"/>
  <c r="N843" i="15"/>
  <c r="K863" i="15"/>
  <c r="N835" i="15"/>
  <c r="L847" i="15"/>
  <c r="R847" i="15" s="1"/>
  <c r="P846" i="15" s="1"/>
  <c r="G847" i="15" s="1"/>
  <c r="L846" i="15"/>
  <c r="N415" i="15"/>
  <c r="R823" i="15"/>
  <c r="P822" i="15" s="1"/>
  <c r="G823" i="15" s="1"/>
  <c r="R815" i="15"/>
  <c r="P814" i="15" s="1"/>
  <c r="G815" i="15" s="1"/>
  <c r="N831" i="15"/>
  <c r="G369" i="15"/>
  <c r="G409" i="15"/>
  <c r="R839" i="15"/>
  <c r="R853" i="15"/>
  <c r="P852" i="15" s="1"/>
  <c r="G853" i="15" s="1"/>
  <c r="R807" i="15"/>
  <c r="P806" i="15" s="1"/>
  <c r="G807" i="15" s="1"/>
  <c r="R845" i="15"/>
  <c r="P844" i="15" s="1"/>
  <c r="G845" i="15" s="1"/>
  <c r="G435" i="15"/>
  <c r="R861" i="15"/>
  <c r="P860" i="15" s="1"/>
  <c r="G861" i="15" s="1"/>
  <c r="N807" i="15"/>
  <c r="R829" i="15"/>
  <c r="P828" i="15" s="1"/>
  <c r="G829" i="15" s="1"/>
  <c r="G431" i="15"/>
  <c r="G411" i="15"/>
  <c r="R811" i="15"/>
  <c r="P810" i="15" s="1"/>
  <c r="G811" i="15" s="1"/>
  <c r="G397" i="15"/>
  <c r="N437" i="15"/>
  <c r="G379" i="15"/>
  <c r="G361" i="15"/>
  <c r="N845" i="15"/>
  <c r="G365" i="15"/>
  <c r="G367" i="15"/>
  <c r="R801" i="15"/>
  <c r="P800" i="15" s="1"/>
  <c r="G801" i="15" s="1"/>
  <c r="N423" i="15"/>
  <c r="G371" i="15"/>
  <c r="G389" i="15"/>
  <c r="L790" i="15"/>
  <c r="L791" i="15"/>
  <c r="K791" i="15"/>
  <c r="G359" i="15"/>
  <c r="G375" i="15"/>
  <c r="N419" i="15"/>
  <c r="G377" i="15"/>
  <c r="S613" i="15"/>
  <c r="S609" i="15"/>
  <c r="S593" i="15"/>
  <c r="S611" i="15"/>
  <c r="S595" i="15"/>
  <c r="S557" i="15"/>
  <c r="S541" i="15"/>
  <c r="S579" i="15"/>
  <c r="S569" i="15"/>
  <c r="S553" i="15"/>
  <c r="S537" i="15"/>
  <c r="G537" i="15" s="1"/>
  <c r="S581" i="15"/>
  <c r="S567" i="15"/>
  <c r="S551" i="15"/>
  <c r="S577" i="15"/>
  <c r="S573" i="15"/>
  <c r="S575" i="15"/>
  <c r="S571" i="15"/>
  <c r="S539" i="15"/>
  <c r="S555" i="15"/>
  <c r="S597" i="15"/>
  <c r="S601" i="15"/>
  <c r="S587" i="15"/>
  <c r="S565" i="15"/>
  <c r="S543" i="15"/>
  <c r="S549" i="15"/>
  <c r="S583" i="15"/>
  <c r="S605" i="15"/>
  <c r="G605" i="15" s="1"/>
  <c r="S545" i="15"/>
  <c r="S599" i="15"/>
  <c r="S561" i="15"/>
  <c r="S585" i="15"/>
  <c r="S591" i="15"/>
  <c r="S589" i="15"/>
  <c r="S563" i="15"/>
  <c r="S603" i="15"/>
  <c r="S547" i="15"/>
  <c r="S559" i="15"/>
  <c r="S615" i="15"/>
  <c r="S607" i="15"/>
  <c r="N417" i="15"/>
  <c r="G417" i="15"/>
  <c r="L858" i="15"/>
  <c r="L859" i="15"/>
  <c r="K859" i="15"/>
  <c r="N431" i="15"/>
  <c r="L805" i="15"/>
  <c r="K805" i="15"/>
  <c r="L804" i="15"/>
  <c r="N819" i="15"/>
  <c r="R819" i="15"/>
  <c r="P818" i="15" s="1"/>
  <c r="G819" i="15" s="1"/>
  <c r="S1036" i="15"/>
  <c r="S829" i="15"/>
  <c r="S859" i="15"/>
  <c r="S843" i="15"/>
  <c r="S835" i="15"/>
  <c r="S793" i="15"/>
  <c r="S817" i="15"/>
  <c r="S821" i="15"/>
  <c r="S801" i="15"/>
  <c r="S851" i="15"/>
  <c r="S809" i="15"/>
  <c r="S803" i="15"/>
  <c r="S819" i="15"/>
  <c r="S861" i="15"/>
  <c r="S791" i="15"/>
  <c r="S865" i="15"/>
  <c r="S855" i="15"/>
  <c r="S857" i="15"/>
  <c r="S805" i="15"/>
  <c r="S789" i="15"/>
  <c r="S807" i="15"/>
  <c r="S831" i="15"/>
  <c r="S863" i="15"/>
  <c r="S795" i="15"/>
  <c r="S811" i="15"/>
  <c r="S845" i="15"/>
  <c r="S849" i="15"/>
  <c r="S787" i="15"/>
  <c r="S797" i="15"/>
  <c r="S853" i="15"/>
  <c r="S823" i="15"/>
  <c r="S825" i="15"/>
  <c r="S827" i="15"/>
  <c r="S839" i="15"/>
  <c r="S847" i="15"/>
  <c r="S837" i="15"/>
  <c r="S815" i="15"/>
  <c r="S833" i="15"/>
  <c r="S841" i="15"/>
  <c r="S813" i="15"/>
  <c r="S799" i="15"/>
  <c r="L856" i="15"/>
  <c r="L857" i="15"/>
  <c r="K857" i="15"/>
  <c r="K789" i="15"/>
  <c r="L789" i="15"/>
  <c r="L788" i="15"/>
  <c r="K797" i="15"/>
  <c r="L796" i="15"/>
  <c r="L797" i="15"/>
  <c r="N391" i="15"/>
  <c r="G391" i="15"/>
  <c r="AB1251" i="15"/>
  <c r="AB1249" i="15"/>
  <c r="AB1247" i="15"/>
  <c r="AB1243" i="15"/>
  <c r="AB1223" i="15"/>
  <c r="AB1205" i="15"/>
  <c r="AB1255" i="15"/>
  <c r="AB1253" i="15"/>
  <c r="AB1245" i="15"/>
  <c r="AB1221" i="15"/>
  <c r="AB1219" i="15"/>
  <c r="AB1231" i="15"/>
  <c r="AB1215" i="15"/>
  <c r="AB1239" i="15"/>
  <c r="AB1195" i="15"/>
  <c r="AB1179" i="15"/>
  <c r="AB1203" i="15"/>
  <c r="AB1193" i="15"/>
  <c r="AB1177" i="15"/>
  <c r="AB1207" i="15"/>
  <c r="V1299" i="15"/>
  <c r="AB1229" i="15"/>
  <c r="AB1211" i="15"/>
  <c r="AB1171" i="15"/>
  <c r="AB1241" i="15"/>
  <c r="AB1167" i="15"/>
  <c r="AB1175" i="15"/>
  <c r="AB1235" i="15"/>
  <c r="AB1225" i="15"/>
  <c r="AB1213" i="15"/>
  <c r="AB1217" i="15"/>
  <c r="AB1209" i="15"/>
  <c r="AB1201" i="15"/>
  <c r="AB1181" i="15"/>
  <c r="AB1162" i="15"/>
  <c r="AB1151" i="15" s="1"/>
  <c r="AB1197" i="15"/>
  <c r="AB1227" i="15"/>
  <c r="AB1237" i="15"/>
  <c r="AB1233" i="15"/>
  <c r="AB1199" i="15"/>
  <c r="V1175" i="15"/>
  <c r="D35" i="10" s="1"/>
  <c r="AB1173" i="15"/>
  <c r="V1171" i="15"/>
  <c r="AB1187" i="15" s="1"/>
  <c r="AB1169" i="15"/>
  <c r="V1167" i="15"/>
  <c r="AB1183" i="15" s="1"/>
  <c r="V1293" i="15"/>
  <c r="V1297" i="15"/>
  <c r="V1169" i="15"/>
  <c r="AB1185" i="15" s="1"/>
  <c r="V1295" i="15"/>
  <c r="V1173" i="15"/>
  <c r="AB1189" i="15" s="1"/>
  <c r="V1301" i="15"/>
  <c r="N385" i="15"/>
  <c r="G385" i="15"/>
  <c r="L824" i="15"/>
  <c r="L825" i="15"/>
  <c r="K825" i="15"/>
  <c r="Z1369" i="15"/>
  <c r="Z1367" i="15"/>
  <c r="Z1351" i="15"/>
  <c r="Z1331" i="15"/>
  <c r="Z1305" i="15"/>
  <c r="Z1365" i="15"/>
  <c r="Z1353" i="15"/>
  <c r="Z1347" i="15"/>
  <c r="Z1329" i="15"/>
  <c r="Z1317" i="15"/>
  <c r="Z1349" i="15"/>
  <c r="Z1335" i="15"/>
  <c r="Z1307" i="15"/>
  <c r="Z1321" i="15"/>
  <c r="Z1315" i="15"/>
  <c r="Z1333" i="15"/>
  <c r="Z1295" i="15"/>
  <c r="Z1363" i="15"/>
  <c r="Z1319" i="15"/>
  <c r="Z1293" i="15"/>
  <c r="Z1337" i="15"/>
  <c r="Z1323" i="15"/>
  <c r="Z1361" i="15"/>
  <c r="Z1371" i="15"/>
  <c r="Z1301" i="15"/>
  <c r="Z1357" i="15"/>
  <c r="Z1325" i="15"/>
  <c r="Z1303" i="15"/>
  <c r="Z1359" i="15"/>
  <c r="Z1343" i="15"/>
  <c r="Z1355" i="15"/>
  <c r="Z1311" i="15"/>
  <c r="Z1327" i="15"/>
  <c r="Z1345" i="15"/>
  <c r="Z1341" i="15"/>
  <c r="Z1339" i="15"/>
  <c r="Z1297" i="15"/>
  <c r="Z1299" i="15"/>
  <c r="Z1313" i="15"/>
  <c r="Z1309" i="15"/>
  <c r="N381" i="15"/>
  <c r="G381" i="15"/>
  <c r="AB1026" i="15"/>
  <c r="AB1024" i="15"/>
  <c r="AB1025" i="15"/>
  <c r="W1251" i="15"/>
  <c r="W1231" i="15"/>
  <c r="AB1309" i="15" s="1"/>
  <c r="W1215" i="15"/>
  <c r="AB1293" i="15" s="1"/>
  <c r="W1249" i="15"/>
  <c r="W1219" i="15"/>
  <c r="AB1297" i="15" s="1"/>
  <c r="W1239" i="15"/>
  <c r="AB1317" i="15" s="1"/>
  <c r="W1235" i="15"/>
  <c r="AB1313" i="15" s="1"/>
  <c r="W1221" i="15"/>
  <c r="AB1299" i="15" s="1"/>
  <c r="W1255" i="15"/>
  <c r="W1227" i="15"/>
  <c r="AB1305" i="15" s="1"/>
  <c r="W1199" i="15"/>
  <c r="W1183" i="15"/>
  <c r="W1173" i="15"/>
  <c r="W1211" i="15"/>
  <c r="W1247" i="15"/>
  <c r="W1175" i="15"/>
  <c r="W1167" i="15"/>
  <c r="W1191" i="15"/>
  <c r="W1179" i="15"/>
  <c r="W1223" i="15"/>
  <c r="AB1301" i="15" s="1"/>
  <c r="W1203" i="15"/>
  <c r="W1193" i="15"/>
  <c r="W1225" i="15"/>
  <c r="AB1303" i="15" s="1"/>
  <c r="W1209" i="15"/>
  <c r="W1195" i="15"/>
  <c r="W1229" i="15"/>
  <c r="AB1307" i="15" s="1"/>
  <c r="W1241" i="15"/>
  <c r="AB1319" i="15" s="1"/>
  <c r="W1169" i="15"/>
  <c r="W1201" i="15"/>
  <c r="W1171" i="15"/>
  <c r="W1233" i="15"/>
  <c r="AB1311" i="15" s="1"/>
  <c r="W1217" i="15"/>
  <c r="AB1295" i="15" s="1"/>
  <c r="W1185" i="15"/>
  <c r="W1177" i="15"/>
  <c r="W1205" i="15"/>
  <c r="W1245" i="15"/>
  <c r="AB1323" i="15" s="1"/>
  <c r="W1237" i="15"/>
  <c r="AB1315" i="15" s="1"/>
  <c r="W1181" i="15"/>
  <c r="W1189" i="15"/>
  <c r="W1207" i="15"/>
  <c r="W1197" i="15"/>
  <c r="W1213" i="15"/>
  <c r="W1187" i="15"/>
  <c r="W1253" i="15"/>
  <c r="W1243" i="15"/>
  <c r="AB1321" i="15" s="1"/>
  <c r="K813" i="15"/>
  <c r="L812" i="15"/>
  <c r="L813" i="15"/>
  <c r="S909" i="15"/>
  <c r="S732" i="15"/>
  <c r="S716" i="15"/>
  <c r="S724" i="15"/>
  <c r="G724" i="15" s="1"/>
  <c r="S710" i="15"/>
  <c r="S726" i="15"/>
  <c r="S708" i="15"/>
  <c r="S720" i="15"/>
  <c r="S740" i="15"/>
  <c r="G740" i="15" s="1"/>
  <c r="S702" i="15"/>
  <c r="S686" i="15"/>
  <c r="S670" i="15"/>
  <c r="S698" i="15"/>
  <c r="S682" i="15"/>
  <c r="S666" i="15"/>
  <c r="S736" i="15"/>
  <c r="S696" i="15"/>
  <c r="S700" i="15"/>
  <c r="S680" i="15"/>
  <c r="S704" i="15"/>
  <c r="S668" i="15"/>
  <c r="S684" i="15"/>
  <c r="S664" i="15"/>
  <c r="S706" i="15"/>
  <c r="S672" i="15"/>
  <c r="S734" i="15"/>
  <c r="G734" i="15" s="1"/>
  <c r="S678" i="15"/>
  <c r="S688" i="15"/>
  <c r="S730" i="15"/>
  <c r="G730" i="15" s="1"/>
  <c r="S728" i="15"/>
  <c r="S662" i="15"/>
  <c r="S690" i="15"/>
  <c r="S712" i="15"/>
  <c r="S694" i="15"/>
  <c r="S738" i="15"/>
  <c r="S674" i="15"/>
  <c r="S718" i="15"/>
  <c r="S676" i="15"/>
  <c r="S714" i="15"/>
  <c r="S722" i="15"/>
  <c r="S692" i="15"/>
  <c r="N387" i="15"/>
  <c r="G387" i="15"/>
  <c r="N837" i="15"/>
  <c r="R837" i="15"/>
  <c r="P836" i="15" s="1"/>
  <c r="G837" i="15" s="1"/>
  <c r="N803" i="15"/>
  <c r="N399" i="15"/>
  <c r="L832" i="15"/>
  <c r="L833" i="15"/>
  <c r="K833" i="15"/>
  <c r="N427" i="15"/>
  <c r="G427" i="15"/>
  <c r="AB899" i="15"/>
  <c r="AB897" i="15"/>
  <c r="AB898" i="15"/>
  <c r="T1036" i="15"/>
  <c r="T863" i="15"/>
  <c r="T823" i="15"/>
  <c r="T829" i="15"/>
  <c r="T847" i="15"/>
  <c r="T817" i="15"/>
  <c r="T801" i="15"/>
  <c r="T855" i="15"/>
  <c r="T837" i="15"/>
  <c r="T845" i="15"/>
  <c r="T831" i="15"/>
  <c r="T839" i="15"/>
  <c r="T793" i="15"/>
  <c r="T809" i="15"/>
  <c r="T803" i="15"/>
  <c r="T795" i="15"/>
  <c r="T811" i="15"/>
  <c r="T797" i="15"/>
  <c r="T799" i="15"/>
  <c r="T825" i="15"/>
  <c r="T843" i="15"/>
  <c r="T849" i="15"/>
  <c r="T787" i="15"/>
  <c r="T813" i="15"/>
  <c r="T827" i="15"/>
  <c r="T821" i="15"/>
  <c r="T807" i="15"/>
  <c r="T859" i="15"/>
  <c r="T841" i="15"/>
  <c r="T861" i="15"/>
  <c r="T835" i="15"/>
  <c r="T791" i="15"/>
  <c r="T851" i="15"/>
  <c r="T805" i="15"/>
  <c r="T789" i="15"/>
  <c r="T857" i="15"/>
  <c r="T853" i="15"/>
  <c r="T833" i="15"/>
  <c r="T819" i="15"/>
  <c r="T815" i="15"/>
  <c r="T865" i="15"/>
  <c r="N393" i="15"/>
  <c r="G393" i="15"/>
  <c r="Y1363" i="15"/>
  <c r="Y1347" i="15"/>
  <c r="Y1351" i="15"/>
  <c r="Y1319" i="15"/>
  <c r="Y1331" i="15"/>
  <c r="Y1305" i="15"/>
  <c r="Y1365" i="15"/>
  <c r="Y1333" i="15"/>
  <c r="Y1295" i="15"/>
  <c r="Y1297" i="15"/>
  <c r="Y1367" i="15"/>
  <c r="Y1317" i="15"/>
  <c r="Y1339" i="15"/>
  <c r="Y1293" i="15"/>
  <c r="Y1315" i="15"/>
  <c r="Y1335" i="15"/>
  <c r="Y1323" i="15"/>
  <c r="Y1321" i="15"/>
  <c r="Y1349" i="15"/>
  <c r="Y1355" i="15"/>
  <c r="Y1313" i="15"/>
  <c r="Y1309" i="15"/>
  <c r="Y1337" i="15"/>
  <c r="Y1353" i="15"/>
  <c r="Y1359" i="15"/>
  <c r="Y1371" i="15"/>
  <c r="Y1307" i="15"/>
  <c r="Y1357" i="15"/>
  <c r="Y1327" i="15"/>
  <c r="Y1301" i="15"/>
  <c r="Y1311" i="15"/>
  <c r="Y1345" i="15"/>
  <c r="Y1329" i="15"/>
  <c r="Y1369" i="15"/>
  <c r="Y1343" i="15"/>
  <c r="Y1361" i="15"/>
  <c r="Y1299" i="15"/>
  <c r="Y1341" i="15"/>
  <c r="Y1325" i="15"/>
  <c r="Y1303" i="15"/>
  <c r="N383" i="15"/>
  <c r="G383" i="15"/>
  <c r="T611" i="15"/>
  <c r="T595" i="15"/>
  <c r="T559" i="15"/>
  <c r="T543" i="15"/>
  <c r="T609" i="15"/>
  <c r="T577" i="15"/>
  <c r="T573" i="15"/>
  <c r="T571" i="15"/>
  <c r="T555" i="15"/>
  <c r="T539" i="15"/>
  <c r="T567" i="15"/>
  <c r="T551" i="15"/>
  <c r="T589" i="15"/>
  <c r="T593" i="15"/>
  <c r="T579" i="15"/>
  <c r="T569" i="15"/>
  <c r="T537" i="15"/>
  <c r="T553" i="15"/>
  <c r="T541" i="15"/>
  <c r="T565" i="15"/>
  <c r="T575" i="15"/>
  <c r="T607" i="15"/>
  <c r="T581" i="15"/>
  <c r="T557" i="15"/>
  <c r="T597" i="15"/>
  <c r="T549" i="15"/>
  <c r="T587" i="15"/>
  <c r="T545" i="15"/>
  <c r="T591" i="15"/>
  <c r="T613" i="15"/>
  <c r="T615" i="15"/>
  <c r="T585" i="15"/>
  <c r="T561" i="15"/>
  <c r="T599" i="15"/>
  <c r="T563" i="15"/>
  <c r="T603" i="15"/>
  <c r="T547" i="15"/>
  <c r="T605" i="15"/>
  <c r="T601" i="15"/>
  <c r="T583" i="15"/>
  <c r="L850" i="15"/>
  <c r="L851" i="15"/>
  <c r="K851" i="15"/>
  <c r="X1365" i="15"/>
  <c r="X1349" i="15"/>
  <c r="X1363" i="15"/>
  <c r="X1333" i="15"/>
  <c r="X1321" i="15"/>
  <c r="X1351" i="15"/>
  <c r="X1319" i="15"/>
  <c r="X1305" i="15"/>
  <c r="X1369" i="15"/>
  <c r="X1317" i="15"/>
  <c r="X1337" i="15"/>
  <c r="X1353" i="15"/>
  <c r="X1295" i="15"/>
  <c r="X1307" i="15"/>
  <c r="X1297" i="15"/>
  <c r="X1335" i="15"/>
  <c r="X1303" i="15"/>
  <c r="AB1325" i="15"/>
  <c r="X1299" i="15"/>
  <c r="X1367" i="15"/>
  <c r="X1309" i="15"/>
  <c r="X1341" i="15"/>
  <c r="X1359" i="15"/>
  <c r="X1311" i="15"/>
  <c r="X1313" i="15"/>
  <c r="X1345" i="15"/>
  <c r="X1361" i="15"/>
  <c r="X1301" i="15"/>
  <c r="X1293" i="15"/>
  <c r="X1315" i="15"/>
  <c r="X1371" i="15"/>
  <c r="X1323" i="15"/>
  <c r="X1347" i="15"/>
  <c r="X1325" i="15"/>
  <c r="X1357" i="15"/>
  <c r="X1343" i="15"/>
  <c r="X1355" i="15"/>
  <c r="X1329" i="15"/>
  <c r="X1331" i="15"/>
  <c r="X1327" i="15"/>
  <c r="AB1288" i="15"/>
  <c r="X1339" i="15"/>
  <c r="T909" i="15"/>
  <c r="T732" i="15"/>
  <c r="T716" i="15"/>
  <c r="T738" i="15"/>
  <c r="T724" i="15"/>
  <c r="T708" i="15"/>
  <c r="T740" i="15"/>
  <c r="T706" i="15"/>
  <c r="T700" i="15"/>
  <c r="T684" i="15"/>
  <c r="T668" i="15"/>
  <c r="T722" i="15"/>
  <c r="T666" i="15"/>
  <c r="T718" i="15"/>
  <c r="T698" i="15"/>
  <c r="T682" i="15"/>
  <c r="T734" i="15"/>
  <c r="T690" i="15"/>
  <c r="T686" i="15"/>
  <c r="T720" i="15"/>
  <c r="T726" i="15"/>
  <c r="T676" i="15"/>
  <c r="T702" i="15"/>
  <c r="T704" i="15"/>
  <c r="T728" i="15"/>
  <c r="T674" i="15"/>
  <c r="T678" i="15"/>
  <c r="T696" i="15"/>
  <c r="T714" i="15"/>
  <c r="T694" i="15"/>
  <c r="T664" i="15"/>
  <c r="T712" i="15"/>
  <c r="T692" i="15"/>
  <c r="T670" i="15"/>
  <c r="T736" i="15"/>
  <c r="T730" i="15"/>
  <c r="T672" i="15"/>
  <c r="T688" i="15"/>
  <c r="T710" i="15"/>
  <c r="T662" i="15"/>
  <c r="T680" i="15"/>
  <c r="N405" i="15"/>
  <c r="G405" i="15"/>
  <c r="AA1367" i="15"/>
  <c r="AA1365" i="15"/>
  <c r="AA1349" i="15"/>
  <c r="AA1347" i="15"/>
  <c r="AA1329" i="15"/>
  <c r="AA1317" i="15"/>
  <c r="AA1361" i="15"/>
  <c r="AA1315" i="15"/>
  <c r="AA1297" i="15"/>
  <c r="AA1335" i="15"/>
  <c r="AA1351" i="15"/>
  <c r="AA1293" i="15"/>
  <c r="AA1305" i="15"/>
  <c r="AA1343" i="15"/>
  <c r="AA1333" i="15"/>
  <c r="AA1363" i="15"/>
  <c r="AA1319" i="15"/>
  <c r="AA1331" i="15"/>
  <c r="AA1321" i="15"/>
  <c r="AA1327" i="15"/>
  <c r="AA1369" i="15"/>
  <c r="AA1325" i="15"/>
  <c r="AA1303" i="15"/>
  <c r="AA1313" i="15"/>
  <c r="AA1371" i="15"/>
  <c r="AA1355" i="15"/>
  <c r="AA1341" i="15"/>
  <c r="AA1295" i="15"/>
  <c r="AA1309" i="15"/>
  <c r="AA1337" i="15"/>
  <c r="AA1299" i="15"/>
  <c r="AA1339" i="15"/>
  <c r="AA1345" i="15"/>
  <c r="AA1353" i="15"/>
  <c r="AA1323" i="15"/>
  <c r="AA1311" i="15"/>
  <c r="AA1357" i="15"/>
  <c r="AA1301" i="15"/>
  <c r="AA1359" i="15"/>
  <c r="AA1307" i="15"/>
  <c r="N787" i="15"/>
  <c r="R787" i="15"/>
  <c r="P786" i="15" s="1"/>
  <c r="G787" i="15" s="1"/>
  <c r="AB1394" i="15" l="1"/>
  <c r="AB1400" i="15"/>
  <c r="AB1402" i="15"/>
  <c r="AB1398" i="15"/>
  <c r="AB1396" i="15"/>
  <c r="S1147" i="15"/>
  <c r="S1149" i="15"/>
  <c r="S1143" i="15"/>
  <c r="S1145" i="15"/>
  <c r="S1141" i="15"/>
  <c r="T1149" i="15"/>
  <c r="T1147" i="15"/>
  <c r="T1143" i="15"/>
  <c r="T1145" i="15"/>
  <c r="T1141" i="15"/>
  <c r="T1016" i="15"/>
  <c r="T1018" i="15"/>
  <c r="T1022" i="15"/>
  <c r="T1020" i="15"/>
  <c r="T1014" i="15"/>
  <c r="S1016" i="15"/>
  <c r="S1020" i="15"/>
  <c r="S1014" i="15"/>
  <c r="S1018" i="15"/>
  <c r="S1022" i="15"/>
  <c r="G756" i="15"/>
  <c r="AB1392" i="15"/>
  <c r="AB1388" i="15"/>
  <c r="AB1390" i="15"/>
  <c r="AB1386" i="15"/>
  <c r="AB1384" i="15"/>
  <c r="T1135" i="15"/>
  <c r="T1131" i="15"/>
  <c r="T1137" i="15"/>
  <c r="T1133" i="15"/>
  <c r="T1139" i="15"/>
  <c r="S1135" i="15"/>
  <c r="G1135" i="15" s="1"/>
  <c r="S1131" i="15"/>
  <c r="S1137" i="15"/>
  <c r="S1133" i="15"/>
  <c r="S1139" i="15"/>
  <c r="S1004" i="15"/>
  <c r="S1010" i="15"/>
  <c r="S1012" i="15"/>
  <c r="S1008" i="15"/>
  <c r="S1006" i="15"/>
  <c r="T1006" i="15"/>
  <c r="T1004" i="15"/>
  <c r="T1008" i="15"/>
  <c r="T1012" i="15"/>
  <c r="T1010" i="15"/>
  <c r="G627" i="15"/>
  <c r="G617" i="15"/>
  <c r="S994" i="15"/>
  <c r="S1000" i="15"/>
  <c r="S996" i="15"/>
  <c r="S1002" i="15"/>
  <c r="S998" i="15"/>
  <c r="T996" i="15"/>
  <c r="T994" i="15"/>
  <c r="T1002" i="15"/>
  <c r="T1000" i="15"/>
  <c r="T998" i="15"/>
  <c r="G750" i="15"/>
  <c r="G615" i="15"/>
  <c r="G744" i="15"/>
  <c r="P868" i="15"/>
  <c r="G869" i="15" s="1"/>
  <c r="P838" i="15"/>
  <c r="G839" i="15" s="1"/>
  <c r="AB1378" i="15"/>
  <c r="T1121" i="15"/>
  <c r="T1125" i="15"/>
  <c r="T1123" i="15"/>
  <c r="T1129" i="15"/>
  <c r="T1127" i="15"/>
  <c r="S1127" i="15"/>
  <c r="S1129" i="15"/>
  <c r="G1129" i="15" s="1"/>
  <c r="S1121" i="15"/>
  <c r="S1123" i="15"/>
  <c r="S1125" i="15"/>
  <c r="AB1380" i="15"/>
  <c r="AB1374" i="15"/>
  <c r="AB1382" i="15"/>
  <c r="AB1376" i="15"/>
  <c r="R865" i="15"/>
  <c r="P864" i="15" s="1"/>
  <c r="G865" i="15" s="1"/>
  <c r="R841" i="15"/>
  <c r="P840" i="15" s="1"/>
  <c r="G841" i="15" s="1"/>
  <c r="N795" i="15"/>
  <c r="R795" i="15"/>
  <c r="P794" i="15" s="1"/>
  <c r="G795" i="15" s="1"/>
  <c r="G565" i="15"/>
  <c r="N849" i="15"/>
  <c r="P848" i="15"/>
  <c r="G849" i="15" s="1"/>
  <c r="G690" i="15"/>
  <c r="G670" i="15"/>
  <c r="G720" i="15"/>
  <c r="G595" i="15"/>
  <c r="G545" i="15"/>
  <c r="N863" i="15"/>
  <c r="AB1191" i="15"/>
  <c r="R863" i="15"/>
  <c r="P862" i="15" s="1"/>
  <c r="G863" i="15" s="1"/>
  <c r="N847" i="15"/>
  <c r="N791" i="15"/>
  <c r="R791" i="15"/>
  <c r="P790" i="15" s="1"/>
  <c r="G791" i="15" s="1"/>
  <c r="N851" i="15"/>
  <c r="R851" i="15"/>
  <c r="P850" i="15" s="1"/>
  <c r="G851" i="15" s="1"/>
  <c r="AB1152" i="15"/>
  <c r="N825" i="15"/>
  <c r="R825" i="15"/>
  <c r="P824" i="15" s="1"/>
  <c r="G825" i="15" s="1"/>
  <c r="T1105" i="15"/>
  <c r="T1091" i="15"/>
  <c r="T1115" i="15"/>
  <c r="T1107" i="15"/>
  <c r="T1101" i="15"/>
  <c r="T1069" i="15"/>
  <c r="T1089" i="15"/>
  <c r="T1075" i="15"/>
  <c r="T1061" i="15"/>
  <c r="T1043" i="15"/>
  <c r="T1099" i="15"/>
  <c r="T1041" i="15"/>
  <c r="T1077" i="15"/>
  <c r="T1059" i="15"/>
  <c r="T1049" i="15"/>
  <c r="T1063" i="15"/>
  <c r="T1067" i="15"/>
  <c r="T1103" i="15"/>
  <c r="T1053" i="15"/>
  <c r="T1045" i="15"/>
  <c r="T1095" i="15"/>
  <c r="T1083" i="15"/>
  <c r="T1047" i="15"/>
  <c r="T1087" i="15"/>
  <c r="T1117" i="15"/>
  <c r="T1119" i="15"/>
  <c r="T1057" i="15"/>
  <c r="T1051" i="15"/>
  <c r="T1065" i="15"/>
  <c r="T1081" i="15"/>
  <c r="T1079" i="15"/>
  <c r="T1055" i="15"/>
  <c r="T1071" i="15"/>
  <c r="T1111" i="15"/>
  <c r="T1113" i="15"/>
  <c r="T1073" i="15"/>
  <c r="T1093" i="15"/>
  <c r="T1097" i="15"/>
  <c r="T1109" i="15"/>
  <c r="T1085" i="15"/>
  <c r="S1162" i="15"/>
  <c r="S992" i="15"/>
  <c r="G992" i="15" s="1"/>
  <c r="S970" i="15"/>
  <c r="S984" i="15"/>
  <c r="S962" i="15"/>
  <c r="S990" i="15"/>
  <c r="S956" i="15"/>
  <c r="S940" i="15"/>
  <c r="S924" i="15"/>
  <c r="S942" i="15"/>
  <c r="G942" i="15" s="1"/>
  <c r="S928" i="15"/>
  <c r="S944" i="15"/>
  <c r="S922" i="15"/>
  <c r="S972" i="15"/>
  <c r="S960" i="15"/>
  <c r="S988" i="15"/>
  <c r="S926" i="15"/>
  <c r="S938" i="15"/>
  <c r="S958" i="15"/>
  <c r="S952" i="15"/>
  <c r="S968" i="15"/>
  <c r="S976" i="15"/>
  <c r="G976" i="15" s="1"/>
  <c r="S920" i="15"/>
  <c r="S974" i="15"/>
  <c r="S914" i="15"/>
  <c r="S948" i="15"/>
  <c r="S918" i="15"/>
  <c r="S934" i="15"/>
  <c r="S950" i="15"/>
  <c r="S966" i="15"/>
  <c r="S982" i="15"/>
  <c r="S954" i="15"/>
  <c r="S932" i="15"/>
  <c r="S930" i="15"/>
  <c r="S946" i="15"/>
  <c r="S964" i="15"/>
  <c r="S980" i="15"/>
  <c r="S978" i="15"/>
  <c r="S936" i="15"/>
  <c r="S986" i="15"/>
  <c r="G986" i="15" s="1"/>
  <c r="S916" i="15"/>
  <c r="N813" i="15"/>
  <c r="R813" i="15"/>
  <c r="P812" i="15" s="1"/>
  <c r="G813" i="15" s="1"/>
  <c r="N797" i="15"/>
  <c r="R797" i="15"/>
  <c r="S1107" i="15"/>
  <c r="S1091" i="15"/>
  <c r="S1099" i="15"/>
  <c r="S1115" i="15"/>
  <c r="S1113" i="15"/>
  <c r="S1075" i="15"/>
  <c r="S1097" i="15"/>
  <c r="S1061" i="15"/>
  <c r="S1043" i="15"/>
  <c r="S1103" i="15"/>
  <c r="S1073" i="15"/>
  <c r="S1041" i="15"/>
  <c r="S1059" i="15"/>
  <c r="S1077" i="15"/>
  <c r="S1063" i="15"/>
  <c r="S1079" i="15"/>
  <c r="S1111" i="15"/>
  <c r="S1053" i="15"/>
  <c r="S1081" i="15"/>
  <c r="S1109" i="15"/>
  <c r="S1071" i="15"/>
  <c r="S1069" i="15"/>
  <c r="G1069" i="15" s="1"/>
  <c r="S1105" i="15"/>
  <c r="S1057" i="15"/>
  <c r="S1055" i="15"/>
  <c r="S1067" i="15"/>
  <c r="S1051" i="15"/>
  <c r="S1083" i="15"/>
  <c r="S1045" i="15"/>
  <c r="S1087" i="15"/>
  <c r="S1093" i="15"/>
  <c r="S1065" i="15"/>
  <c r="S1089" i="15"/>
  <c r="S1047" i="15"/>
  <c r="S1095" i="15"/>
  <c r="S1085" i="15"/>
  <c r="S1117" i="15"/>
  <c r="S1119" i="15"/>
  <c r="G1119" i="15" s="1"/>
  <c r="S1101" i="15"/>
  <c r="S1049" i="15"/>
  <c r="G1049" i="15" s="1"/>
  <c r="R859" i="15"/>
  <c r="P858" i="15" s="1"/>
  <c r="G859" i="15" s="1"/>
  <c r="N859" i="15"/>
  <c r="T1162" i="15"/>
  <c r="T992" i="15"/>
  <c r="T972" i="15"/>
  <c r="T990" i="15"/>
  <c r="T970" i="15"/>
  <c r="T986" i="15"/>
  <c r="T962" i="15"/>
  <c r="T946" i="15"/>
  <c r="T930" i="15"/>
  <c r="T914" i="15"/>
  <c r="T960" i="15"/>
  <c r="T956" i="15"/>
  <c r="T924" i="15"/>
  <c r="T988" i="15"/>
  <c r="T926" i="15"/>
  <c r="T958" i="15"/>
  <c r="T942" i="15"/>
  <c r="T940" i="15"/>
  <c r="T952" i="15"/>
  <c r="T948" i="15"/>
  <c r="T968" i="15"/>
  <c r="T978" i="15"/>
  <c r="T966" i="15"/>
  <c r="T932" i="15"/>
  <c r="T920" i="15"/>
  <c r="T916" i="15"/>
  <c r="T950" i="15"/>
  <c r="T928" i="15"/>
  <c r="T922" i="15"/>
  <c r="T984" i="15"/>
  <c r="T936" i="15"/>
  <c r="T938" i="15"/>
  <c r="T964" i="15"/>
  <c r="T944" i="15"/>
  <c r="T976" i="15"/>
  <c r="T982" i="15"/>
  <c r="T980" i="15"/>
  <c r="T954" i="15"/>
  <c r="T934" i="15"/>
  <c r="T974" i="15"/>
  <c r="T918" i="15"/>
  <c r="N833" i="15"/>
  <c r="R833" i="15"/>
  <c r="P832" i="15" s="1"/>
  <c r="G833" i="15" s="1"/>
  <c r="N789" i="15"/>
  <c r="R789" i="15"/>
  <c r="P788" i="15" s="1"/>
  <c r="G789" i="15" s="1"/>
  <c r="N857" i="15"/>
  <c r="R857" i="15"/>
  <c r="P856" i="15" s="1"/>
  <c r="G857" i="15" s="1"/>
  <c r="N805" i="15"/>
  <c r="R805" i="15"/>
  <c r="P804" i="15" s="1"/>
  <c r="G805" i="15" s="1"/>
  <c r="A13" i="10"/>
  <c r="C30" i="10" a="1"/>
  <c r="C30" i="10" s="1"/>
  <c r="S1283" i="15" l="1"/>
  <c r="S1279" i="15"/>
  <c r="S1277" i="15"/>
  <c r="S1285" i="15"/>
  <c r="S1281" i="15"/>
  <c r="T1279" i="15"/>
  <c r="T1277" i="15"/>
  <c r="T1283" i="15"/>
  <c r="T1285" i="15"/>
  <c r="T1281" i="15"/>
  <c r="S1388" i="15"/>
  <c r="S1392" i="15"/>
  <c r="S1384" i="15"/>
  <c r="S1386" i="15"/>
  <c r="S1390" i="15"/>
  <c r="G1008" i="15"/>
  <c r="G1131" i="15"/>
  <c r="S1269" i="15"/>
  <c r="S1275" i="15"/>
  <c r="S1271" i="15"/>
  <c r="S1267" i="15"/>
  <c r="G1267" i="15" s="1"/>
  <c r="S1273" i="15"/>
  <c r="T1269" i="15"/>
  <c r="T1267" i="15"/>
  <c r="T1273" i="15"/>
  <c r="T1271" i="15"/>
  <c r="T1275" i="15"/>
  <c r="P796" i="15"/>
  <c r="G797" i="15" s="1"/>
  <c r="G1109" i="15"/>
  <c r="G966" i="15"/>
  <c r="S1261" i="15"/>
  <c r="S1374" i="15"/>
  <c r="S1257" i="15"/>
  <c r="S1263" i="15"/>
  <c r="S1378" i="15"/>
  <c r="S1382" i="15"/>
  <c r="S1376" i="15"/>
  <c r="S1380" i="15"/>
  <c r="S1259" i="15"/>
  <c r="S1265" i="15"/>
  <c r="G1265" i="15" s="1"/>
  <c r="T1261" i="15"/>
  <c r="T1257" i="15"/>
  <c r="T1263" i="15"/>
  <c r="T1265" i="15"/>
  <c r="T1259" i="15"/>
  <c r="G922" i="15"/>
  <c r="T1239" i="15"/>
  <c r="T1237" i="15"/>
  <c r="T1231" i="15"/>
  <c r="T1215" i="15"/>
  <c r="T1217" i="15"/>
  <c r="T1211" i="15"/>
  <c r="T1233" i="15"/>
  <c r="T1191" i="15"/>
  <c r="T1288" i="15"/>
  <c r="T1253" i="15"/>
  <c r="T1245" i="15"/>
  <c r="T1255" i="15"/>
  <c r="T1227" i="15"/>
  <c r="T1199" i="15"/>
  <c r="T1183" i="15"/>
  <c r="T1173" i="15"/>
  <c r="T1203" i="15"/>
  <c r="T1189" i="15"/>
  <c r="T1175" i="15"/>
  <c r="D33" i="10" s="1"/>
  <c r="T1225" i="15"/>
  <c r="T1167" i="15"/>
  <c r="T1209" i="15"/>
  <c r="T1193" i="15"/>
  <c r="T1205" i="15"/>
  <c r="T1169" i="15"/>
  <c r="T1177" i="15"/>
  <c r="T1197" i="15"/>
  <c r="T1201" i="15"/>
  <c r="T1181" i="15"/>
  <c r="T1219" i="15"/>
  <c r="T1221" i="15"/>
  <c r="T1185" i="15"/>
  <c r="T1187" i="15"/>
  <c r="T1213" i="15"/>
  <c r="T1249" i="15"/>
  <c r="T1247" i="15"/>
  <c r="T1195" i="15"/>
  <c r="T1223" i="15"/>
  <c r="T1241" i="15"/>
  <c r="T1171" i="15"/>
  <c r="T1235" i="15"/>
  <c r="T1243" i="15"/>
  <c r="T1179" i="15"/>
  <c r="T1251" i="15"/>
  <c r="T1207" i="15"/>
  <c r="T1229" i="15"/>
  <c r="S1367" i="15"/>
  <c r="S1365" i="15"/>
  <c r="S1349" i="15"/>
  <c r="S1363" i="15"/>
  <c r="S1335" i="15"/>
  <c r="S1315" i="15"/>
  <c r="S1343" i="15"/>
  <c r="S1333" i="15"/>
  <c r="S1347" i="15"/>
  <c r="S1331" i="15"/>
  <c r="S1288" i="15"/>
  <c r="S1293" i="15"/>
  <c r="S1319" i="15"/>
  <c r="S1329" i="15"/>
  <c r="S1239" i="15"/>
  <c r="S1345" i="15"/>
  <c r="S1297" i="15"/>
  <c r="S1361" i="15"/>
  <c r="S1317" i="15"/>
  <c r="S1255" i="15"/>
  <c r="S1231" i="15"/>
  <c r="S1227" i="15"/>
  <c r="S1219" i="15"/>
  <c r="S1211" i="15"/>
  <c r="S1305" i="15"/>
  <c r="S1247" i="15"/>
  <c r="S1311" i="15"/>
  <c r="S1175" i="15"/>
  <c r="S1167" i="15"/>
  <c r="S1243" i="15"/>
  <c r="S1215" i="15"/>
  <c r="S1351" i="15"/>
  <c r="S1235" i="15"/>
  <c r="S1191" i="15"/>
  <c r="S1199" i="15"/>
  <c r="S1187" i="15"/>
  <c r="S1183" i="15"/>
  <c r="S1171" i="15"/>
  <c r="S1205" i="15"/>
  <c r="S1301" i="15"/>
  <c r="S1195" i="15"/>
  <c r="S1193" i="15"/>
  <c r="S1177" i="15"/>
  <c r="S1201" i="15"/>
  <c r="S1209" i="15"/>
  <c r="S1221" i="15"/>
  <c r="S1241" i="15"/>
  <c r="S1307" i="15"/>
  <c r="S1327" i="15"/>
  <c r="S1339" i="15"/>
  <c r="S1179" i="15"/>
  <c r="S1181" i="15"/>
  <c r="S1213" i="15"/>
  <c r="S1251" i="15"/>
  <c r="S1321" i="15"/>
  <c r="S1359" i="15"/>
  <c r="S1223" i="15"/>
  <c r="S1245" i="15"/>
  <c r="S1185" i="15"/>
  <c r="S1207" i="15"/>
  <c r="S1313" i="15"/>
  <c r="S1325" i="15"/>
  <c r="S1303" i="15"/>
  <c r="S1237" i="15"/>
  <c r="S1353" i="15"/>
  <c r="S1369" i="15"/>
  <c r="S1169" i="15"/>
  <c r="S1225" i="15"/>
  <c r="S1197" i="15"/>
  <c r="S1189" i="15"/>
  <c r="S1203" i="15"/>
  <c r="S1229" i="15"/>
  <c r="S1355" i="15"/>
  <c r="S1217" i="15"/>
  <c r="S1253" i="15"/>
  <c r="S1295" i="15"/>
  <c r="S1341" i="15"/>
  <c r="S1249" i="15"/>
  <c r="S1299" i="15"/>
  <c r="S1173" i="15"/>
  <c r="S1323" i="15"/>
  <c r="S1371" i="15"/>
  <c r="S1337" i="15"/>
  <c r="S1233" i="15"/>
  <c r="S1357" i="15"/>
  <c r="S1309" i="15"/>
  <c r="C29" i="10" a="1"/>
  <c r="C29" i="10" s="1"/>
  <c r="T1390" i="15" l="1"/>
  <c r="T1392" i="15"/>
  <c r="T1384" i="15"/>
  <c r="T1386" i="15"/>
  <c r="T1388" i="15"/>
  <c r="G1271" i="15"/>
  <c r="D40" i="10"/>
  <c r="D41" i="10" s="1"/>
  <c r="D42" i="10" s="1"/>
  <c r="D32" i="10"/>
  <c r="G1261" i="15"/>
  <c r="G1245" i="15"/>
  <c r="G1235" i="15"/>
  <c r="T1376" i="15"/>
  <c r="T1382" i="15"/>
  <c r="T1378" i="15"/>
  <c r="G1378" i="15" s="1"/>
  <c r="T1380" i="15"/>
  <c r="G1380" i="15" s="1"/>
  <c r="T1374" i="15"/>
  <c r="G1175" i="15"/>
  <c r="T1319" i="15"/>
  <c r="T1365" i="15"/>
  <c r="T1363" i="15"/>
  <c r="T1347" i="15"/>
  <c r="T1315" i="15"/>
  <c r="T1359" i="15"/>
  <c r="T1343" i="15"/>
  <c r="T1333" i="15"/>
  <c r="T1329" i="15"/>
  <c r="T1361" i="15"/>
  <c r="T1309" i="15"/>
  <c r="T1305" i="15"/>
  <c r="T1295" i="15"/>
  <c r="T1331" i="15"/>
  <c r="T1349" i="15"/>
  <c r="T1317" i="15"/>
  <c r="T1311" i="15"/>
  <c r="T1325" i="15"/>
  <c r="T1355" i="15"/>
  <c r="T1341" i="15"/>
  <c r="T1351" i="15"/>
  <c r="T1299" i="15"/>
  <c r="T1293" i="15"/>
  <c r="T1297" i="15"/>
  <c r="T1345" i="15"/>
  <c r="T1339" i="15"/>
  <c r="T1369" i="15"/>
  <c r="T1335" i="15"/>
  <c r="T1367" i="15"/>
  <c r="T1323" i="15"/>
  <c r="T1371" i="15"/>
  <c r="T1337" i="15"/>
  <c r="T1353" i="15"/>
  <c r="T1327" i="15"/>
  <c r="T1303" i="15"/>
  <c r="T1357" i="15"/>
  <c r="T1313" i="15"/>
  <c r="T1307" i="15"/>
  <c r="T1321" i="15"/>
  <c r="T1301" i="15"/>
  <c r="C28" i="10" a="1"/>
  <c r="C28" i="10" s="1"/>
  <c r="G1382"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<sst xmlns="http://schemas.openxmlformats.org/spreadsheetml/2006/main" count="2219" uniqueCount="398">
  <si>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</si>
  <si>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</si>
  <si>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</si>
  <si>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</si>
  <si>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</si>
  <si>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</si>
  <si>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</si>
  <si>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</si>
  <si>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</si>
  <si>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</si>
  <si>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</si>
  <si>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</si>
  <si>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</si>
  <si>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</si>
  <si>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</si>
  <si>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</si>
  <si>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</si>
  <si>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</si>
  <si>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</si>
  <si>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</si>
  <si>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</si>
  <si>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</si>
  <si>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</si>
  <si>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</si>
  <si>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</si>
  <si>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</si>
  <si>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</si>
  <si>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</si>
  <si>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</si>
  <si>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</si>
  <si>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</si>
  <si>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</si>
  <si>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</si>
  <si>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</si>
  <si>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</si>
  <si>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</si>
  <si>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</si>
  <si>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</si>
  <si>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</si>
  <si>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</si>
  <si>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</si>
  <si>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</si>
  <si>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</si>
  <si>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</si>
  <si>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</si>
  <si>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</si>
  <si>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</si>
  <si>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</si>
  <si>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</si>
  <si>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</si>
  <si>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</si>
  <si>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</si>
  <si>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</si>
  <si>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</si>
  <si>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</si>
  <si>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</si>
  <si>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</si>
  <si>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</si>
  <si>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</si>
  <si>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</si>
  <si>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</si>
  <si>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</si>
  <si>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</si>
  <si>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</si>
  <si>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</si>
  <si>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</si>
  <si>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</si>
  <si>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</si>
  <si>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</si>
  <si>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</si>
  <si>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</si>
  <si>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</si>
  <si>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</si>
  <si>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</si>
  <si>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</si>
  <si>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</si>
  <si>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</si>
  <si>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</si>
  <si>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</si>
  <si>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</si>
  <si>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</si>
  <si>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</si>
  <si>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</si>
  <si>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</si>
  <si>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</si>
  <si>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</si>
  <si>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</si>
  <si>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</si>
  <si>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</si>
  <si>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</si>
  <si>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</si>
  <si>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</si>
  <si>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</si>
  <si>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</si>
  <si>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</si>
  <si>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</si>
  <si>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</si>
  <si>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</si>
  <si>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</si>
  <si>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</si>
  <si>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</si>
  <si>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</si>
  <si>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</si>
  <si>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</si>
  <si>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</si>
  <si>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</si>
  <si>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</si>
  <si>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</si>
  <si>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</si>
  <si>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</si>
  <si>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</si>
  <si>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</si>
  <si>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</si>
  <si>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</si>
  <si>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</si>
  <si>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</si>
  <si>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</si>
  <si>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</si>
  <si>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</si>
  <si>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</si>
  <si>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</si>
  <si>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</si>
  <si>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</si>
  <si>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</si>
  <si>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</si>
  <si>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</si>
  <si>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</si>
  <si>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</si>
  <si>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</si>
  <si>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</si>
  <si>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</si>
  <si>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</si>
  <si>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</si>
  <si>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</si>
  <si>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</si>
  <si>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</si>
  <si>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</si>
  <si>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</si>
  <si>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</si>
  <si>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</si>
  <si>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</si>
  <si>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</si>
  <si>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</si>
  <si>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</si>
  <si>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</si>
  <si>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</si>
  <si>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</si>
  <si>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</si>
  <si>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</si>
  <si>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</si>
  <si>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</si>
  <si>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</si>
  <si>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</si>
  <si>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</si>
  <si>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</si>
  <si>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</si>
  <si>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</si>
  <si>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</si>
  <si>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</si>
  <si>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</si>
  <si>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</si>
  <si>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</si>
  <si>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</si>
  <si>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</si>
  <si>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</si>
  <si>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</si>
  <si>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</si>
  <si>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</si>
  <si>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</si>
  <si>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</si>
  <si>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</si>
  <si>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</si>
  <si>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</si>
  <si>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</si>
  <si>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</si>
  <si>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</si>
  <si>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</si>
  <si>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</si>
  <si>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</si>
  <si>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</si>
  <si>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</si>
  <si>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</si>
  <si>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</si>
  <si>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</si>
  <si>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</si>
  <si>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</si>
  <si>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</si>
  <si>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</si>
  <si>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</si>
  <si>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</si>
  <si>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</si>
  <si>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</si>
  <si>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</si>
  <si>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</si>
  <si>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</si>
  <si>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</si>
  <si>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</si>
  <si>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</si>
  <si>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</si>
  <si>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</si>
  <si>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</si>
  <si>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</si>
  <si>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</si>
  <si>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</si>
  <si>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</si>
  <si>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</si>
  <si>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</si>
  <si>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</si>
  <si>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</si>
  <si>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</si>
  <si>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</si>
  <si>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</si>
  <si>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</si>
  <si>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</si>
  <si>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</si>
  <si>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</si>
  <si>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</si>
  <si>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</si>
  <si>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</si>
  <si>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</si>
  <si>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</si>
  <si>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</si>
  <si>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</si>
  <si>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</si>
  <si>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</si>
  <si>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</si>
  <si>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</si>
  <si>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</si>
  <si>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</si>
  <si>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</si>
  <si>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</si>
  <si>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</si>
  <si>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</si>
  <si>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</si>
  <si>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</si>
  <si>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</si>
  <si>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</si>
  <si>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</si>
  <si>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</si>
  <si>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</si>
  <si>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</si>
  <si>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</si>
  <si>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</si>
  <si>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</si>
  <si>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</si>
  <si>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</si>
  <si>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</si>
  <si>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</si>
  <si>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</si>
  <si>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</si>
  <si>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</si>
  <si>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</si>
  <si>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</si>
  <si>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</si>
  <si>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</si>
  <si>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</si>
  <si>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</si>
  <si>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</si>
  <si>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</si>
  <si>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</si>
  <si>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</si>
  <si>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</si>
  <si>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</si>
  <si>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</si>
  <si>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</si>
  <si>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</si>
  <si>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</si>
  <si>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</si>
  <si>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</si>
  <si>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</si>
  <si>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</si>
  <si>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</si>
  <si>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</si>
  <si>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</si>
  <si>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</si>
  <si>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</si>
  <si>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</si>
  <si>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</si>
  <si>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</si>
  <si>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</si>
  <si>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</si>
  <si>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</si>
  <si>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</si>
  <si>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</si>
  <si>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</si>
  <si>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</si>
  <si>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</si>
  <si>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</si>
  <si>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</si>
  <si>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</si>
  <si>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</si>
  <si>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</si>
  <si>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</si>
  <si>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</si>
  <si>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</si>
  <si>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</si>
  <si>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</si>
  <si>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</si>
  <si>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</si>
  <si>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Amount</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</si>
  <si>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</si>
  <si>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</si>
  <si>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</si>
  <si>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</si>
  <si>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</si>
  <si>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</si>
  <si>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</si>
  <si>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</si>
  <si>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</si>
  <si>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</si>
  <si>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</si>
  <si>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</si>
  <si>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</si>
  <si>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</si>
  <si>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Opt-Out 25</t>
  </si>
  <si>
    <t>SS5</t>
  </si>
  <si>
    <t>SH5</t>
  </si>
  <si>
    <t>SE5</t>
  </si>
  <si>
    <t>SL5</t>
  </si>
  <si>
    <t>PL5</t>
  </si>
  <si>
    <t>PH5</t>
  </si>
  <si>
    <t>HL15</t>
  </si>
  <si>
    <t>HL25</t>
  </si>
  <si>
    <t>HL35</t>
  </si>
  <si>
    <t>HL45</t>
  </si>
  <si>
    <t>January</t>
  </si>
  <si>
    <t>April</t>
  </si>
  <si>
    <t>July</t>
  </si>
  <si>
    <t>September</t>
  </si>
  <si>
    <t>October</t>
  </si>
  <si>
    <t>November</t>
  </si>
  <si>
    <t>December</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</si>
  <si>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</si>
  <si>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</si>
  <si>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</si>
  <si>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</si>
  <si>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</si>
  <si>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</si>
  <si>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</si>
  <si>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</si>
  <si>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</si>
  <si>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</si>
  <si>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</si>
  <si>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</si>
  <si>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</si>
  <si>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</si>
  <si>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</si>
  <si>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</si>
  <si>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</si>
  <si>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</si>
  <si>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</si>
  <si>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</si>
  <si>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</si>
  <si>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</si>
  <si>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</si>
  <si>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</si>
  <si>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 xml:space="preserve">Please check the dates you entered. The dates you entered are valid for the </t>
  </si>
  <si>
    <t xml:space="preserve">billing cycle. If valid, please use AES Indiana's </t>
  </si>
  <si>
    <t>Monthly Bill Calculator</t>
  </si>
  <si>
    <t>Year</t>
  </si>
  <si>
    <t>monthly bill calculator to calculate your bill for the dates entered.</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</si>
  <si>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</si>
  <si>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</si>
  <si>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January 2026</t>
  </si>
  <si>
    <t>February 2026</t>
  </si>
  <si>
    <t>March 2026</t>
  </si>
  <si>
    <t>April 2026</t>
  </si>
  <si>
    <t>May 2026</t>
  </si>
  <si>
    <t>June 2026</t>
  </si>
  <si>
    <t>July 2026</t>
  </si>
  <si>
    <t>August 2026</t>
  </si>
  <si>
    <t>September 2026</t>
  </si>
  <si>
    <t>October 2026</t>
  </si>
  <si>
    <t>November 2026</t>
  </si>
  <si>
    <t>December 2026</t>
  </si>
  <si>
    <t>SS6</t>
  </si>
  <si>
    <t>SH6</t>
  </si>
  <si>
    <t>Opt-Out 26</t>
  </si>
  <si>
    <t>SE6</t>
  </si>
  <si>
    <t>SL6</t>
  </si>
  <si>
    <t>PL6</t>
  </si>
  <si>
    <t>PH6</t>
  </si>
  <si>
    <t>HL16</t>
  </si>
  <si>
    <t>January 2027</t>
  </si>
  <si>
    <t>February 2027</t>
  </si>
  <si>
    <t>March 2027</t>
  </si>
  <si>
    <t>April 2027</t>
  </si>
  <si>
    <t>May 2027</t>
  </si>
  <si>
    <t>June 2027</t>
  </si>
  <si>
    <t>July 2027</t>
  </si>
  <si>
    <t>August 2027</t>
  </si>
  <si>
    <t>September 2027</t>
  </si>
  <si>
    <t>October 2027</t>
  </si>
  <si>
    <t>November 2027</t>
  </si>
  <si>
    <t>December 2027</t>
  </si>
  <si>
    <t>HL26</t>
  </si>
  <si>
    <t>HL36</t>
  </si>
  <si>
    <t>HL46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</si>
</sst>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7"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7"/>
      <name val="Arial"/>
      <family val="2"/>
    </font>
    <font>
      <sz val="10"/>
      <color theme="0" tint="-4.9989318521683403E-2"/>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4">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26" fillId="0" borderId="0" xfId="1" applyNumberFormat="1" applyFont="1" applyBorder="1"/>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17" fontId="0" fillId="0" borderId="0" xfId="0" quotePrefix="1" applyNumberFormat="1"/>
    <xf numFmtId="0" fontId="0" fillId="0" borderId="0" xfId="0" quotePrefix="1"/>
    <xf numFmtId="0" fontId="22" fillId="0" borderId="0" xfId="0" applyFont="1" applyAlignment="1" applyProtection="1">
      <alignment horizontal="left" vertical="center" wrapText="1" indent="17"/>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1536065</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vault.aes.com/sites/aesvault.com/files/2025-07/Rider-25-OSS-9-44795-Effective-05-31-2025.pdf" TargetMode="External"/><Relationship Id="rId13" Type="http://schemas.openxmlformats.org/officeDocument/2006/relationships/comments" Target="../comments1.xml"/><Relationship Id="rId3" Type="http://schemas.openxmlformats.org/officeDocument/2006/relationships/hyperlink" Target="https://vault.aes.com/sites/aesvault.com/files/2025-12/Rider-6-FAC-149-38703-Effective-11-26-2025.pdf" TargetMode="External"/><Relationship Id="rId7" Type="http://schemas.openxmlformats.org/officeDocument/2006/relationships/hyperlink" Target="https://vault.aes.com/sites/aesvault.com/files/2025-07/Rider-24-CAP-9-44795-Effective-05-31-2025.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5-09/Rider-21-GPR-46137-Effective-09-30-25_0.pdf" TargetMode="External"/><Relationship Id="rId1" Type="http://schemas.openxmlformats.org/officeDocument/2006/relationships/hyperlink" Target="https://www.aesindiana.com/contact-us" TargetMode="External"/><Relationship Id="rId6" Type="http://schemas.openxmlformats.org/officeDocument/2006/relationships/hyperlink" Target="https://vault.aes.com/sites/aesvault.com/files/2025-03/Rider-20-ECR-38-42170-Effective-03-31-2025.pdf" TargetMode="External"/><Relationship Id="rId11" Type="http://schemas.openxmlformats.org/officeDocument/2006/relationships/drawing" Target="../drawings/drawing1.xml"/><Relationship Id="rId5" Type="http://schemas.openxmlformats.org/officeDocument/2006/relationships/hyperlink" Target="https://vault.aes.com/sites/aesvault.com/files/2026-01/Rider-22-DSM-25-43623-Effective-12-31-2025.pdf" TargetMode="External"/><Relationship Id="rId10" Type="http://schemas.openxmlformats.org/officeDocument/2006/relationships/printerSettings" Target="../printerSettings/printerSettings1.bin"/><Relationship Id="rId4" Type="http://schemas.openxmlformats.org/officeDocument/2006/relationships/hyperlink" Target="https://vault.aes.com/sites/aesvault.com/files/2025-12/Rider_3_TDSIC-10_Effective_10-16-2025.pdf" TargetMode="External"/><Relationship Id="rId9" Type="http://schemas.openxmlformats.org/officeDocument/2006/relationships/hyperlink" Target="https://vault.aes.com/sites/aesvault.com/files/2025-12/Rider_26_RTO-9_Effective_09-30-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zoomScale="120" zoomScaleNormal="100" zoomScaleSheetLayoutView="120" workbookViewId="0">
      <selection activeCell="D11" sqref="D11"/>
    </sheetView>
  </sheetViews>
  <sheetFormatPr defaultRowHeight="12.75" x14ac:dyDescent="0.2"/>
  <cols>
    <col min="1" max="1" width="11.85546875" customWidth="1"/>
    <col min="2" max="2" width="56.5703125" customWidth="1"/>
    <col min="3" max="3" width="12.7109375" customWidth="1"/>
    <col min="4" max="4" width="23.7109375" customWidth="1"/>
  </cols>
  <sheetData>
    <row r="1" spans="1:4" ht="15.75" customHeight="1" x14ac:dyDescent="0.2">
      <c r="A1" s="188"/>
      <c r="B1" s="263" t="str">
        <f>'Calc. Jan 2026'!B2</f>
        <v>January 2026 Monthly Bill Calculator</v>
      </c>
      <c r="C1" s="263"/>
      <c r="D1" s="263"/>
    </row>
    <row r="2" spans="1:4" ht="12.6" customHeight="1" x14ac:dyDescent="0.2">
      <c r="A2" s="188"/>
      <c r="B2" s="263"/>
      <c r="C2" s="263"/>
      <c r="D2" s="263"/>
    </row>
    <row r="3" spans="1:4" ht="12.6" customHeight="1" x14ac:dyDescent="0.2">
      <c r="A3" s="188"/>
      <c r="B3" s="263"/>
      <c r="C3" s="263"/>
      <c r="D3" s="263"/>
    </row>
    <row r="4" spans="1:4" x14ac:dyDescent="0.2">
      <c r="A4" s="188"/>
      <c r="B4" s="188"/>
      <c r="C4" s="188"/>
      <c r="D4" s="188"/>
    </row>
    <row r="5" spans="1:4" ht="12.75" customHeight="1" x14ac:dyDescent="0.2">
      <c r="A5" s="214" t="s">
        <v>0</v>
      </c>
      <c r="B5" s="215"/>
      <c r="C5" s="215"/>
      <c r="D5" s="216"/>
    </row>
    <row r="6" spans="1:4" ht="12.6" customHeight="1" x14ac:dyDescent="0.2">
      <c r="A6" s="217" t="s">
        <v>1</v>
      </c>
      <c r="B6" s="218"/>
      <c r="C6" s="218"/>
      <c r="D6" s="219"/>
    </row>
    <row r="7" spans="1:4" x14ac:dyDescent="0.2">
      <c r="A7" s="220"/>
      <c r="B7" s="221"/>
      <c r="C7" s="221"/>
      <c r="D7" s="222"/>
    </row>
    <row r="8" spans="1:4" x14ac:dyDescent="0.2">
      <c r="A8" s="231" t="s">
        <v>2</v>
      </c>
      <c r="B8" s="232"/>
      <c r="C8" s="232"/>
      <c r="D8" s="233"/>
    </row>
    <row r="9" spans="1:4" x14ac:dyDescent="0.2">
      <c r="A9" s="199"/>
      <c r="B9" s="200"/>
      <c r="C9" s="200"/>
      <c r="D9" s="200"/>
    </row>
    <row r="10" spans="1:4" ht="12.6" customHeight="1" x14ac:dyDescent="0.2">
      <c r="A10" s="197" t="s">
        <v>3</v>
      </c>
      <c r="B10" s="210" t="s">
        <v>4</v>
      </c>
      <c r="C10" s="210"/>
      <c r="D10" s="211"/>
    </row>
    <row r="11" spans="1:4" x14ac:dyDescent="0.2">
      <c r="A11" s="198" t="s">
        <v>5</v>
      </c>
      <c r="B11" s="230" t="s">
        <v>6</v>
      </c>
      <c r="C11" s="230"/>
      <c r="D11" s="134"/>
    </row>
    <row r="12" spans="1:4" x14ac:dyDescent="0.2">
      <c r="A12" s="198" t="s">
        <v>7</v>
      </c>
      <c r="B12" s="213" t="s">
        <v>8</v>
      </c>
      <c r="C12" s="213"/>
      <c r="D12" s="134"/>
    </row>
    <row r="13" spans="1:4" ht="12.6" customHeight="1" x14ac:dyDescent="0.2">
      <c r="A13" s="224">
        <f>VLOOKUP("X",Inputs!G34:P86,9,FALSE)</f>
        <v>0</v>
      </c>
      <c r="B13" s="225"/>
      <c r="C13" s="225"/>
      <c r="D13" s="226"/>
    </row>
    <row r="14" spans="1:4" x14ac:dyDescent="0.2">
      <c r="A14" s="227"/>
      <c r="B14" s="228"/>
      <c r="C14" s="228"/>
      <c r="D14" s="229"/>
    </row>
    <row r="15" spans="1:4" x14ac:dyDescent="0.2">
      <c r="A15" s="188"/>
      <c r="B15" s="188"/>
      <c r="C15" s="188"/>
      <c r="D15" s="188"/>
    </row>
    <row r="16" spans="1:4" ht="12.75" customHeight="1" x14ac:dyDescent="0.2">
      <c r="A16" s="197" t="s">
        <v>3</v>
      </c>
      <c r="B16" s="210" t="s">
        <v>9</v>
      </c>
      <c r="C16" s="210"/>
      <c r="D16" s="211"/>
    </row>
    <row r="17" spans="1:4" x14ac:dyDescent="0.2">
      <c r="A17" s="195" t="s">
        <v>10</v>
      </c>
      <c r="B17" s="213" t="s">
        <v>11</v>
      </c>
      <c r="C17" s="213"/>
      <c r="D17" s="133" t="s">
        <v>49</v>
      </c>
    </row>
    <row r="18" spans="1:4" ht="12.75" customHeight="1" x14ac:dyDescent="0.2">
      <c r="A18" s="195" t="s">
        <v>13</v>
      </c>
      <c r="B18" s="212" t="s">
        <v>14</v>
      </c>
      <c r="C18" s="212"/>
      <c r="D18" s="127" t="s">
        <v>362</v>
      </c>
    </row>
    <row r="19" spans="1:4" x14ac:dyDescent="0.2">
      <c r="A19" s="195" t="s">
        <v>15</v>
      </c>
      <c r="B19" s="212" t="s">
        <v>16</v>
      </c>
      <c r="C19" s="212"/>
      <c r="D19" s="128"/>
    </row>
    <row r="20" spans="1:4" x14ac:dyDescent="0.2">
      <c r="A20" s="195" t="s">
        <v>17</v>
      </c>
      <c r="B20" s="212" t="s">
        <v>18</v>
      </c>
      <c r="C20" s="212"/>
      <c r="D20" s="172" t="s">
        <v>362</v>
      </c>
    </row>
    <row r="21" spans="1:4" x14ac:dyDescent="0.2">
      <c r="A21" s="195" t="s">
        <v>19</v>
      </c>
      <c r="B21" s="213" t="s">
        <v>20</v>
      </c>
      <c r="C21" s="213"/>
      <c r="D21" s="174"/>
    </row>
    <row r="22" spans="1:4" ht="12.75" customHeight="1" x14ac:dyDescent="0.2">
      <c r="A22" s="195" t="s">
        <v>21</v>
      </c>
      <c r="B22" s="212" t="s">
        <v>22</v>
      </c>
      <c r="C22" s="212"/>
      <c r="D22" s="131"/>
    </row>
    <row r="23" spans="1:4" ht="13.5" customHeight="1" x14ac:dyDescent="0.2">
      <c r="A23" s="196" t="s">
        <v>23</v>
      </c>
      <c r="B23" s="223" t="s">
        <v>24</v>
      </c>
      <c r="C23" s="223"/>
      <c r="D23" s="129"/>
    </row>
    <row r="24" spans="1:4" x14ac:dyDescent="0.2">
      <c r="A24" s="178"/>
      <c r="B24" s="178"/>
      <c r="C24" s="178"/>
      <c r="D24" s="178"/>
    </row>
    <row r="25" spans="1:4" x14ac:dyDescent="0.2">
      <c r="A25" s="201" t="s">
        <v>25</v>
      </c>
      <c r="B25" s="202"/>
      <c r="C25" s="179" t="s">
        <v>26</v>
      </c>
      <c r="D25" s="180" t="s">
        <v>299</v>
      </c>
    </row>
    <row r="26" spans="1:4" x14ac:dyDescent="0.2">
      <c r="A26" s="207" t="s">
        <v>27</v>
      </c>
      <c r="B26" s="208"/>
      <c r="C26" s="208"/>
      <c r="D26" s="209"/>
    </row>
    <row r="27" spans="1:4" x14ac:dyDescent="0.2">
      <c r="A27" s="203" t="s">
        <v>28</v>
      </c>
      <c r="B27" s="204"/>
      <c r="C27" s="183"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4" t="e">
        <f>VLOOKUP($D$19,'Calc. Jan 2026'!$B$47:$AB$1403,13,FALSE)</f>
        <v>#N/A</v>
      </c>
    </row>
    <row r="28" spans="1:4" x14ac:dyDescent="0.2">
      <c r="A28" s="203" t="s">
        <v>29</v>
      </c>
      <c r="B28" s="204"/>
      <c r="C28" s="183"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4" t="e">
        <f>VLOOKUP($D$19,'Calc. Jan 2026'!$B$47:$AB$1403,9,FALSE)</f>
        <v>#N/A</v>
      </c>
    </row>
    <row r="29" spans="1:4" x14ac:dyDescent="0.2">
      <c r="A29" s="203" t="s">
        <v>30</v>
      </c>
      <c r="B29" s="204"/>
      <c r="C29" s="183" t="e" cm="1">
        <f t="array" ref="C29">_xlfn.IFS($D$17="SL",HYPERLINK(Inputs!$J$14,"SL"),$D$17="PL",HYPERLINK(Inputs!$J$16,"PL"),$D$17="PH",HYPERLINK(Inputs!$J$18,"PH"),$D$17="HL1",HYPERLINK(Inputs!$J$20,"HL1"),$D$17="HL2",HYPERLINK(Inputs!$J$20,"HL2"),$D$17="HL3",HYPERLINK(Inputs!$J$20,"HL3"),$D$17="HL4",HYPERLINK(Inputs!$J$21,"HL4"))</f>
        <v>#N/A</v>
      </c>
      <c r="D29" s="184" t="e">
        <f>VLOOKUP($D$19,'Calc. Jan 2026'!$B$46:$AB$1403,16,FALSE)</f>
        <v>#N/A</v>
      </c>
    </row>
    <row r="30" spans="1:4" x14ac:dyDescent="0.2">
      <c r="A30" s="203" t="s">
        <v>31</v>
      </c>
      <c r="B30" s="204"/>
      <c r="C30" s="183" t="e" cm="1">
        <f t="array" ref="C30">_xlfn.IFS($D$17="SL",HYPERLINK(Inputs!$J$15,"SL"),$D$17="PL",HYPERLINK(Inputs!$J$17,"PL"),$D$17="PH",HYPERLINK(Inputs!$J$19,"PH"),$D$17="HL1",HYPERLINK(Inputs!$J$21,"HL1"),$D$17="HL2",HYPERLINK(Inputs!$J$21,"HL2"),$D$17="HL3",HYPERLINK(Inputs!$J$21,"HL3"),$D$17="HL4",HYPERLINK(Inputs!$J$21,"HL4"))</f>
        <v>#N/A</v>
      </c>
      <c r="D30" s="184" t="e">
        <f>VLOOKUP($D$19,'Calc. Jan 2026'!$B$46:$AB$1403,17,FALSE)</f>
        <v>#N/A</v>
      </c>
    </row>
    <row r="31" spans="1:4" x14ac:dyDescent="0.2">
      <c r="A31" s="207" t="s">
        <v>32</v>
      </c>
      <c r="B31" s="208"/>
      <c r="C31" s="208"/>
      <c r="D31" s="209"/>
    </row>
    <row r="32" spans="1:4" x14ac:dyDescent="0.2">
      <c r="A32" s="203" t="s">
        <v>33</v>
      </c>
      <c r="B32" s="204"/>
      <c r="C32" s="185" t="s">
        <v>34</v>
      </c>
      <c r="D32" s="184" t="e">
        <f>VLOOKUP($D$19,'Calc. Jan 2026'!$B$47:$AB$1403,18,FALSE)</f>
        <v>#N/A</v>
      </c>
    </row>
    <row r="33" spans="1:4" x14ac:dyDescent="0.2">
      <c r="A33" s="203" t="s">
        <v>35</v>
      </c>
      <c r="B33" s="204"/>
      <c r="C33" s="185" t="s">
        <v>36</v>
      </c>
      <c r="D33" s="184" t="e">
        <f>VLOOKUP($D$19,'Calc. Jan 2026'!$B$47:$AB$1403,19,FALSE)</f>
        <v>#N/A</v>
      </c>
    </row>
    <row r="34" spans="1:4" ht="26.25" customHeight="1" x14ac:dyDescent="0.2">
      <c r="A34" s="205" t="s">
        <v>37</v>
      </c>
      <c r="B34" s="206"/>
      <c r="C34" s="185" t="s">
        <v>38</v>
      </c>
      <c r="D34" s="186" t="e">
        <f>VLOOKUP($D$19,'Calc. Jan 2026'!$B$47:$AB$1403,20,FALSE)</f>
        <v>#N/A</v>
      </c>
    </row>
    <row r="35" spans="1:4" x14ac:dyDescent="0.2">
      <c r="A35" s="203" t="s">
        <v>39</v>
      </c>
      <c r="B35" s="204"/>
      <c r="C35" s="185" t="s">
        <v>40</v>
      </c>
      <c r="D35" s="184" t="e">
        <f>VLOOKUP($D$19,'Calc. Jan 2026'!$B$47:$AB$1403,21,FALSE)</f>
        <v>#N/A</v>
      </c>
    </row>
    <row r="36" spans="1:4" x14ac:dyDescent="0.2">
      <c r="A36" s="205" t="s">
        <v>41</v>
      </c>
      <c r="B36" s="206"/>
      <c r="C36" s="185" t="s">
        <v>42</v>
      </c>
      <c r="D36" s="184" t="e">
        <f>VLOOKUP($D$19,'Calc. Jan 2026'!$B$47:$AB$1403,23,FALSE)</f>
        <v>#N/A</v>
      </c>
    </row>
    <row r="37" spans="1:4" x14ac:dyDescent="0.2">
      <c r="A37" s="203" t="s">
        <v>43</v>
      </c>
      <c r="B37" s="204"/>
      <c r="C37" s="185" t="s">
        <v>44</v>
      </c>
      <c r="D37" s="184" t="e">
        <f>VLOOKUP($D$19,'Calc. Jan 2026'!$B$47:$AB$1403,24,FALSE)</f>
        <v>#N/A</v>
      </c>
    </row>
    <row r="38" spans="1:4" x14ac:dyDescent="0.2">
      <c r="A38" s="203" t="s">
        <v>45</v>
      </c>
      <c r="B38" s="204"/>
      <c r="C38" s="185" t="s">
        <v>46</v>
      </c>
      <c r="D38" s="184" t="e">
        <f>VLOOKUP($D$19,'Calc. Jan 2026'!$B$47:$AB$1403,25,FALSE)</f>
        <v>#N/A</v>
      </c>
    </row>
    <row r="39" spans="1:4" x14ac:dyDescent="0.2">
      <c r="A39" s="203" t="s">
        <v>47</v>
      </c>
      <c r="B39" s="204"/>
      <c r="C39" s="185" t="s">
        <v>48</v>
      </c>
      <c r="D39" s="187" t="e">
        <f>VLOOKUP($D$19,'Calc. Jan 2026'!$B$47:$AB$1403,26,FALSE)</f>
        <v>#N/A</v>
      </c>
    </row>
    <row r="40" spans="1:4" x14ac:dyDescent="0.2">
      <c r="A40" s="244" t="s">
        <v>295</v>
      </c>
      <c r="B40" s="245"/>
      <c r="C40" s="188"/>
      <c r="D40" s="189" t="e">
        <f>VLOOKUP($D$19,'Calc. Jan 2026'!$B$47:$AB$1403,6,FALSE)</f>
        <v>#N/A</v>
      </c>
    </row>
    <row r="41" spans="1:4" x14ac:dyDescent="0.2">
      <c r="A41" s="246" t="s">
        <v>296</v>
      </c>
      <c r="B41" s="247"/>
      <c r="C41" s="190"/>
      <c r="D41" s="191" t="e">
        <f>D40*0.07</f>
        <v>#N/A</v>
      </c>
    </row>
    <row r="42" spans="1:4" x14ac:dyDescent="0.2">
      <c r="A42" s="248" t="s">
        <v>297</v>
      </c>
      <c r="B42" s="249"/>
      <c r="C42" s="192"/>
      <c r="D42" s="193" t="e">
        <f>SUM(D40:D41)</f>
        <v>#N/A</v>
      </c>
    </row>
    <row r="43" spans="1:4" x14ac:dyDescent="0.2">
      <c r="A43" s="181"/>
      <c r="B43" s="182"/>
      <c r="C43" s="190"/>
      <c r="D43" s="194"/>
    </row>
    <row r="44" spans="1:4" x14ac:dyDescent="0.2">
      <c r="A44" s="234" t="s">
        <v>298</v>
      </c>
      <c r="B44" s="210"/>
      <c r="C44" s="210"/>
      <c r="D44" s="211"/>
    </row>
    <row r="45" spans="1:4" x14ac:dyDescent="0.2">
      <c r="A45" s="235" t="s">
        <v>361</v>
      </c>
      <c r="B45" s="236"/>
      <c r="C45" s="236"/>
      <c r="D45" s="237"/>
    </row>
    <row r="46" spans="1:4" x14ac:dyDescent="0.2">
      <c r="A46" s="238"/>
      <c r="B46" s="239"/>
      <c r="C46" s="239"/>
      <c r="D46" s="240"/>
    </row>
    <row r="47" spans="1:4" x14ac:dyDescent="0.2">
      <c r="A47" s="238"/>
      <c r="B47" s="239"/>
      <c r="C47" s="239"/>
      <c r="D47" s="240"/>
    </row>
    <row r="48" spans="1:4" x14ac:dyDescent="0.2">
      <c r="A48" s="238"/>
      <c r="B48" s="239"/>
      <c r="C48" s="239"/>
      <c r="D48" s="240"/>
    </row>
    <row r="49" spans="1:4" x14ac:dyDescent="0.2">
      <c r="A49" s="238"/>
      <c r="B49" s="239"/>
      <c r="C49" s="239"/>
      <c r="D49" s="240"/>
    </row>
    <row r="50" spans="1:4" x14ac:dyDescent="0.2">
      <c r="A50" s="238"/>
      <c r="B50" s="239"/>
      <c r="C50" s="239"/>
      <c r="D50" s="240"/>
    </row>
    <row r="51" spans="1:4" ht="16.5" customHeight="1" x14ac:dyDescent="0.2">
      <c r="A51" s="241"/>
      <c r="B51" s="242"/>
      <c r="C51" s="242"/>
      <c r="D51" s="243"/>
    </row>
  </sheetData>
  <sheetProtection algorithmName="SHA-512" hashValue="n6Tf3dVTqh+uvmHAp/ihLRRVpKIkuq4hCldByszztggs3quwDiwxTxSydq6EcQQ5CtKyQdwz+2ViHZsnbX0TwA==" saltValue="AJaS9Ebq5teE+ZMcg141SA=="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4" priority="25" stopIfTrue="1">
      <formula>OR($D$11="",$D$12="")</formula>
    </cfRule>
    <cfRule type="expression" dxfId="13"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98">
      <formula>$D$17="Select Rate Code"</formula>
    </cfRule>
    <cfRule type="expression" dxfId="4" priority="104">
      <formula>OR($D$17="RS",$D$17="RC",$D$17="RH",$D$17="SS",$D$17="SH",$D$17="CR",$D$17="CB",$D$17="UW",$D$17="SL",$D$17="PL",$D$17="PH",$D$17="HL1",$D$17="HL2",$D$17="HL3",$D$17="HL4")</formula>
    </cfRule>
    <cfRule type="expression" dxfId="3" priority="105">
      <formula>$D$17="SE"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 Yes 2026"</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location="page=2" xr:uid="{D9597FF4-E409-4346-B88D-F711CD23537A}"/>
    <hyperlink ref="C33" r:id="rId3" location="page=2" xr:uid="{543FD01F-A6AA-4EF3-95DF-03F467380075}"/>
    <hyperlink ref="C34" r:id="rId4" xr:uid="{C9E80253-6F9B-469D-91BA-51D109A17E44}"/>
    <hyperlink ref="C35" r:id="rId5" xr:uid="{C2CDCC6B-BC01-42CA-AD8F-4C1BFC87B1B8}"/>
    <hyperlink ref="C36" r:id="rId6" xr:uid="{58097415-78D0-4A2E-B2AE-7335E65606DB}"/>
    <hyperlink ref="C37" r:id="rId7" location="page=2"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0" zoomScale="130" zoomScaleNormal="120" zoomScaleSheetLayoutView="130" workbookViewId="0">
      <selection activeCell="A30" sqref="A30"/>
    </sheetView>
  </sheetViews>
  <sheetFormatPr defaultRowHeight="12.75" x14ac:dyDescent="0.2"/>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75" x14ac:dyDescent="0.2"/>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37" workbookViewId="0">
      <selection activeCell="I70" sqref="I70"/>
    </sheetView>
  </sheetViews>
  <sheetFormatPr defaultRowHeight="12.75" x14ac:dyDescent="0.2"/>
  <cols>
    <col min="2" max="2" width="15.42578125" customWidth="1"/>
    <col min="3" max="3" width="1.42578125" hidden="1" customWidth="1"/>
    <col min="4" max="4" width="0.5703125" customWidth="1"/>
    <col min="5" max="5" width="0.28515625" hidden="1" customWidth="1"/>
    <col min="6" max="6" width="0.42578125" customWidth="1"/>
    <col min="7" max="8" width="9.5703125" bestFit="1" customWidth="1"/>
    <col min="9" max="9" width="11" bestFit="1" customWidth="1"/>
    <col min="10" max="10" width="10.5703125" customWidth="1"/>
    <col min="12" max="12" width="12" bestFit="1" customWidth="1"/>
    <col min="13" max="13" width="11" customWidth="1"/>
    <col min="14" max="14" width="9.85546875" bestFit="1" customWidth="1"/>
  </cols>
  <sheetData>
    <row r="2" spans="3:10" ht="13.5" thickBot="1" x14ac:dyDescent="0.25">
      <c r="G2" s="122" t="s">
        <v>49</v>
      </c>
      <c r="I2" s="250" t="s">
        <v>50</v>
      </c>
      <c r="J2" s="250"/>
    </row>
    <row r="3" spans="3:10" x14ac:dyDescent="0.2">
      <c r="G3" s="130" t="s">
        <v>12</v>
      </c>
      <c r="I3" s="130" t="s">
        <v>51</v>
      </c>
      <c r="J3" s="124" t="s">
        <v>313</v>
      </c>
    </row>
    <row r="4" spans="3:10" x14ac:dyDescent="0.2">
      <c r="G4" s="130" t="s">
        <v>52</v>
      </c>
      <c r="I4" s="124"/>
    </row>
    <row r="5" spans="3:10" x14ac:dyDescent="0.2">
      <c r="C5" t="s">
        <v>325</v>
      </c>
      <c r="G5" s="130" t="s">
        <v>53</v>
      </c>
    </row>
    <row r="6" spans="3:10" x14ac:dyDescent="0.2">
      <c r="C6" t="s">
        <v>280</v>
      </c>
      <c r="G6" s="130" t="s">
        <v>54</v>
      </c>
    </row>
    <row r="7" spans="3:10" ht="13.5" thickBot="1" x14ac:dyDescent="0.25">
      <c r="C7" t="s">
        <v>252</v>
      </c>
      <c r="G7" s="130" t="s">
        <v>55</v>
      </c>
      <c r="I7" s="250" t="s">
        <v>56</v>
      </c>
      <c r="J7" s="250"/>
    </row>
    <row r="8" spans="3:10" x14ac:dyDescent="0.2">
      <c r="C8" t="s">
        <v>326</v>
      </c>
      <c r="G8" s="130" t="s">
        <v>57</v>
      </c>
      <c r="I8" s="130" t="s">
        <v>54</v>
      </c>
      <c r="J8" t="s">
        <v>300</v>
      </c>
    </row>
    <row r="9" spans="3:10" x14ac:dyDescent="0.2">
      <c r="C9" t="s">
        <v>266</v>
      </c>
      <c r="G9" s="130" t="s">
        <v>58</v>
      </c>
      <c r="I9" s="130" t="s">
        <v>55</v>
      </c>
      <c r="J9" t="s">
        <v>301</v>
      </c>
    </row>
    <row r="10" spans="3:10" x14ac:dyDescent="0.2">
      <c r="C10" t="s">
        <v>253</v>
      </c>
      <c r="G10" s="130" t="s">
        <v>59</v>
      </c>
      <c r="I10" s="130" t="s">
        <v>57</v>
      </c>
      <c r="J10" s="124" t="s">
        <v>302</v>
      </c>
    </row>
    <row r="11" spans="3:10" x14ac:dyDescent="0.2">
      <c r="C11" t="s">
        <v>327</v>
      </c>
      <c r="G11" s="130" t="s">
        <v>60</v>
      </c>
      <c r="I11" s="130" t="s">
        <v>58</v>
      </c>
      <c r="J11" s="124" t="s">
        <v>303</v>
      </c>
    </row>
    <row r="12" spans="3:10" x14ac:dyDescent="0.2">
      <c r="C12" t="s">
        <v>281</v>
      </c>
      <c r="G12" s="130" t="s">
        <v>61</v>
      </c>
      <c r="I12" s="130" t="s">
        <v>59</v>
      </c>
      <c r="J12" s="124" t="s">
        <v>303</v>
      </c>
    </row>
    <row r="13" spans="3:10" x14ac:dyDescent="0.2">
      <c r="C13" t="s">
        <v>328</v>
      </c>
      <c r="G13" s="130" t="s">
        <v>62</v>
      </c>
      <c r="I13" s="130" t="s">
        <v>60</v>
      </c>
      <c r="J13" t="s">
        <v>304</v>
      </c>
    </row>
    <row r="14" spans="3:10" x14ac:dyDescent="0.2">
      <c r="C14" t="s">
        <v>329</v>
      </c>
      <c r="G14" s="130" t="s">
        <v>63</v>
      </c>
      <c r="I14" s="130" t="s">
        <v>64</v>
      </c>
      <c r="J14" t="s">
        <v>305</v>
      </c>
    </row>
    <row r="15" spans="3:10" x14ac:dyDescent="0.2">
      <c r="C15" t="s">
        <v>330</v>
      </c>
      <c r="G15" s="130" t="s">
        <v>65</v>
      </c>
      <c r="I15" s="130" t="s">
        <v>66</v>
      </c>
      <c r="J15" s="124" t="s">
        <v>306</v>
      </c>
    </row>
    <row r="16" spans="3:10" x14ac:dyDescent="0.2">
      <c r="C16" t="s">
        <v>331</v>
      </c>
      <c r="G16" s="130" t="s">
        <v>67</v>
      </c>
      <c r="I16" s="130" t="s">
        <v>68</v>
      </c>
      <c r="J16" t="s">
        <v>307</v>
      </c>
    </row>
    <row r="17" spans="7:15" x14ac:dyDescent="0.2">
      <c r="G17" s="130" t="s">
        <v>69</v>
      </c>
      <c r="I17" s="130" t="s">
        <v>70</v>
      </c>
      <c r="J17" s="124" t="s">
        <v>308</v>
      </c>
    </row>
    <row r="18" spans="7:15" x14ac:dyDescent="0.2">
      <c r="G18" s="130" t="s">
        <v>71</v>
      </c>
      <c r="I18" s="130" t="s">
        <v>72</v>
      </c>
      <c r="J18" s="124" t="s">
        <v>309</v>
      </c>
    </row>
    <row r="19" spans="7:15" x14ac:dyDescent="0.2">
      <c r="I19" s="130" t="s">
        <v>73</v>
      </c>
      <c r="J19" s="124" t="s">
        <v>310</v>
      </c>
    </row>
    <row r="20" spans="7:15" x14ac:dyDescent="0.2">
      <c r="I20" s="130" t="s">
        <v>74</v>
      </c>
      <c r="J20" s="124" t="s">
        <v>311</v>
      </c>
    </row>
    <row r="21" spans="7:15" x14ac:dyDescent="0.2">
      <c r="I21" s="130" t="s">
        <v>75</v>
      </c>
      <c r="J21" s="124" t="s">
        <v>312</v>
      </c>
    </row>
    <row r="25" spans="7:15" x14ac:dyDescent="0.2">
      <c r="I25" s="130" t="s">
        <v>76</v>
      </c>
    </row>
    <row r="26" spans="7:15" x14ac:dyDescent="0.2">
      <c r="I26" s="130" t="s">
        <v>77</v>
      </c>
    </row>
    <row r="27" spans="7:15" x14ac:dyDescent="0.2">
      <c r="I27" s="130" t="s">
        <v>356</v>
      </c>
    </row>
    <row r="28" spans="7:15" x14ac:dyDescent="0.2">
      <c r="I28" t="s">
        <v>357</v>
      </c>
    </row>
    <row r="29" spans="7:15" x14ac:dyDescent="0.2">
      <c r="I29" s="130" t="s">
        <v>360</v>
      </c>
    </row>
    <row r="31" spans="7:15" ht="13.5" thickBot="1" x14ac:dyDescent="0.25">
      <c r="G31" s="250" t="s">
        <v>78</v>
      </c>
      <c r="H31" s="250"/>
      <c r="I31" s="250"/>
      <c r="J31" s="250"/>
      <c r="K31" s="250"/>
      <c r="L31" s="250"/>
      <c r="M31" s="250"/>
      <c r="N31" s="250"/>
      <c r="O31" s="250"/>
    </row>
    <row r="32" spans="7:15" ht="13.5" thickBot="1" x14ac:dyDescent="0.25">
      <c r="I32" s="251" t="s">
        <v>79</v>
      </c>
      <c r="J32" s="252"/>
      <c r="K32" s="253"/>
      <c r="L32" s="251" t="s">
        <v>80</v>
      </c>
      <c r="M32" s="252"/>
      <c r="N32" s="253"/>
    </row>
    <row r="33" spans="2:15" ht="25.5" customHeight="1" x14ac:dyDescent="0.2">
      <c r="G33" s="137" t="s">
        <v>81</v>
      </c>
      <c r="H33" s="137" t="s">
        <v>82</v>
      </c>
      <c r="I33" s="138" t="s">
        <v>83</v>
      </c>
      <c r="J33" s="137" t="s">
        <v>84</v>
      </c>
      <c r="K33" s="139" t="s">
        <v>85</v>
      </c>
      <c r="L33" s="137" t="s">
        <v>83</v>
      </c>
      <c r="M33" s="137" t="s">
        <v>84</v>
      </c>
      <c r="N33" s="139" t="s">
        <v>85</v>
      </c>
      <c r="O33" s="137" t="s">
        <v>86</v>
      </c>
    </row>
    <row r="34" spans="2:15" x14ac:dyDescent="0.2">
      <c r="B34" t="s">
        <v>332</v>
      </c>
      <c r="C34" s="130" t="str">
        <f>$I$27&amp;""&amp;B34</f>
        <v>Please check the dates you entered. The dates you entered are valid for the January 2024</v>
      </c>
      <c r="D34" s="130" t="str">
        <f>C34&amp;" "&amp;$I$28</f>
        <v xml:space="preserve">Please check the dates you entered. The dates you entered are valid for the January 2024 billing cycle. If valid, please use AES Indiana's </v>
      </c>
      <c r="E34" s="130" t="str">
        <f>D34&amp;""&amp;B34</f>
        <v>Please check the dates you entered. The dates you entered are valid for the January 2024 billing cycle. If valid, please use AES Indiana's January 2024</v>
      </c>
      <c r="F34" t="str">
        <f>E34&amp;" "&amp;$I$29</f>
        <v>Please check the dates you entered. The dates you entered are valid for the January 2024 billing cycle. If valid, please use AES Indiana's January 2024 monthly bill calculator to calculate your bill for the dates entered.</v>
      </c>
      <c r="G34">
        <f>IF(AND('AES Indiana Bill Calc.'!$D$11&gt;=Inputs!I34,'AES Indiana Bill Calc.'!$D$12&gt;=Inputs!J34,'AES Indiana Bill Calc.'!$D$11&lt;=Inputs!L34,'AES Indiana Bill Calc.'!$D$12&lt;=Inputs!M34,'AES Indiana Bill Calc.'!$D$12-'AES Indiana Bill Calc.'!$D$11&gt;=26,'AES Indiana Bill Calc.'!$D$12-'AES Indiana Bill Calc.'!$D$11&lt;=35),"X",)</f>
        <v>0</v>
      </c>
      <c r="H34" s="162">
        <v>45292</v>
      </c>
      <c r="I34" s="123">
        <v>45260</v>
      </c>
      <c r="J34" s="123">
        <v>45289</v>
      </c>
      <c r="K34" s="59">
        <f t="shared" ref="K34:K45" si="0">J34-I34</f>
        <v>29</v>
      </c>
      <c r="L34" s="123">
        <v>45288</v>
      </c>
      <c r="M34" s="123">
        <v>45321</v>
      </c>
      <c r="N34" s="59">
        <f t="shared" ref="N34:N45" si="1">M34-L34</f>
        <v>33</v>
      </c>
      <c r="O34" s="130" t="str">
        <f>IF(Inputs!B34='Calc. Jan 2026'!$F$3,Inputs!$I$26,Inputs!F34)</f>
        <v>Please check the dates you entered. The dates you entered are valid for the January 2024 billing cycle. If valid, please use AES Indiana's January 2024 monthly bill calculator to calculate your bill for the dates entered.</v>
      </c>
    </row>
    <row r="35" spans="2:15" x14ac:dyDescent="0.2">
      <c r="B35" t="s">
        <v>333</v>
      </c>
      <c r="C35" s="130" t="str">
        <f t="shared" ref="C35:C57" si="2">$I$27&amp;""&amp;B35</f>
        <v>Please check the dates you entered. The dates you entered are valid for the February 2024</v>
      </c>
      <c r="D35" s="130" t="str">
        <f t="shared" ref="D35:D57" si="3">C35&amp;" "&amp;$I$28</f>
        <v xml:space="preserve">Please check the dates you entered. The dates you entered are valid for the February 2024 billing cycle. If valid, please use AES Indiana's </v>
      </c>
      <c r="E35" s="130" t="str">
        <f t="shared" ref="E35:E57" si="4">D35&amp;""&amp;B35</f>
        <v>Please check the dates you entered. The dates you entered are valid for the February 2024 billing cycle. If valid, please use AES Indiana's February 2024</v>
      </c>
      <c r="F35" t="str">
        <f t="shared" ref="F35:F57" si="5">E35&amp;" "&amp;$I$29</f>
        <v>Please check the dates you entered. The dates you entered are valid for the February 2024 billing cycle. If valid, please use AES Indiana's February 2024 monthly bill calculator to calculate your bill for the dates entered.</v>
      </c>
      <c r="G35">
        <f>IF(AND('AES Indiana Bill Calc.'!$D$11&gt;=Inputs!I35,'AES Indiana Bill Calc.'!$D$12&gt;=Inputs!J35,'AES Indiana Bill Calc.'!$D$11&lt;=Inputs!L35,'AES Indiana Bill Calc.'!$D$12&lt;=Inputs!M35,'AES Indiana Bill Calc.'!$D$12-'AES Indiana Bill Calc.'!$D$11&gt;=26,'AES Indiana Bill Calc.'!$D$12-'AES Indiana Bill Calc.'!$D$11&lt;=35),"X",)</f>
        <v>0</v>
      </c>
      <c r="H35" s="162">
        <v>45323</v>
      </c>
      <c r="I35" s="123">
        <f t="shared" ref="I35:I45" si="6">J34</f>
        <v>45289</v>
      </c>
      <c r="J35" s="123">
        <v>45322</v>
      </c>
      <c r="K35" s="59">
        <f t="shared" si="0"/>
        <v>33</v>
      </c>
      <c r="L35" s="123">
        <v>45321</v>
      </c>
      <c r="M35" s="123">
        <v>45350</v>
      </c>
      <c r="N35" s="59">
        <f t="shared" si="1"/>
        <v>29</v>
      </c>
      <c r="O35" s="130" t="str">
        <f>IF(Inputs!B35='Calc. Jan 2026'!$F$3,Inputs!$I$26,Inputs!F35)</f>
        <v>Please check the dates you entered. The dates you entered are valid for the February 2024 billing cycle. If valid, please use AES Indiana's February 2024 monthly bill calculator to calculate your bill for the dates entered.</v>
      </c>
    </row>
    <row r="36" spans="2:15" x14ac:dyDescent="0.2">
      <c r="B36" t="s">
        <v>334</v>
      </c>
      <c r="C36" s="130" t="str">
        <f t="shared" si="2"/>
        <v>Please check the dates you entered. The dates you entered are valid for the March 2024</v>
      </c>
      <c r="D36" s="130" t="str">
        <f t="shared" si="3"/>
        <v xml:space="preserve">Please check the dates you entered. The dates you entered are valid for the March 2024 billing cycle. If valid, please use AES Indiana's </v>
      </c>
      <c r="E36" s="130" t="str">
        <f t="shared" si="4"/>
        <v>Please check the dates you entered. The dates you entered are valid for the March 2024 billing cycle. If valid, please use AES Indiana's March 2024</v>
      </c>
      <c r="F36" t="str">
        <f t="shared" si="5"/>
        <v>Please check the dates you entered. The dates you entered are valid for the March 2024 billing cycle. If valid, please use AES Indiana's March 2024 monthly bill calculator to calculate your bill for the dates entered.</v>
      </c>
      <c r="G36">
        <f>IF(AND('AES Indiana Bill Calc.'!$D$11&gt;=Inputs!I36,'AES Indiana Bill Calc.'!$D$12&gt;=Inputs!J36,'AES Indiana Bill Calc.'!$D$11&lt;=Inputs!L36,'AES Indiana Bill Calc.'!$D$12&lt;=Inputs!M36,'AES Indiana Bill Calc.'!$D$12-'AES Indiana Bill Calc.'!$D$11&gt;=26,'AES Indiana Bill Calc.'!$D$12-'AES Indiana Bill Calc.'!$D$11&lt;=35),"X",)</f>
        <v>0</v>
      </c>
      <c r="H36" s="162">
        <v>45352</v>
      </c>
      <c r="I36" s="123">
        <f t="shared" si="6"/>
        <v>45322</v>
      </c>
      <c r="J36" s="123">
        <v>45351</v>
      </c>
      <c r="K36" s="59">
        <f t="shared" si="0"/>
        <v>29</v>
      </c>
      <c r="L36" s="123">
        <f t="shared" ref="L36:L45" si="7">M35</f>
        <v>45350</v>
      </c>
      <c r="M36" s="132">
        <v>45378</v>
      </c>
      <c r="N36" s="59">
        <f>M36-L36</f>
        <v>28</v>
      </c>
      <c r="O36" s="130" t="str">
        <f>IF(Inputs!B36='Calc. Jan 2026'!$F$3,Inputs!$I$26,Inputs!F36)</f>
        <v>Please check the dates you entered. The dates you entered are valid for the March 2024 billing cycle. If valid, please use AES Indiana's March 2024 monthly bill calculator to calculate your bill for the dates entered.</v>
      </c>
    </row>
    <row r="37" spans="2:15" x14ac:dyDescent="0.2">
      <c r="B37" t="s">
        <v>335</v>
      </c>
      <c r="C37" s="130" t="str">
        <f t="shared" si="2"/>
        <v>Please check the dates you entered. The dates you entered are valid for the April 2024</v>
      </c>
      <c r="D37" s="130" t="str">
        <f t="shared" si="3"/>
        <v xml:space="preserve">Please check the dates you entered. The dates you entered are valid for the April 2024 billing cycle. If valid, please use AES Indiana's </v>
      </c>
      <c r="E37" s="130" t="str">
        <f t="shared" si="4"/>
        <v>Please check the dates you entered. The dates you entered are valid for the April 2024 billing cycle. If valid, please use AES Indiana's April 2024</v>
      </c>
      <c r="F37" t="str">
        <f t="shared" si="5"/>
        <v>Please check the dates you entered. The dates you entered are valid for the April 2024 billing cycle. If valid, please use AES Indiana's April 2024 monthly bill calculator to calculate your bill for the dates entered.</v>
      </c>
      <c r="G37">
        <f>IF(AND('AES Indiana Bill Calc.'!$D$11&gt;=Inputs!I37,'AES Indiana Bill Calc.'!$D$12&gt;=Inputs!J37,'AES Indiana Bill Calc.'!$D$11&lt;=Inputs!L37,'AES Indiana Bill Calc.'!$D$12&lt;=Inputs!M37,'AES Indiana Bill Calc.'!$D$12-'AES Indiana Bill Calc.'!$D$11&gt;=26,'AES Indiana Bill Calc.'!$D$12-'AES Indiana Bill Calc.'!$D$11&lt;=35),"X",)</f>
        <v>0</v>
      </c>
      <c r="H37" s="162">
        <v>45383</v>
      </c>
      <c r="I37" s="123">
        <f t="shared" si="6"/>
        <v>45351</v>
      </c>
      <c r="J37" s="123">
        <v>45380</v>
      </c>
      <c r="K37" s="59">
        <f t="shared" si="0"/>
        <v>29</v>
      </c>
      <c r="L37" s="123">
        <f t="shared" si="7"/>
        <v>45378</v>
      </c>
      <c r="M37" s="123">
        <v>45411</v>
      </c>
      <c r="N37" s="59">
        <f t="shared" si="1"/>
        <v>33</v>
      </c>
      <c r="O37" s="130" t="str">
        <f>IF(Inputs!B37='Calc. Jan 2026'!$F$3,Inputs!$I$26,Inputs!F37)</f>
        <v>Please check the dates you entered. The dates you entered are valid for the April 2024 billing cycle. If valid, please use AES Indiana's April 2024 monthly bill calculator to calculate your bill for the dates entered.</v>
      </c>
    </row>
    <row r="38" spans="2:15" x14ac:dyDescent="0.2">
      <c r="B38" t="s">
        <v>336</v>
      </c>
      <c r="C38" s="130" t="str">
        <f t="shared" si="2"/>
        <v>Please check the dates you entered. The dates you entered are valid for the May 2024</v>
      </c>
      <c r="D38" s="130" t="str">
        <f t="shared" si="3"/>
        <v xml:space="preserve">Please check the dates you entered. The dates you entered are valid for the May 2024 billing cycle. If valid, please use AES Indiana's </v>
      </c>
      <c r="E38" s="130" t="str">
        <f t="shared" si="4"/>
        <v>Please check the dates you entered. The dates you entered are valid for the May 2024 billing cycle. If valid, please use AES Indiana's May 2024</v>
      </c>
      <c r="F38" t="str">
        <f t="shared" si="5"/>
        <v>Please check the dates you entered. The dates you entered are valid for the May 2024 billing cycle. If valid, please use AES Indiana's May 2024 monthly bill calculator to calculate your bill for the dates entered.</v>
      </c>
      <c r="G38">
        <f>IF(AND('AES Indiana Bill Calc.'!$D$11&gt;=Inputs!I38,'AES Indiana Bill Calc.'!$D$12&gt;=Inputs!J38,'AES Indiana Bill Calc.'!$D$11&lt;=Inputs!L38,'AES Indiana Bill Calc.'!$D$12&lt;=Inputs!M38,'AES Indiana Bill Calc.'!$D$12-'AES Indiana Bill Calc.'!$D$11&gt;=26,'AES Indiana Bill Calc.'!$D$12-'AES Indiana Bill Calc.'!$D$11&lt;=35),"X",)</f>
        <v>0</v>
      </c>
      <c r="H38" s="162">
        <v>45413</v>
      </c>
      <c r="I38" s="123">
        <f t="shared" si="6"/>
        <v>45380</v>
      </c>
      <c r="J38" s="123">
        <v>45412</v>
      </c>
      <c r="K38" s="59">
        <f t="shared" si="0"/>
        <v>32</v>
      </c>
      <c r="L38" s="123">
        <f t="shared" si="7"/>
        <v>45411</v>
      </c>
      <c r="M38" s="123">
        <v>45442</v>
      </c>
      <c r="N38" s="59">
        <f t="shared" si="1"/>
        <v>31</v>
      </c>
      <c r="O38" s="130" t="str">
        <f>IF(Inputs!B38='Calc. Jan 2026'!$F$3,Inputs!$I$26,Inputs!F38)</f>
        <v>Please check the dates you entered. The dates you entered are valid for the May 2024 billing cycle. If valid, please use AES Indiana's May 2024 monthly bill calculator to calculate your bill for the dates entered.</v>
      </c>
    </row>
    <row r="39" spans="2:15" x14ac:dyDescent="0.2">
      <c r="B39" t="s">
        <v>337</v>
      </c>
      <c r="C39" s="130" t="str">
        <f t="shared" si="2"/>
        <v>Please check the dates you entered. The dates you entered are valid for the June 2024</v>
      </c>
      <c r="D39" s="130" t="str">
        <f t="shared" si="3"/>
        <v xml:space="preserve">Please check the dates you entered. The dates you entered are valid for the June 2024 billing cycle. If valid, please use AES Indiana's </v>
      </c>
      <c r="E39" s="130" t="str">
        <f t="shared" si="4"/>
        <v>Please check the dates you entered. The dates you entered are valid for the June 2024 billing cycle. If valid, please use AES Indiana's June 2024</v>
      </c>
      <c r="F39" t="str">
        <f t="shared" si="5"/>
        <v>Please check the dates you entered. The dates you entered are valid for the June 2024 billing cycle. If valid, please use AES Indiana's June 2024 monthly bill calculator to calculate your bill for the dates entered.</v>
      </c>
      <c r="G39">
        <f>IF(AND('AES Indiana Bill Calc.'!$D$11&gt;=Inputs!I39,'AES Indiana Bill Calc.'!$D$12&gt;=Inputs!J39,'AES Indiana Bill Calc.'!$D$11&lt;=Inputs!L39,'AES Indiana Bill Calc.'!$D$12&lt;=Inputs!M39,'AES Indiana Bill Calc.'!$D$12-'AES Indiana Bill Calc.'!$D$11&gt;=26,'AES Indiana Bill Calc.'!$D$12-'AES Indiana Bill Calc.'!$D$11&lt;=35),"X",)</f>
        <v>0</v>
      </c>
      <c r="H39" s="162">
        <v>45444</v>
      </c>
      <c r="I39" s="123">
        <f t="shared" si="6"/>
        <v>45412</v>
      </c>
      <c r="J39" s="123">
        <v>45443</v>
      </c>
      <c r="K39" s="59">
        <f t="shared" si="0"/>
        <v>31</v>
      </c>
      <c r="L39" s="123">
        <f t="shared" si="7"/>
        <v>45442</v>
      </c>
      <c r="M39" s="123">
        <v>45470</v>
      </c>
      <c r="N39" s="59">
        <f t="shared" si="1"/>
        <v>28</v>
      </c>
      <c r="O39" s="130" t="str">
        <f>IF(Inputs!B39='Calc. Jan 2026'!$F$3,Inputs!$I$26,Inputs!F39)</f>
        <v>Please check the dates you entered. The dates you entered are valid for the June 2024 billing cycle. If valid, please use AES Indiana's June 2024 monthly bill calculator to calculate your bill for the dates entered.</v>
      </c>
    </row>
    <row r="40" spans="2:15" x14ac:dyDescent="0.2">
      <c r="B40" t="s">
        <v>338</v>
      </c>
      <c r="C40" s="130" t="str">
        <f t="shared" si="2"/>
        <v>Please check the dates you entered. The dates you entered are valid for the July 2024</v>
      </c>
      <c r="D40" s="130" t="str">
        <f t="shared" si="3"/>
        <v xml:space="preserve">Please check the dates you entered. The dates you entered are valid for the July 2024 billing cycle. If valid, please use AES Indiana's </v>
      </c>
      <c r="E40" s="130" t="str">
        <f t="shared" si="4"/>
        <v>Please check the dates you entered. The dates you entered are valid for the July 2024 billing cycle. If valid, please use AES Indiana's July 2024</v>
      </c>
      <c r="F40" t="str">
        <f t="shared" si="5"/>
        <v>Please check the dates you entered. The dates you entered are valid for the July 2024 billing cycle. If valid, please use AES Indiana's July 2024 monthly bill calculator to calculate your bill for the dates entered.</v>
      </c>
      <c r="G40">
        <f>IF(AND('AES Indiana Bill Calc.'!$D$11&gt;=Inputs!I40,'AES Indiana Bill Calc.'!$D$12&gt;=Inputs!J40,'AES Indiana Bill Calc.'!$D$11&lt;=Inputs!L40,'AES Indiana Bill Calc.'!$D$12&lt;=Inputs!M40,'AES Indiana Bill Calc.'!$D$12-'AES Indiana Bill Calc.'!$D$11&gt;=26,'AES Indiana Bill Calc.'!$D$12-'AES Indiana Bill Calc.'!$D$11&lt;=35),"X",)</f>
        <v>0</v>
      </c>
      <c r="H40" s="162">
        <v>45474</v>
      </c>
      <c r="I40" s="123">
        <f t="shared" si="6"/>
        <v>45443</v>
      </c>
      <c r="J40" s="123">
        <v>45471</v>
      </c>
      <c r="K40" s="59">
        <f t="shared" si="0"/>
        <v>28</v>
      </c>
      <c r="L40" s="123">
        <f t="shared" si="7"/>
        <v>45470</v>
      </c>
      <c r="M40" s="123">
        <v>45503</v>
      </c>
      <c r="N40" s="59">
        <f t="shared" si="1"/>
        <v>33</v>
      </c>
      <c r="O40" s="130" t="str">
        <f>IF(Inputs!B40='Calc. Jan 2026'!$F$3,Inputs!$I$26,Inputs!F40)</f>
        <v>Please check the dates you entered. The dates you entered are valid for the July 2024 billing cycle. If valid, please use AES Indiana's July 2024 monthly bill calculator to calculate your bill for the dates entered.</v>
      </c>
    </row>
    <row r="41" spans="2:15" x14ac:dyDescent="0.2">
      <c r="B41" t="s">
        <v>339</v>
      </c>
      <c r="C41" s="130" t="str">
        <f t="shared" si="2"/>
        <v>Please check the dates you entered. The dates you entered are valid for the August 2024</v>
      </c>
      <c r="D41" s="130" t="str">
        <f t="shared" si="3"/>
        <v xml:space="preserve">Please check the dates you entered. The dates you entered are valid for the August 2024 billing cycle. If valid, please use AES Indiana's </v>
      </c>
      <c r="E41" s="130" t="str">
        <f t="shared" si="4"/>
        <v>Please check the dates you entered. The dates you entered are valid for the August 2024 billing cycle. If valid, please use AES Indiana's August 2024</v>
      </c>
      <c r="F41" t="str">
        <f t="shared" si="5"/>
        <v>Please check the dates you entered. The dates you entered are valid for the August 2024 billing cycle. If valid, please use AES Indiana's August 2024 monthly bill calculator to calculate your bill for the dates entered.</v>
      </c>
      <c r="G41">
        <f>IF(AND('AES Indiana Bill Calc.'!$D$11&gt;=Inputs!I41,'AES Indiana Bill Calc.'!$D$12&gt;=Inputs!J41,'AES Indiana Bill Calc.'!$D$11&lt;=Inputs!L41,'AES Indiana Bill Calc.'!$D$12&lt;=Inputs!M41,'AES Indiana Bill Calc.'!$D$12-'AES Indiana Bill Calc.'!$D$11&gt;=26,'AES Indiana Bill Calc.'!$D$12-'AES Indiana Bill Calc.'!$D$11&lt;=35),"X",)</f>
        <v>0</v>
      </c>
      <c r="H41" s="162">
        <v>45505</v>
      </c>
      <c r="I41" s="123">
        <f t="shared" si="6"/>
        <v>45471</v>
      </c>
      <c r="J41" s="123">
        <v>45504</v>
      </c>
      <c r="K41" s="59">
        <f t="shared" si="0"/>
        <v>33</v>
      </c>
      <c r="L41" s="123">
        <f t="shared" si="7"/>
        <v>45503</v>
      </c>
      <c r="M41" s="123">
        <v>45533</v>
      </c>
      <c r="N41" s="59">
        <f t="shared" si="1"/>
        <v>30</v>
      </c>
      <c r="O41" s="130" t="str">
        <f>IF(Inputs!B41='Calc. Jan 2026'!$F$3,Inputs!$I$26,Inputs!F41)</f>
        <v>Please check the dates you entered. The dates you entered are valid for the August 2024 billing cycle. If valid, please use AES Indiana's August 2024 monthly bill calculator to calculate your bill for the dates entered.</v>
      </c>
    </row>
    <row r="42" spans="2:15" x14ac:dyDescent="0.2">
      <c r="B42" t="s">
        <v>340</v>
      </c>
      <c r="C42" s="130" t="str">
        <f t="shared" si="2"/>
        <v>Please check the dates you entered. The dates you entered are valid for the September 2024</v>
      </c>
      <c r="D42" s="130" t="str">
        <f t="shared" si="3"/>
        <v xml:space="preserve">Please check the dates you entered. The dates you entered are valid for the September 2024 billing cycle. If valid, please use AES Indiana's </v>
      </c>
      <c r="E42" s="130" t="str">
        <f t="shared" si="4"/>
        <v>Please check the dates you entered. The dates you entered are valid for the September 2024 billing cycle. If valid, please use AES Indiana's September 2024</v>
      </c>
      <c r="F42" t="str">
        <f t="shared" si="5"/>
        <v>Please check the dates you entered. The dates you entered are valid for the September 2024 billing cycle. If valid, please use AES Indiana's September 2024 monthly bill calculator to calculate your bill for the dates entered.</v>
      </c>
      <c r="G42">
        <f>IF(AND('AES Indiana Bill Calc.'!$D$11&gt;=Inputs!I42,'AES Indiana Bill Calc.'!$D$12&gt;=Inputs!J42,'AES Indiana Bill Calc.'!$D$11&lt;=Inputs!L42,'AES Indiana Bill Calc.'!$D$12&lt;=Inputs!M42,'AES Indiana Bill Calc.'!$D$12-'AES Indiana Bill Calc.'!$D$11&gt;=26,'AES Indiana Bill Calc.'!$D$12-'AES Indiana Bill Calc.'!$D$11&lt;=35),"X",)</f>
        <v>0</v>
      </c>
      <c r="H42" s="162">
        <v>45536</v>
      </c>
      <c r="I42" s="123">
        <f t="shared" si="6"/>
        <v>45504</v>
      </c>
      <c r="J42" s="123">
        <v>45534</v>
      </c>
      <c r="K42" s="59">
        <f t="shared" si="0"/>
        <v>30</v>
      </c>
      <c r="L42" s="123">
        <f t="shared" si="7"/>
        <v>45533</v>
      </c>
      <c r="M42" s="123">
        <v>45562</v>
      </c>
      <c r="N42" s="59">
        <f t="shared" si="1"/>
        <v>29</v>
      </c>
      <c r="O42" s="130" t="str">
        <f>IF(Inputs!B42='Calc. Jan 2026'!$F$3,Inputs!$I$26,Inputs!F42)</f>
        <v>Please check the dates you entered. The dates you entered are valid for the September 2024 billing cycle. If valid, please use AES Indiana's September 2024 monthly bill calculator to calculate your bill for the dates entered.</v>
      </c>
    </row>
    <row r="43" spans="2:15" x14ac:dyDescent="0.2">
      <c r="B43" t="s">
        <v>341</v>
      </c>
      <c r="C43" s="130" t="str">
        <f t="shared" si="2"/>
        <v>Please check the dates you entered. The dates you entered are valid for the October 2024</v>
      </c>
      <c r="D43" s="130" t="str">
        <f t="shared" si="3"/>
        <v xml:space="preserve">Please check the dates you entered. The dates you entered are valid for the October 2024 billing cycle. If valid, please use AES Indiana's </v>
      </c>
      <c r="E43" s="130" t="str">
        <f t="shared" si="4"/>
        <v>Please check the dates you entered. The dates you entered are valid for the October 2024 billing cycle. If valid, please use AES Indiana's October 2024</v>
      </c>
      <c r="F43" t="str">
        <f t="shared" si="5"/>
        <v>Please check the dates you entered. The dates you entered are valid for the October 2024 billing cycle. If valid, please use AES Indiana's October 2024 monthly bill calculator to calculate your bill for the dates entered.</v>
      </c>
      <c r="G43">
        <f>IF(AND('AES Indiana Bill Calc.'!$D$11&gt;=Inputs!I43,'AES Indiana Bill Calc.'!$D$12&gt;=Inputs!J43,'AES Indiana Bill Calc.'!$D$11&lt;=Inputs!L43,'AES Indiana Bill Calc.'!$D$12&lt;=Inputs!M43,'AES Indiana Bill Calc.'!$D$12-'AES Indiana Bill Calc.'!$D$11&gt;=26,'AES Indiana Bill Calc.'!$D$12-'AES Indiana Bill Calc.'!$D$11&lt;=35),"X",)</f>
        <v>0</v>
      </c>
      <c r="H43" s="162">
        <v>45566</v>
      </c>
      <c r="I43" s="123">
        <f t="shared" si="6"/>
        <v>45534</v>
      </c>
      <c r="J43" s="123">
        <v>45565</v>
      </c>
      <c r="K43" s="59">
        <f t="shared" si="0"/>
        <v>31</v>
      </c>
      <c r="L43" s="123">
        <f t="shared" si="7"/>
        <v>45562</v>
      </c>
      <c r="M43" s="123">
        <v>45595</v>
      </c>
      <c r="N43" s="59">
        <f t="shared" si="1"/>
        <v>33</v>
      </c>
      <c r="O43" s="130" t="str">
        <f>IF(Inputs!B43='Calc. Jan 2026'!$F$3,Inputs!$I$26,Inputs!F43)</f>
        <v>Please check the dates you entered. The dates you entered are valid for the October 2024 billing cycle. If valid, please use AES Indiana's October 2024 monthly bill calculator to calculate your bill for the dates entered.</v>
      </c>
    </row>
    <row r="44" spans="2:15" x14ac:dyDescent="0.2">
      <c r="B44" t="s">
        <v>342</v>
      </c>
      <c r="C44" s="130" t="str">
        <f t="shared" si="2"/>
        <v>Please check the dates you entered. The dates you entered are valid for the November 2024</v>
      </c>
      <c r="D44" s="130" t="str">
        <f t="shared" si="3"/>
        <v xml:space="preserve">Please check the dates you entered. The dates you entered are valid for the November 2024 billing cycle. If valid, please use AES Indiana's </v>
      </c>
      <c r="E44" s="130" t="str">
        <f t="shared" si="4"/>
        <v>Please check the dates you entered. The dates you entered are valid for the November 2024 billing cycle. If valid, please use AES Indiana's November 2024</v>
      </c>
      <c r="F44" t="str">
        <f t="shared" si="5"/>
        <v>Please check the dates you entered. The dates you entered are valid for the November 2024 billing cycle. If valid, please use AES Indiana's November 2024 monthly bill calculator to calculate your bill for the dates entered.</v>
      </c>
      <c r="G44">
        <f>IF(AND('AES Indiana Bill Calc.'!$D$11&gt;=Inputs!I44,'AES Indiana Bill Calc.'!$D$12&gt;=Inputs!J44,'AES Indiana Bill Calc.'!$D$11&lt;=Inputs!L44,'AES Indiana Bill Calc.'!$D$12&lt;=Inputs!M44,'AES Indiana Bill Calc.'!$D$12-'AES Indiana Bill Calc.'!$D$11&gt;=26,'AES Indiana Bill Calc.'!$D$12-'AES Indiana Bill Calc.'!$D$11&lt;=35),"X",)</f>
        <v>0</v>
      </c>
      <c r="H44" s="162">
        <v>45597</v>
      </c>
      <c r="I44" s="123">
        <f t="shared" si="6"/>
        <v>45565</v>
      </c>
      <c r="J44" s="123">
        <v>45596</v>
      </c>
      <c r="K44" s="59">
        <f t="shared" si="0"/>
        <v>31</v>
      </c>
      <c r="L44" s="123">
        <f t="shared" si="7"/>
        <v>45595</v>
      </c>
      <c r="M44" s="123">
        <v>45622</v>
      </c>
      <c r="N44" s="59">
        <f t="shared" si="1"/>
        <v>27</v>
      </c>
      <c r="O44" s="130" t="str">
        <f>IF(Inputs!B44='Calc. Jan 2026'!$F$3,Inputs!$I$26,Inputs!F44)</f>
        <v>Please check the dates you entered. The dates you entered are valid for the November 2024 billing cycle. If valid, please use AES Indiana's November 2024 monthly bill calculator to calculate your bill for the dates entered.</v>
      </c>
    </row>
    <row r="45" spans="2:15" x14ac:dyDescent="0.2">
      <c r="B45" t="s">
        <v>343</v>
      </c>
      <c r="C45" s="130" t="str">
        <f t="shared" si="2"/>
        <v>Please check the dates you entered. The dates you entered are valid for the December 2024</v>
      </c>
      <c r="D45" s="130" t="str">
        <f t="shared" si="3"/>
        <v xml:space="preserve">Please check the dates you entered. The dates you entered are valid for the December 2024 billing cycle. If valid, please use AES Indiana's </v>
      </c>
      <c r="E45" s="130" t="str">
        <f t="shared" si="4"/>
        <v>Please check the dates you entered. The dates you entered are valid for the December 2024 billing cycle. If valid, please use AES Indiana's December 2024</v>
      </c>
      <c r="F45" t="str">
        <f t="shared" si="5"/>
        <v>Please check the dates you entered. The dates you entered are valid for the December 2024 billing cycle. If valid, please use AES Indiana's December 2024 monthly bill calculator to calculate your bill for the dates entered.</v>
      </c>
      <c r="G45">
        <f>IF(AND('AES Indiana Bill Calc.'!$D$11&gt;=Inputs!I45,'AES Indiana Bill Calc.'!$D$12&gt;=Inputs!J45,'AES Indiana Bill Calc.'!$D$11&lt;=Inputs!L45,'AES Indiana Bill Calc.'!$D$12&lt;=Inputs!M45,'AES Indiana Bill Calc.'!$D$12-'AES Indiana Bill Calc.'!$D$11&gt;=26,'AES Indiana Bill Calc.'!$D$12-'AES Indiana Bill Calc.'!$D$11&lt;=35),"X",)</f>
        <v>0</v>
      </c>
      <c r="H45" s="162">
        <v>45627</v>
      </c>
      <c r="I45" s="123">
        <f t="shared" si="6"/>
        <v>45596</v>
      </c>
      <c r="J45" s="123">
        <v>45623</v>
      </c>
      <c r="K45" s="59">
        <f t="shared" si="0"/>
        <v>27</v>
      </c>
      <c r="L45" s="123">
        <f t="shared" si="7"/>
        <v>45622</v>
      </c>
      <c r="M45" s="123">
        <v>45656</v>
      </c>
      <c r="N45" s="59">
        <f t="shared" si="1"/>
        <v>34</v>
      </c>
      <c r="O45" s="130" t="str">
        <f>IF(Inputs!B45='Calc. Jan 2026'!$F$3,Inputs!$I$26,Inputs!F45)</f>
        <v>Please check the dates you entered. The dates you entered are valid for the December 2024 billing cycle. If valid, please use AES Indiana's December 2024 monthly bill calculator to calculate your bill for the dates entered.</v>
      </c>
    </row>
    <row r="46" spans="2:15" x14ac:dyDescent="0.2">
      <c r="B46" t="s">
        <v>344</v>
      </c>
      <c r="C46" s="130" t="str">
        <f t="shared" si="2"/>
        <v>Please check the dates you entered. The dates you entered are valid for the January 2025</v>
      </c>
      <c r="D46" s="130" t="str">
        <f t="shared" si="3"/>
        <v xml:space="preserve">Please check the dates you entered. The dates you entered are valid for the January 2025 billing cycle. If valid, please use AES Indiana's </v>
      </c>
      <c r="E46" s="130" t="str">
        <f t="shared" si="4"/>
        <v>Please check the dates you entered. The dates you entered are valid for the January 2025 billing cycle. If valid, please use AES Indiana's January 2025</v>
      </c>
      <c r="F46" t="str">
        <f t="shared" si="5"/>
        <v>Please check the dates you entered. The dates you entered are valid for the January 2025 billing cycle. If valid, please use AES Indiana's January 2025 monthly bill calculator to calculate your bill for the dates entered.</v>
      </c>
      <c r="G46">
        <f>IF(AND('AES Indiana Bill Calc.'!$D$11&gt;=Inputs!I46,'AES Indiana Bill Calc.'!$D$12&gt;=Inputs!J46,'AES Indiana Bill Calc.'!$D$11&lt;=Inputs!L46,'AES Indiana Bill Calc.'!$D$12&lt;=Inputs!M46,'AES Indiana Bill Calc.'!$D$12-'AES Indiana Bill Calc.'!$D$11&gt;=26,'AES Indiana Bill Calc.'!$D$12-'AES Indiana Bill Calc.'!$D$11&lt;=35),"X",)</f>
        <v>0</v>
      </c>
      <c r="H46" s="162">
        <v>45658</v>
      </c>
      <c r="I46" s="123">
        <f>J45</f>
        <v>45623</v>
      </c>
      <c r="J46" s="123">
        <v>45657</v>
      </c>
      <c r="K46" s="59">
        <f t="shared" ref="K46:K81" si="8">J46-I46</f>
        <v>34</v>
      </c>
      <c r="L46" s="123">
        <f>M45</f>
        <v>45656</v>
      </c>
      <c r="M46" s="123">
        <v>45687</v>
      </c>
      <c r="N46" s="59">
        <f t="shared" ref="N46:N47" si="9">M46-L46</f>
        <v>31</v>
      </c>
      <c r="O46" s="130" t="str">
        <f>IF(Inputs!B46='Calc. Jan 2026'!$F$3,Inputs!$I$26,Inputs!F46)</f>
        <v>Please check the dates you entered. The dates you entered are valid for the January 2025 billing cycle. If valid, please use AES Indiana's January 2025 monthly bill calculator to calculate your bill for the dates entered.</v>
      </c>
    </row>
    <row r="47" spans="2:15" x14ac:dyDescent="0.2">
      <c r="B47" t="s">
        <v>345</v>
      </c>
      <c r="C47" s="130" t="str">
        <f t="shared" si="2"/>
        <v>Please check the dates you entered. The dates you entered are valid for the February 2025</v>
      </c>
      <c r="D47" s="130" t="str">
        <f t="shared" si="3"/>
        <v xml:space="preserve">Please check the dates you entered. The dates you entered are valid for the February 2025 billing cycle. If valid, please use AES Indiana's </v>
      </c>
      <c r="E47" s="130" t="str">
        <f t="shared" si="4"/>
        <v>Please check the dates you entered. The dates you entered are valid for the February 2025 billing cycle. If valid, please use AES Indiana's February 2025</v>
      </c>
      <c r="F47" t="str">
        <f t="shared" si="5"/>
        <v>Please check the dates you entered. The dates you entered are valid for the February 2025 billing cycle. If valid, please use AES Indiana's February 2025 monthly bill calculator to calculate your bill for the dates entered.</v>
      </c>
      <c r="G47">
        <f>IF(AND('AES Indiana Bill Calc.'!$D$11&gt;=Inputs!I47,'AES Indiana Bill Calc.'!$D$12&gt;=Inputs!J47,'AES Indiana Bill Calc.'!$D$11&lt;=Inputs!L47,'AES Indiana Bill Calc.'!$D$12&lt;=Inputs!M47,'AES Indiana Bill Calc.'!$D$12-'AES Indiana Bill Calc.'!$D$11&gt;=26,'AES Indiana Bill Calc.'!$D$12-'AES Indiana Bill Calc.'!$D$11&lt;=35),"X",)</f>
        <v>0</v>
      </c>
      <c r="H47" s="162">
        <v>45689</v>
      </c>
      <c r="I47" s="123">
        <f t="shared" ref="I47:I57" si="10">J46</f>
        <v>45657</v>
      </c>
      <c r="J47" s="123">
        <v>45688</v>
      </c>
      <c r="K47" s="59">
        <f t="shared" si="8"/>
        <v>31</v>
      </c>
      <c r="L47" s="123">
        <f>M46</f>
        <v>45687</v>
      </c>
      <c r="M47" s="123">
        <v>45715</v>
      </c>
      <c r="N47" s="59">
        <f t="shared" si="9"/>
        <v>28</v>
      </c>
      <c r="O47" s="130" t="str">
        <f>IF(Inputs!B47='Calc. Jan 2026'!$F$3,Inputs!$I$26,Inputs!F47)</f>
        <v>Please check the dates you entered. The dates you entered are valid for the February 2025 billing cycle. If valid, please use AES Indiana's February 2025 monthly bill calculator to calculate your bill for the dates entered.</v>
      </c>
    </row>
    <row r="48" spans="2:15" x14ac:dyDescent="0.2">
      <c r="B48" t="s">
        <v>346</v>
      </c>
      <c r="C48" s="130" t="str">
        <f t="shared" si="2"/>
        <v>Please check the dates you entered. The dates you entered are valid for the March 2025</v>
      </c>
      <c r="D48" s="130" t="str">
        <f t="shared" si="3"/>
        <v xml:space="preserve">Please check the dates you entered. The dates you entered are valid for the March 2025 billing cycle. If valid, please use AES Indiana's </v>
      </c>
      <c r="E48" s="130" t="str">
        <f t="shared" si="4"/>
        <v>Please check the dates you entered. The dates you entered are valid for the March 2025 billing cycle. If valid, please use AES Indiana's March 2025</v>
      </c>
      <c r="F48" t="str">
        <f t="shared" si="5"/>
        <v>Please check the dates you entered. The dates you entered are valid for the March 2025 billing cycle. If valid, please use AES Indiana's March 2025 monthly bill calculator to calculate your bill for the dates entered.</v>
      </c>
      <c r="G48">
        <f>IF(AND('AES Indiana Bill Calc.'!$D$11&gt;=Inputs!I48,'AES Indiana Bill Calc.'!$D$12&gt;=Inputs!J48,'AES Indiana Bill Calc.'!$D$11&lt;=Inputs!L48,'AES Indiana Bill Calc.'!$D$12&lt;=Inputs!M48,'AES Indiana Bill Calc.'!$D$12-'AES Indiana Bill Calc.'!$D$11&gt;=26,'AES Indiana Bill Calc.'!$D$12-'AES Indiana Bill Calc.'!$D$11&lt;=35),"X",)</f>
        <v>0</v>
      </c>
      <c r="H48" s="162">
        <v>45717</v>
      </c>
      <c r="I48" s="123">
        <f t="shared" si="10"/>
        <v>45688</v>
      </c>
      <c r="J48" s="123">
        <v>45716</v>
      </c>
      <c r="K48" s="59">
        <f t="shared" si="8"/>
        <v>28</v>
      </c>
      <c r="L48" s="123">
        <f>M47</f>
        <v>45715</v>
      </c>
      <c r="M48" s="132">
        <v>45744</v>
      </c>
      <c r="N48" s="59">
        <f>M48-L48</f>
        <v>29</v>
      </c>
      <c r="O48" s="130" t="str">
        <f>IF(Inputs!B48='Calc. Jan 2026'!$F$3,Inputs!$I$26,Inputs!F48)</f>
        <v>Please check the dates you entered. The dates you entered are valid for the March 2025 billing cycle. If valid, please use AES Indiana's March 2025 monthly bill calculator to calculate your bill for the dates entered.</v>
      </c>
    </row>
    <row r="49" spans="2:15" x14ac:dyDescent="0.2">
      <c r="B49" t="s">
        <v>347</v>
      </c>
      <c r="C49" s="130" t="str">
        <f t="shared" si="2"/>
        <v>Please check the dates you entered. The dates you entered are valid for the April 2025</v>
      </c>
      <c r="D49" s="130" t="str">
        <f t="shared" si="3"/>
        <v xml:space="preserve">Please check the dates you entered. The dates you entered are valid for the April 2025 billing cycle. If valid, please use AES Indiana's </v>
      </c>
      <c r="E49" s="130" t="str">
        <f t="shared" si="4"/>
        <v>Please check the dates you entered. The dates you entered are valid for the April 2025 billing cycle. If valid, please use AES Indiana's April 2025</v>
      </c>
      <c r="F49" t="str">
        <f t="shared" si="5"/>
        <v>Please check the dates you entered. The dates you entered are valid for the April 2025 billing cycle. If valid, please use AES Indiana's April 2025 monthly bill calculator to calculate your bill for the dates entered.</v>
      </c>
      <c r="G49">
        <f>IF(AND('AES Indiana Bill Calc.'!$D$11&gt;=Inputs!I49,'AES Indiana Bill Calc.'!$D$12&gt;=Inputs!J49,'AES Indiana Bill Calc.'!$D$11&lt;=Inputs!L49,'AES Indiana Bill Calc.'!$D$12&lt;=Inputs!M49,'AES Indiana Bill Calc.'!$D$12-'AES Indiana Bill Calc.'!$D$11&gt;=26,'AES Indiana Bill Calc.'!$D$12-'AES Indiana Bill Calc.'!$D$11&lt;=35),"X",)</f>
        <v>0</v>
      </c>
      <c r="H49" s="162">
        <v>45748</v>
      </c>
      <c r="I49" s="123">
        <f t="shared" si="10"/>
        <v>45716</v>
      </c>
      <c r="J49" s="123">
        <v>45747</v>
      </c>
      <c r="K49" s="59">
        <f t="shared" si="8"/>
        <v>31</v>
      </c>
      <c r="L49" s="123">
        <f>M48</f>
        <v>45744</v>
      </c>
      <c r="M49" s="123">
        <v>45776</v>
      </c>
      <c r="N49" s="59">
        <f t="shared" ref="N49:N81" si="11">M49-L49</f>
        <v>32</v>
      </c>
      <c r="O49" s="130" t="str">
        <f>IF(Inputs!B49='Calc. Jan 2026'!$F$3,Inputs!$I$26,Inputs!F49)</f>
        <v>Please check the dates you entered. The dates you entered are valid for the April 2025 billing cycle. If valid, please use AES Indiana's April 2025 monthly bill calculator to calculate your bill for the dates entered.</v>
      </c>
    </row>
    <row r="50" spans="2:15" x14ac:dyDescent="0.2">
      <c r="B50" t="s">
        <v>348</v>
      </c>
      <c r="C50" s="130" t="str">
        <f t="shared" si="2"/>
        <v>Please check the dates you entered. The dates you entered are valid for the May 2025</v>
      </c>
      <c r="D50" s="130" t="str">
        <f t="shared" si="3"/>
        <v xml:space="preserve">Please check the dates you entered. The dates you entered are valid for the May 2025 billing cycle. If valid, please use AES Indiana's </v>
      </c>
      <c r="E50" s="130" t="str">
        <f t="shared" si="4"/>
        <v>Please check the dates you entered. The dates you entered are valid for the May 2025 billing cycle. If valid, please use AES Indiana's May 2025</v>
      </c>
      <c r="F50" t="str">
        <f t="shared" si="5"/>
        <v>Please check the dates you entered. The dates you entered are valid for the May 2025 billing cycle. If valid, please use AES Indiana's May 2025 monthly bill calculator to calculate your bill for the dates entered.</v>
      </c>
      <c r="G50">
        <f>IF(AND('AES Indiana Bill Calc.'!$D$11&gt;=Inputs!I50,'AES Indiana Bill Calc.'!$D$12&gt;=Inputs!J50,'AES Indiana Bill Calc.'!$D$11&lt;=Inputs!L50,'AES Indiana Bill Calc.'!$D$12&lt;=Inputs!M50,'AES Indiana Bill Calc.'!$D$12-'AES Indiana Bill Calc.'!$D$11&gt;=26,'AES Indiana Bill Calc.'!$D$12-'AES Indiana Bill Calc.'!$D$11&lt;=35),"X",)</f>
        <v>0</v>
      </c>
      <c r="H50" s="162">
        <v>45778</v>
      </c>
      <c r="I50" s="123">
        <f t="shared" si="10"/>
        <v>45747</v>
      </c>
      <c r="J50" s="123">
        <v>45777</v>
      </c>
      <c r="K50" s="59">
        <f t="shared" si="8"/>
        <v>30</v>
      </c>
      <c r="L50" s="123">
        <f t="shared" ref="L50:L57" si="12">M49</f>
        <v>45776</v>
      </c>
      <c r="M50" s="123">
        <v>45806</v>
      </c>
      <c r="N50" s="59">
        <f t="shared" si="11"/>
        <v>30</v>
      </c>
      <c r="O50" s="130" t="str">
        <f>IF(Inputs!B50='Calc. Jan 2026'!$F$3,Inputs!$I$26,Inputs!F50)</f>
        <v>Please check the dates you entered. The dates you entered are valid for the May 2025 billing cycle. If valid, please use AES Indiana's May 2025 monthly bill calculator to calculate your bill for the dates entered.</v>
      </c>
    </row>
    <row r="51" spans="2:15" x14ac:dyDescent="0.2">
      <c r="B51" t="s">
        <v>349</v>
      </c>
      <c r="C51" s="130" t="str">
        <f t="shared" si="2"/>
        <v>Please check the dates you entered. The dates you entered are valid for the June 2025</v>
      </c>
      <c r="D51" s="130" t="str">
        <f t="shared" si="3"/>
        <v xml:space="preserve">Please check the dates you entered. The dates you entered are valid for the June 2025 billing cycle. If valid, please use AES Indiana's </v>
      </c>
      <c r="E51" s="130" t="str">
        <f t="shared" si="4"/>
        <v>Please check the dates you entered. The dates you entered are valid for the June 2025 billing cycle. If valid, please use AES Indiana's June 2025</v>
      </c>
      <c r="F51" t="str">
        <f t="shared" si="5"/>
        <v>Please check the dates you entered. The dates you entered are valid for the June 2025 billing cycle. If valid, please use AES Indiana's June 2025 monthly bill calculator to calculate your bill for the dates entered.</v>
      </c>
      <c r="G51">
        <f>IF(AND('AES Indiana Bill Calc.'!$D$11&gt;=Inputs!I51,'AES Indiana Bill Calc.'!$D$12&gt;=Inputs!J51,'AES Indiana Bill Calc.'!$D$11&lt;=Inputs!L51,'AES Indiana Bill Calc.'!$D$12&lt;=Inputs!M51,'AES Indiana Bill Calc.'!$D$12-'AES Indiana Bill Calc.'!$D$11&gt;=26,'AES Indiana Bill Calc.'!$D$12-'AES Indiana Bill Calc.'!$D$11&lt;=35),"X",)</f>
        <v>0</v>
      </c>
      <c r="H51" s="162">
        <v>45809</v>
      </c>
      <c r="I51" s="123">
        <f t="shared" si="10"/>
        <v>45777</v>
      </c>
      <c r="J51" s="123">
        <v>45807</v>
      </c>
      <c r="K51" s="59">
        <f t="shared" si="8"/>
        <v>30</v>
      </c>
      <c r="L51" s="123">
        <f t="shared" si="12"/>
        <v>45806</v>
      </c>
      <c r="M51" s="123">
        <v>45835</v>
      </c>
      <c r="N51" s="59">
        <f t="shared" si="11"/>
        <v>29</v>
      </c>
      <c r="O51" s="130" t="str">
        <f>IF(Inputs!B51='Calc. Jan 2026'!$F$3,Inputs!$I$26,Inputs!F51)</f>
        <v>Please check the dates you entered. The dates you entered are valid for the June 2025 billing cycle. If valid, please use AES Indiana's June 2025 monthly bill calculator to calculate your bill for the dates entered.</v>
      </c>
    </row>
    <row r="52" spans="2:15" x14ac:dyDescent="0.2">
      <c r="B52" t="s">
        <v>350</v>
      </c>
      <c r="C52" s="130" t="str">
        <f t="shared" si="2"/>
        <v>Please check the dates you entered. The dates you entered are valid for the July 2025</v>
      </c>
      <c r="D52" s="130" t="str">
        <f t="shared" si="3"/>
        <v xml:space="preserve">Please check the dates you entered. The dates you entered are valid for the July 2025 billing cycle. If valid, please use AES Indiana's </v>
      </c>
      <c r="E52" s="130" t="str">
        <f t="shared" si="4"/>
        <v>Please check the dates you entered. The dates you entered are valid for the July 2025 billing cycle. If valid, please use AES Indiana's July 2025</v>
      </c>
      <c r="F52" t="str">
        <f t="shared" si="5"/>
        <v>Please check the dates you entered. The dates you entered are valid for the July 2025 billing cycle. If valid, please use AES Indiana's July 2025 monthly bill calculator to calculate your bill for the dates entered.</v>
      </c>
      <c r="G52">
        <f>IF(AND('AES Indiana Bill Calc.'!$D$11&gt;=Inputs!I52,'AES Indiana Bill Calc.'!$D$12&gt;=Inputs!J52,'AES Indiana Bill Calc.'!$D$11&lt;=Inputs!L52,'AES Indiana Bill Calc.'!$D$12&lt;=Inputs!M52,'AES Indiana Bill Calc.'!$D$12-'AES Indiana Bill Calc.'!$D$11&gt;=26,'AES Indiana Bill Calc.'!$D$12-'AES Indiana Bill Calc.'!$D$11&lt;=35),"X",)</f>
        <v>0</v>
      </c>
      <c r="H52" s="162">
        <v>45839</v>
      </c>
      <c r="I52" s="123">
        <f t="shared" si="10"/>
        <v>45807</v>
      </c>
      <c r="J52" s="123">
        <v>45838</v>
      </c>
      <c r="K52" s="59">
        <f t="shared" si="8"/>
        <v>31</v>
      </c>
      <c r="L52" s="123">
        <f t="shared" si="12"/>
        <v>45835</v>
      </c>
      <c r="M52" s="123">
        <v>45868</v>
      </c>
      <c r="N52" s="59">
        <f t="shared" si="11"/>
        <v>33</v>
      </c>
      <c r="O52" s="130" t="str">
        <f>IF(Inputs!B52='Calc. Jan 2026'!$F$3,Inputs!$I$26,Inputs!F52)</f>
        <v>Please check the dates you entered. The dates you entered are valid for the July 2025 billing cycle. If valid, please use AES Indiana's July 2025 monthly bill calculator to calculate your bill for the dates entered.</v>
      </c>
    </row>
    <row r="53" spans="2:15" x14ac:dyDescent="0.2">
      <c r="B53" t="s">
        <v>351</v>
      </c>
      <c r="C53" s="130" t="str">
        <f t="shared" si="2"/>
        <v>Please check the dates you entered. The dates you entered are valid for the August 2025</v>
      </c>
      <c r="D53" s="130" t="str">
        <f t="shared" si="3"/>
        <v xml:space="preserve">Please check the dates you entered. The dates you entered are valid for the August 2025 billing cycle. If valid, please use AES Indiana's </v>
      </c>
      <c r="E53" s="130" t="str">
        <f t="shared" si="4"/>
        <v>Please check the dates you entered. The dates you entered are valid for the August 2025 billing cycle. If valid, please use AES Indiana's August 2025</v>
      </c>
      <c r="F53" t="str">
        <f t="shared" si="5"/>
        <v>Please check the dates you entered. The dates you entered are valid for the August 2025 billing cycle. If valid, please use AES Indiana's August 2025 monthly bill calculator to calculate your bill for the dates entered.</v>
      </c>
      <c r="G53">
        <f>IF(AND('AES Indiana Bill Calc.'!$D$11&gt;=Inputs!I53,'AES Indiana Bill Calc.'!$D$12&gt;=Inputs!J53,'AES Indiana Bill Calc.'!$D$11&lt;=Inputs!L53,'AES Indiana Bill Calc.'!$D$12&lt;=Inputs!M53,'AES Indiana Bill Calc.'!$D$12-'AES Indiana Bill Calc.'!$D$11&gt;=26,'AES Indiana Bill Calc.'!$D$12-'AES Indiana Bill Calc.'!$D$11&lt;=35),"X",)</f>
        <v>0</v>
      </c>
      <c r="H53" s="162">
        <v>45870</v>
      </c>
      <c r="I53" s="123">
        <f t="shared" si="10"/>
        <v>45838</v>
      </c>
      <c r="J53" s="123">
        <v>45869</v>
      </c>
      <c r="K53" s="59">
        <f t="shared" si="8"/>
        <v>31</v>
      </c>
      <c r="L53" s="123">
        <f t="shared" si="12"/>
        <v>45868</v>
      </c>
      <c r="M53" s="123">
        <v>45897</v>
      </c>
      <c r="N53" s="59">
        <f t="shared" si="11"/>
        <v>29</v>
      </c>
      <c r="O53" s="130" t="str">
        <f>IF(Inputs!B53='Calc. Jan 2026'!$F$3,Inputs!$I$26,Inputs!F53)</f>
        <v>Please check the dates you entered. The dates you entered are valid for the August 2025 billing cycle. If valid, please use AES Indiana's August 2025 monthly bill calculator to calculate your bill for the dates entered.</v>
      </c>
    </row>
    <row r="54" spans="2:15" x14ac:dyDescent="0.2">
      <c r="B54" t="s">
        <v>352</v>
      </c>
      <c r="C54" s="130" t="str">
        <f t="shared" si="2"/>
        <v>Please check the dates you entered. The dates you entered are valid for the September 2025</v>
      </c>
      <c r="D54" s="130" t="str">
        <f t="shared" si="3"/>
        <v xml:space="preserve">Please check the dates you entered. The dates you entered are valid for the September 2025 billing cycle. If valid, please use AES Indiana's </v>
      </c>
      <c r="E54" s="130" t="str">
        <f t="shared" si="4"/>
        <v>Please check the dates you entered. The dates you entered are valid for the September 2025 billing cycle. If valid, please use AES Indiana's September 2025</v>
      </c>
      <c r="F54" t="str">
        <f t="shared" si="5"/>
        <v>Please check the dates you entered. The dates you entered are valid for the September 2025 billing cycle. If valid, please use AES Indiana's September 2025 monthly bill calculator to calculate your bill for the dates entered.</v>
      </c>
      <c r="G54">
        <f>IF(AND('AES Indiana Bill Calc.'!$D$11&gt;=Inputs!I54,'AES Indiana Bill Calc.'!$D$12&gt;=Inputs!J54,'AES Indiana Bill Calc.'!$D$11&lt;=Inputs!L54,'AES Indiana Bill Calc.'!$D$12&lt;=Inputs!M54,'AES Indiana Bill Calc.'!$D$12-'AES Indiana Bill Calc.'!$D$11&gt;=26,'AES Indiana Bill Calc.'!$D$12-'AES Indiana Bill Calc.'!$D$11&lt;=35),"X",)</f>
        <v>0</v>
      </c>
      <c r="H54" s="162">
        <v>45901</v>
      </c>
      <c r="I54" s="123">
        <f t="shared" si="10"/>
        <v>45869</v>
      </c>
      <c r="J54" s="123">
        <v>45898</v>
      </c>
      <c r="K54" s="59">
        <f t="shared" si="8"/>
        <v>29</v>
      </c>
      <c r="L54" s="123">
        <f t="shared" si="12"/>
        <v>45897</v>
      </c>
      <c r="M54" s="123">
        <v>45929</v>
      </c>
      <c r="N54" s="59">
        <f t="shared" si="11"/>
        <v>32</v>
      </c>
      <c r="O54" s="130" t="str">
        <f>IF(Inputs!B54='Calc. Jan 2026'!$F$3,Inputs!$I$26,Inputs!F54)</f>
        <v>Please check the dates you entered. The dates you entered are valid for the September 2025 billing cycle. If valid, please use AES Indiana's September 2025 monthly bill calculator to calculate your bill for the dates entered.</v>
      </c>
    </row>
    <row r="55" spans="2:15" x14ac:dyDescent="0.2">
      <c r="B55" t="s">
        <v>353</v>
      </c>
      <c r="C55" s="130" t="str">
        <f t="shared" si="2"/>
        <v>Please check the dates you entered. The dates you entered are valid for the October 2025</v>
      </c>
      <c r="D55" s="130" t="str">
        <f t="shared" si="3"/>
        <v xml:space="preserve">Please check the dates you entered. The dates you entered are valid for the October 2025 billing cycle. If valid, please use AES Indiana's </v>
      </c>
      <c r="E55" s="130" t="str">
        <f t="shared" si="4"/>
        <v>Please check the dates you entered. The dates you entered are valid for the October 2025 billing cycle. If valid, please use AES Indiana's October 2025</v>
      </c>
      <c r="F55" t="str">
        <f t="shared" si="5"/>
        <v>Please check the dates you entered. The dates you entered are valid for the October 2025 billing cycle. If valid, please use AES Indiana's October 2025 monthly bill calculator to calculate your bill for the dates entered.</v>
      </c>
      <c r="G55">
        <f>IF(AND('AES Indiana Bill Calc.'!$D$11&gt;=Inputs!I55,'AES Indiana Bill Calc.'!$D$12&gt;=Inputs!J55,'AES Indiana Bill Calc.'!$D$11&lt;=Inputs!L55,'AES Indiana Bill Calc.'!$D$12&lt;=Inputs!M55,'AES Indiana Bill Calc.'!$D$12-'AES Indiana Bill Calc.'!$D$11&gt;=26,'AES Indiana Bill Calc.'!$D$12-'AES Indiana Bill Calc.'!$D$11&lt;=35),"X",)</f>
        <v>0</v>
      </c>
      <c r="H55" s="162">
        <v>45931</v>
      </c>
      <c r="I55" s="123">
        <f t="shared" si="10"/>
        <v>45898</v>
      </c>
      <c r="J55" s="123">
        <v>45930</v>
      </c>
      <c r="K55" s="59">
        <f t="shared" si="8"/>
        <v>32</v>
      </c>
      <c r="L55" s="123">
        <f t="shared" si="12"/>
        <v>45929</v>
      </c>
      <c r="M55" s="123">
        <v>45960</v>
      </c>
      <c r="N55" s="59">
        <f t="shared" si="11"/>
        <v>31</v>
      </c>
      <c r="O55" s="130" t="str">
        <f>IF(Inputs!B55='Calc. Jan 2026'!$F$3,Inputs!$I$26,Inputs!F55)</f>
        <v>Please check the dates you entered. The dates you entered are valid for the October 2025 billing cycle. If valid, please use AES Indiana's October 2025 monthly bill calculator to calculate your bill for the dates entered.</v>
      </c>
    </row>
    <row r="56" spans="2:15" x14ac:dyDescent="0.2">
      <c r="B56" t="s">
        <v>354</v>
      </c>
      <c r="C56" s="130" t="str">
        <f t="shared" si="2"/>
        <v>Please check the dates you entered. The dates you entered are valid for the November 2025</v>
      </c>
      <c r="D56" s="130" t="str">
        <f t="shared" si="3"/>
        <v xml:space="preserve">Please check the dates you entered. The dates you entered are valid for the November 2025 billing cycle. If valid, please use AES Indiana's </v>
      </c>
      <c r="E56" s="130" t="str">
        <f t="shared" si="4"/>
        <v>Please check the dates you entered. The dates you entered are valid for the November 2025 billing cycle. If valid, please use AES Indiana's November 2025</v>
      </c>
      <c r="F56" t="str">
        <f t="shared" si="5"/>
        <v>Please check the dates you entered. The dates you entered are valid for the November 2025 billing cycle. If valid, please use AES Indiana's November 2025 monthly bill calculator to calculate your bill for the dates entered.</v>
      </c>
      <c r="G56">
        <f>IF(AND('AES Indiana Bill Calc.'!$D$11&gt;=Inputs!I56,'AES Indiana Bill Calc.'!$D$12&gt;=Inputs!J56,'AES Indiana Bill Calc.'!$D$11&lt;=Inputs!L56,'AES Indiana Bill Calc.'!$D$12&lt;=Inputs!M56,'AES Indiana Bill Calc.'!$D$12-'AES Indiana Bill Calc.'!$D$11&gt;=26,'AES Indiana Bill Calc.'!$D$12-'AES Indiana Bill Calc.'!$D$11&lt;=35),"X",)</f>
        <v>0</v>
      </c>
      <c r="H56" s="162">
        <v>45962</v>
      </c>
      <c r="I56" s="123">
        <f t="shared" si="10"/>
        <v>45930</v>
      </c>
      <c r="J56" s="123">
        <v>45961</v>
      </c>
      <c r="K56" s="59">
        <f t="shared" si="8"/>
        <v>31</v>
      </c>
      <c r="L56" s="123">
        <f t="shared" si="12"/>
        <v>45960</v>
      </c>
      <c r="M56" s="123">
        <v>45986</v>
      </c>
      <c r="N56" s="59">
        <f t="shared" si="11"/>
        <v>26</v>
      </c>
      <c r="O56" s="130" t="str">
        <f>IF(Inputs!B56='Calc. Jan 2026'!$F$3,Inputs!$I$26,Inputs!F56)</f>
        <v>Please check the dates you entered. The dates you entered are valid for the November 2025 billing cycle. If valid, please use AES Indiana's November 2025 monthly bill calculator to calculate your bill for the dates entered.</v>
      </c>
    </row>
    <row r="57" spans="2:15" x14ac:dyDescent="0.2">
      <c r="B57" t="s">
        <v>355</v>
      </c>
      <c r="C57" s="130" t="str">
        <f t="shared" si="2"/>
        <v>Please check the dates you entered. The dates you entered are valid for the December 2025</v>
      </c>
      <c r="D57" s="130" t="str">
        <f t="shared" si="3"/>
        <v xml:space="preserve">Please check the dates you entered. The dates you entered are valid for the December 2025 billing cycle. If valid, please use AES Indiana's </v>
      </c>
      <c r="E57" s="130" t="str">
        <f t="shared" si="4"/>
        <v>Please check the dates you entered. The dates you entered are valid for the December 2025 billing cycle. If valid, please use AES Indiana's December 2025</v>
      </c>
      <c r="F57" t="str">
        <f t="shared" si="5"/>
        <v>Please check the dates you entered. The dates you entered are valid for the December 2025 billing cycle. If valid, please use AES Indiana's December 2025 monthly bill calculator to calculate your bill for the dates entered.</v>
      </c>
      <c r="G57">
        <f>IF(AND('AES Indiana Bill Calc.'!$D$11&gt;=Inputs!I57,'AES Indiana Bill Calc.'!$D$12&gt;=Inputs!J57,'AES Indiana Bill Calc.'!$D$11&lt;=Inputs!L57,'AES Indiana Bill Calc.'!$D$12&lt;=Inputs!M57,'AES Indiana Bill Calc.'!$D$12-'AES Indiana Bill Calc.'!$D$11&gt;=26,'AES Indiana Bill Calc.'!$D$12-'AES Indiana Bill Calc.'!$D$11&lt;=35),"X",)</f>
        <v>0</v>
      </c>
      <c r="H57" s="162">
        <v>45992</v>
      </c>
      <c r="I57" s="123">
        <f t="shared" si="10"/>
        <v>45961</v>
      </c>
      <c r="J57" s="123">
        <v>45987</v>
      </c>
      <c r="K57" s="59">
        <f t="shared" si="8"/>
        <v>26</v>
      </c>
      <c r="L57" s="123">
        <f t="shared" si="12"/>
        <v>45986</v>
      </c>
      <c r="M57" s="123">
        <v>46021</v>
      </c>
      <c r="N57" s="59">
        <f t="shared" si="11"/>
        <v>35</v>
      </c>
      <c r="O57" s="130" t="str">
        <f>IF(Inputs!B57='Calc. Jan 2026'!$F$3,Inputs!$I$26,Inputs!F57)</f>
        <v>Please check the dates you entered. The dates you entered are valid for the December 2025 billing cycle. If valid, please use AES Indiana's December 2025 monthly bill calculator to calculate your bill for the dates entered.</v>
      </c>
    </row>
    <row r="58" spans="2:15" x14ac:dyDescent="0.2">
      <c r="B58" s="261" t="s">
        <v>363</v>
      </c>
      <c r="C58" s="130" t="str">
        <f t="shared" ref="C58:C69" si="13">$I$27&amp;""&amp;B58</f>
        <v>Please check the dates you entered. The dates you entered are valid for the January 2026</v>
      </c>
      <c r="D58" s="130" t="str">
        <f t="shared" ref="D58:D69" si="14">C58&amp;" "&amp;$I$28</f>
        <v xml:space="preserve">Please check the dates you entered. The dates you entered are valid for the January 2026 billing cycle. If valid, please use AES Indiana's </v>
      </c>
      <c r="E58" s="130" t="str">
        <f t="shared" ref="E58:E69" si="15">D58&amp;""&amp;B58</f>
        <v>Please check the dates you entered. The dates you entered are valid for the January 2026 billing cycle. If valid, please use AES Indiana's January 2026</v>
      </c>
      <c r="F58" t="str">
        <f t="shared" ref="F58:F69" si="16">E58&amp;" "&amp;$I$29</f>
        <v>Please check the dates you entered. The dates you entered are valid for the January 2026 billing cycle. If valid, please use AES Indiana's January 2026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2">
        <v>46023</v>
      </c>
      <c r="I58" s="123">
        <f>J57</f>
        <v>45987</v>
      </c>
      <c r="J58" s="123">
        <v>46022</v>
      </c>
      <c r="K58" s="59">
        <f t="shared" si="8"/>
        <v>35</v>
      </c>
      <c r="L58" s="123">
        <f>M57</f>
        <v>46021</v>
      </c>
      <c r="M58" s="123">
        <v>46051</v>
      </c>
      <c r="N58" s="59">
        <f t="shared" si="11"/>
        <v>30</v>
      </c>
      <c r="O58" s="130" t="str">
        <f>IF(Inputs!B58='Calc. Jan 2026'!$F$3,Inputs!$I$26,Inputs!F58)</f>
        <v>You are using the correct bill calculator. Please enter your billing information below.</v>
      </c>
    </row>
    <row r="59" spans="2:15" x14ac:dyDescent="0.2">
      <c r="B59" s="261" t="s">
        <v>364</v>
      </c>
      <c r="C59" s="130" t="str">
        <f t="shared" si="13"/>
        <v>Please check the dates you entered. The dates you entered are valid for the February 2026</v>
      </c>
      <c r="D59" s="130" t="str">
        <f t="shared" si="14"/>
        <v xml:space="preserve">Please check the dates you entered. The dates you entered are valid for the February 2026 billing cycle. If valid, please use AES Indiana's </v>
      </c>
      <c r="E59" s="130" t="str">
        <f t="shared" si="15"/>
        <v>Please check the dates you entered. The dates you entered are valid for the February 2026 billing cycle. If valid, please use AES Indiana's February 2026</v>
      </c>
      <c r="F59" t="str">
        <f t="shared" si="16"/>
        <v>Please check the dates you entered. The dates you entered are valid for the February 2026 billing cycle. If valid, please use AES Indiana's February 2026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2">
        <v>46054</v>
      </c>
      <c r="I59" s="123">
        <f>J58</f>
        <v>46022</v>
      </c>
      <c r="J59" s="123">
        <v>46052</v>
      </c>
      <c r="K59" s="59">
        <f t="shared" si="8"/>
        <v>30</v>
      </c>
      <c r="L59" s="123">
        <f t="shared" ref="L59:L69" si="17">M58</f>
        <v>46051</v>
      </c>
      <c r="M59" s="123">
        <v>46079</v>
      </c>
      <c r="N59" s="59">
        <f t="shared" si="11"/>
        <v>28</v>
      </c>
      <c r="O59" s="130" t="str">
        <f>IF(Inputs!B59='Calc. Jan 2026'!$F$3,Inputs!$I$26,Inputs!F59)</f>
        <v>Please check the dates you entered. The dates you entered are valid for the February 2026 billing cycle. If valid, please use AES Indiana's February 2026 monthly bill calculator to calculate your bill for the dates entered.</v>
      </c>
    </row>
    <row r="60" spans="2:15" x14ac:dyDescent="0.2">
      <c r="B60" s="262" t="s">
        <v>365</v>
      </c>
      <c r="C60" s="130" t="str">
        <f t="shared" si="13"/>
        <v>Please check the dates you entered. The dates you entered are valid for the March 2026</v>
      </c>
      <c r="D60" s="130" t="str">
        <f t="shared" si="14"/>
        <v xml:space="preserve">Please check the dates you entered. The dates you entered are valid for the March 2026 billing cycle. If valid, please use AES Indiana's </v>
      </c>
      <c r="E60" s="130" t="str">
        <f t="shared" si="15"/>
        <v>Please check the dates you entered. The dates you entered are valid for the March 2026 billing cycle. If valid, please use AES Indiana's March 2026</v>
      </c>
      <c r="F60" t="str">
        <f t="shared" si="16"/>
        <v>Please check the dates you entered. The dates you entered are valid for the March 2026 billing cycle. If valid, please use AES Indiana's March 2026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2">
        <v>46082</v>
      </c>
      <c r="I60" s="123">
        <f t="shared" ref="I60:I69" si="18">J59</f>
        <v>46052</v>
      </c>
      <c r="J60" s="123">
        <v>46080</v>
      </c>
      <c r="K60" s="59">
        <f t="shared" si="8"/>
        <v>28</v>
      </c>
      <c r="L60" s="123">
        <f t="shared" si="17"/>
        <v>46079</v>
      </c>
      <c r="M60" s="123">
        <v>46111</v>
      </c>
      <c r="N60" s="59">
        <f t="shared" si="11"/>
        <v>32</v>
      </c>
      <c r="O60" s="130" t="str">
        <f>IF(Inputs!B60='Calc. Jan 2026'!$F$3,Inputs!$I$26,Inputs!F60)</f>
        <v>Please check the dates you entered. The dates you entered are valid for the March 2026 billing cycle. If valid, please use AES Indiana's March 2026 monthly bill calculator to calculate your bill for the dates entered.</v>
      </c>
    </row>
    <row r="61" spans="2:15" x14ac:dyDescent="0.2">
      <c r="B61" s="262" t="s">
        <v>366</v>
      </c>
      <c r="C61" s="130" t="str">
        <f t="shared" si="13"/>
        <v>Please check the dates you entered. The dates you entered are valid for the April 2026</v>
      </c>
      <c r="D61" s="130" t="str">
        <f t="shared" si="14"/>
        <v xml:space="preserve">Please check the dates you entered. The dates you entered are valid for the April 2026 billing cycle. If valid, please use AES Indiana's </v>
      </c>
      <c r="E61" s="130" t="str">
        <f t="shared" si="15"/>
        <v>Please check the dates you entered. The dates you entered are valid for the April 2026 billing cycle. If valid, please use AES Indiana's April 2026</v>
      </c>
      <c r="F61" t="str">
        <f t="shared" si="16"/>
        <v>Please check the dates you entered. The dates you entered are valid for the April 2026 billing cycle. If valid, please use AES Indiana's April 2026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2">
        <v>46113</v>
      </c>
      <c r="I61" s="123">
        <f t="shared" si="18"/>
        <v>46080</v>
      </c>
      <c r="J61" s="123">
        <v>46112</v>
      </c>
      <c r="K61" s="59">
        <f t="shared" si="8"/>
        <v>32</v>
      </c>
      <c r="L61" s="123">
        <f t="shared" si="17"/>
        <v>46111</v>
      </c>
      <c r="M61" s="123">
        <v>46141</v>
      </c>
      <c r="N61" s="59">
        <f t="shared" si="11"/>
        <v>30</v>
      </c>
      <c r="O61" s="130" t="str">
        <f>IF(Inputs!B61='Calc. Jan 2026'!$F$3,Inputs!$I$26,Inputs!F61)</f>
        <v>Please check the dates you entered. The dates you entered are valid for the April 2026 billing cycle. If valid, please use AES Indiana's April 2026 monthly bill calculator to calculate your bill for the dates entered.</v>
      </c>
    </row>
    <row r="62" spans="2:15" x14ac:dyDescent="0.2">
      <c r="B62" s="262" t="s">
        <v>367</v>
      </c>
      <c r="C62" s="130" t="str">
        <f t="shared" si="13"/>
        <v>Please check the dates you entered. The dates you entered are valid for the May 2026</v>
      </c>
      <c r="D62" s="130" t="str">
        <f t="shared" si="14"/>
        <v xml:space="preserve">Please check the dates you entered. The dates you entered are valid for the May 2026 billing cycle. If valid, please use AES Indiana's </v>
      </c>
      <c r="E62" s="130" t="str">
        <f t="shared" si="15"/>
        <v>Please check the dates you entered. The dates you entered are valid for the May 2026 billing cycle. If valid, please use AES Indiana's May 2026</v>
      </c>
      <c r="F62" t="str">
        <f t="shared" si="16"/>
        <v>Please check the dates you entered. The dates you entered are valid for the May 2026 billing cycle. If valid, please use AES Indiana's May 2026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2">
        <v>46143</v>
      </c>
      <c r="I62" s="123">
        <f t="shared" si="18"/>
        <v>46112</v>
      </c>
      <c r="J62" s="123">
        <v>46142</v>
      </c>
      <c r="K62" s="59">
        <f t="shared" si="8"/>
        <v>30</v>
      </c>
      <c r="L62" s="123">
        <f t="shared" si="17"/>
        <v>46141</v>
      </c>
      <c r="M62" s="123">
        <v>46170</v>
      </c>
      <c r="N62" s="59">
        <f t="shared" si="11"/>
        <v>29</v>
      </c>
      <c r="O62" s="130" t="str">
        <f>IF(Inputs!B62='Calc. Jan 2026'!$F$3,Inputs!$I$26,Inputs!F62)</f>
        <v>Please check the dates you entered. The dates you entered are valid for the May 2026 billing cycle. If valid, please use AES Indiana's May 2026 monthly bill calculator to calculate your bill for the dates entered.</v>
      </c>
    </row>
    <row r="63" spans="2:15" x14ac:dyDescent="0.2">
      <c r="B63" s="262" t="s">
        <v>368</v>
      </c>
      <c r="C63" s="130" t="str">
        <f t="shared" si="13"/>
        <v>Please check the dates you entered. The dates you entered are valid for the June 2026</v>
      </c>
      <c r="D63" s="130" t="str">
        <f t="shared" si="14"/>
        <v xml:space="preserve">Please check the dates you entered. The dates you entered are valid for the June 2026 billing cycle. If valid, please use AES Indiana's </v>
      </c>
      <c r="E63" s="130" t="str">
        <f t="shared" si="15"/>
        <v>Please check the dates you entered. The dates you entered are valid for the June 2026 billing cycle. If valid, please use AES Indiana's June 2026</v>
      </c>
      <c r="F63" t="str">
        <f t="shared" si="16"/>
        <v>Please check the dates you entered. The dates you entered are valid for the June 2026 billing cycle. If valid, please use AES Indiana's June 2026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2">
        <v>46174</v>
      </c>
      <c r="I63" s="123">
        <f t="shared" si="18"/>
        <v>46142</v>
      </c>
      <c r="J63" s="123">
        <v>46171</v>
      </c>
      <c r="K63" s="59">
        <f t="shared" si="8"/>
        <v>29</v>
      </c>
      <c r="L63" s="123">
        <f t="shared" si="17"/>
        <v>46170</v>
      </c>
      <c r="M63" s="123">
        <v>46202</v>
      </c>
      <c r="N63" s="59">
        <f t="shared" si="11"/>
        <v>32</v>
      </c>
      <c r="O63" s="130" t="str">
        <f>IF(Inputs!B63='Calc. Jan 2026'!$F$3,Inputs!$I$26,Inputs!F63)</f>
        <v>Please check the dates you entered. The dates you entered are valid for the June 2026 billing cycle. If valid, please use AES Indiana's June 2026 monthly bill calculator to calculate your bill for the dates entered.</v>
      </c>
    </row>
    <row r="64" spans="2:15" x14ac:dyDescent="0.2">
      <c r="B64" s="262" t="s">
        <v>369</v>
      </c>
      <c r="C64" s="130" t="str">
        <f t="shared" si="13"/>
        <v>Please check the dates you entered. The dates you entered are valid for the July 2026</v>
      </c>
      <c r="D64" s="130" t="str">
        <f t="shared" si="14"/>
        <v xml:space="preserve">Please check the dates you entered. The dates you entered are valid for the July 2026 billing cycle. If valid, please use AES Indiana's </v>
      </c>
      <c r="E64" s="130" t="str">
        <f t="shared" si="15"/>
        <v>Please check the dates you entered. The dates you entered are valid for the July 2026 billing cycle. If valid, please use AES Indiana's July 2026</v>
      </c>
      <c r="F64" t="str">
        <f t="shared" si="16"/>
        <v>Please check the dates you entered. The dates you entered are valid for the July 2026 billing cycle. If valid, please use AES Indiana's July 2026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2">
        <v>46204</v>
      </c>
      <c r="I64" s="123">
        <f t="shared" si="18"/>
        <v>46171</v>
      </c>
      <c r="J64" s="123">
        <v>46203</v>
      </c>
      <c r="K64" s="59">
        <f t="shared" si="8"/>
        <v>32</v>
      </c>
      <c r="L64" s="123">
        <f t="shared" si="17"/>
        <v>46202</v>
      </c>
      <c r="M64" s="123">
        <v>46233</v>
      </c>
      <c r="N64" s="59">
        <f t="shared" si="11"/>
        <v>31</v>
      </c>
      <c r="O64" s="130" t="str">
        <f>IF(Inputs!B64='Calc. Jan 2026'!$F$3,Inputs!$I$26,Inputs!F64)</f>
        <v>Please check the dates you entered. The dates you entered are valid for the July 2026 billing cycle. If valid, please use AES Indiana's July 2026 monthly bill calculator to calculate your bill for the dates entered.</v>
      </c>
    </row>
    <row r="65" spans="2:15" x14ac:dyDescent="0.2">
      <c r="B65" s="262" t="s">
        <v>370</v>
      </c>
      <c r="C65" s="130" t="str">
        <f t="shared" si="13"/>
        <v>Please check the dates you entered. The dates you entered are valid for the August 2026</v>
      </c>
      <c r="D65" s="130" t="str">
        <f t="shared" si="14"/>
        <v xml:space="preserve">Please check the dates you entered. The dates you entered are valid for the August 2026 billing cycle. If valid, please use AES Indiana's </v>
      </c>
      <c r="E65" s="130" t="str">
        <f t="shared" si="15"/>
        <v>Please check the dates you entered. The dates you entered are valid for the August 2026 billing cycle. If valid, please use AES Indiana's August 2026</v>
      </c>
      <c r="F65" t="str">
        <f t="shared" si="16"/>
        <v>Please check the dates you entered. The dates you entered are valid for the August 2026 billing cycle. If valid, please use AES Indiana's August 2026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2">
        <v>46235</v>
      </c>
      <c r="I65" s="123">
        <f t="shared" si="18"/>
        <v>46203</v>
      </c>
      <c r="J65" s="123">
        <v>46234</v>
      </c>
      <c r="K65" s="59">
        <f t="shared" si="8"/>
        <v>31</v>
      </c>
      <c r="L65" s="123">
        <f t="shared" si="17"/>
        <v>46233</v>
      </c>
      <c r="M65" s="123">
        <v>46262</v>
      </c>
      <c r="N65" s="59">
        <f t="shared" si="11"/>
        <v>29</v>
      </c>
      <c r="O65" s="130" t="str">
        <f>IF(Inputs!B65='Calc. Jan 2026'!$F$3,Inputs!$I$26,Inputs!F65)</f>
        <v>Please check the dates you entered. The dates you entered are valid for the August 2026 billing cycle. If valid, please use AES Indiana's August 2026 monthly bill calculator to calculate your bill for the dates entered.</v>
      </c>
    </row>
    <row r="66" spans="2:15" x14ac:dyDescent="0.2">
      <c r="B66" s="262" t="s">
        <v>371</v>
      </c>
      <c r="C66" s="130" t="str">
        <f t="shared" si="13"/>
        <v>Please check the dates you entered. The dates you entered are valid for the September 2026</v>
      </c>
      <c r="D66" s="130" t="str">
        <f t="shared" si="14"/>
        <v xml:space="preserve">Please check the dates you entered. The dates you entered are valid for the September 2026 billing cycle. If valid, please use AES Indiana's </v>
      </c>
      <c r="E66" s="130" t="str">
        <f t="shared" si="15"/>
        <v>Please check the dates you entered. The dates you entered are valid for the September 2026 billing cycle. If valid, please use AES Indiana's September 2026</v>
      </c>
      <c r="F66" t="str">
        <f t="shared" si="16"/>
        <v>Please check the dates you entered. The dates you entered are valid for the September 2026 billing cycle. If valid, please use AES Indiana's September 2026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2">
        <v>46266</v>
      </c>
      <c r="I66" s="123">
        <f t="shared" si="18"/>
        <v>46234</v>
      </c>
      <c r="J66" s="123">
        <v>46265</v>
      </c>
      <c r="K66" s="59">
        <f t="shared" si="8"/>
        <v>31</v>
      </c>
      <c r="L66" s="123">
        <f t="shared" si="17"/>
        <v>46262</v>
      </c>
      <c r="M66" s="123">
        <v>46294</v>
      </c>
      <c r="N66" s="59">
        <f t="shared" si="11"/>
        <v>32</v>
      </c>
      <c r="O66" s="130" t="str">
        <f>IF(Inputs!B66='Calc. Jan 2026'!$F$3,Inputs!$I$26,Inputs!F66)</f>
        <v>Please check the dates you entered. The dates you entered are valid for the September 2026 billing cycle. If valid, please use AES Indiana's September 2026 monthly bill calculator to calculate your bill for the dates entered.</v>
      </c>
    </row>
    <row r="67" spans="2:15" x14ac:dyDescent="0.2">
      <c r="B67" s="262" t="s">
        <v>372</v>
      </c>
      <c r="C67" s="130" t="str">
        <f t="shared" si="13"/>
        <v>Please check the dates you entered. The dates you entered are valid for the October 2026</v>
      </c>
      <c r="D67" s="130" t="str">
        <f t="shared" si="14"/>
        <v xml:space="preserve">Please check the dates you entered. The dates you entered are valid for the October 2026 billing cycle. If valid, please use AES Indiana's </v>
      </c>
      <c r="E67" s="130" t="str">
        <f t="shared" si="15"/>
        <v>Please check the dates you entered. The dates you entered are valid for the October 2026 billing cycle. If valid, please use AES Indiana's October 2026</v>
      </c>
      <c r="F67" t="str">
        <f t="shared" si="16"/>
        <v>Please check the dates you entered. The dates you entered are valid for the October 2026 billing cycle. If valid, please use AES Indiana's October 2026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2">
        <v>46296</v>
      </c>
      <c r="I67" s="123">
        <f t="shared" si="18"/>
        <v>46265</v>
      </c>
      <c r="J67" s="123">
        <v>46295</v>
      </c>
      <c r="K67" s="59">
        <f t="shared" si="8"/>
        <v>30</v>
      </c>
      <c r="L67" s="123">
        <f t="shared" si="17"/>
        <v>46294</v>
      </c>
      <c r="M67" s="123">
        <v>46324</v>
      </c>
      <c r="N67" s="59">
        <f t="shared" si="11"/>
        <v>30</v>
      </c>
      <c r="O67" s="130" t="str">
        <f>IF(Inputs!B67='Calc. Jan 2026'!$F$3,Inputs!$I$26,Inputs!F67)</f>
        <v>Please check the dates you entered. The dates you entered are valid for the October 2026 billing cycle. If valid, please use AES Indiana's October 2026 monthly bill calculator to calculate your bill for the dates entered.</v>
      </c>
    </row>
    <row r="68" spans="2:15" x14ac:dyDescent="0.2">
      <c r="B68" s="262" t="s">
        <v>373</v>
      </c>
      <c r="C68" s="130" t="str">
        <f t="shared" si="13"/>
        <v>Please check the dates you entered. The dates you entered are valid for the November 2026</v>
      </c>
      <c r="D68" s="130" t="str">
        <f t="shared" si="14"/>
        <v xml:space="preserve">Please check the dates you entered. The dates you entered are valid for the November 2026 billing cycle. If valid, please use AES Indiana's </v>
      </c>
      <c r="E68" s="130" t="str">
        <f t="shared" si="15"/>
        <v>Please check the dates you entered. The dates you entered are valid for the November 2026 billing cycle. If valid, please use AES Indiana's November 2026</v>
      </c>
      <c r="F68" t="str">
        <f t="shared" si="16"/>
        <v>Please check the dates you entered. The dates you entered are valid for the November 2026 billing cycle. If valid, please use AES Indiana's November 2026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2">
        <v>46327</v>
      </c>
      <c r="I68" s="123">
        <f t="shared" si="18"/>
        <v>46295</v>
      </c>
      <c r="J68" s="123">
        <v>46325</v>
      </c>
      <c r="K68" s="59">
        <f t="shared" si="8"/>
        <v>30</v>
      </c>
      <c r="L68" s="123">
        <f t="shared" si="17"/>
        <v>46324</v>
      </c>
      <c r="M68" s="123">
        <v>46351</v>
      </c>
      <c r="N68" s="59">
        <f t="shared" si="11"/>
        <v>27</v>
      </c>
      <c r="O68" s="130" t="str">
        <f>IF(Inputs!B68='Calc. Jan 2026'!$F$3,Inputs!$I$26,Inputs!F68)</f>
        <v>Please check the dates you entered. The dates you entered are valid for the November 2026 billing cycle. If valid, please use AES Indiana's November 2026 monthly bill calculator to calculate your bill for the dates entered.</v>
      </c>
    </row>
    <row r="69" spans="2:15" x14ac:dyDescent="0.2">
      <c r="B69" s="262" t="s">
        <v>374</v>
      </c>
      <c r="C69" s="130" t="str">
        <f t="shared" si="13"/>
        <v>Please check the dates you entered. The dates you entered are valid for the December 2026</v>
      </c>
      <c r="D69" s="130" t="str">
        <f t="shared" si="14"/>
        <v xml:space="preserve">Please check the dates you entered. The dates you entered are valid for the December 2026 billing cycle. If valid, please use AES Indiana's </v>
      </c>
      <c r="E69" s="130" t="str">
        <f t="shared" si="15"/>
        <v>Please check the dates you entered. The dates you entered are valid for the December 2026 billing cycle. If valid, please use AES Indiana's December 2026</v>
      </c>
      <c r="F69" t="str">
        <f t="shared" si="16"/>
        <v>Please check the dates you entered. The dates you entered are valid for the December 2026 billing cycle. If valid, please use AES Indiana's December 2026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2">
        <v>46357</v>
      </c>
      <c r="I69" s="123">
        <f t="shared" si="18"/>
        <v>46325</v>
      </c>
      <c r="J69" s="123">
        <v>46356</v>
      </c>
      <c r="K69" s="59">
        <f t="shared" si="8"/>
        <v>31</v>
      </c>
      <c r="L69" s="123">
        <f t="shared" si="17"/>
        <v>46351</v>
      </c>
      <c r="M69" s="123">
        <v>46386</v>
      </c>
      <c r="N69" s="59">
        <f t="shared" si="11"/>
        <v>35</v>
      </c>
      <c r="O69" s="130" t="str">
        <f>IF(Inputs!B69='Calc. Jan 2026'!$F$3,Inputs!$I$26,Inputs!F69)</f>
        <v>Please check the dates you entered. The dates you entered are valid for the December 2026 billing cycle. If valid, please use AES Indiana's December 2026 monthly bill calculator to calculate your bill for the dates entered.</v>
      </c>
    </row>
    <row r="70" spans="2:15" x14ac:dyDescent="0.2">
      <c r="B70" s="261" t="s">
        <v>383</v>
      </c>
      <c r="C70" s="130" t="str">
        <f t="shared" ref="C70:C81" si="19">$I$27&amp;""&amp;B70</f>
        <v>Please check the dates you entered. The dates you entered are valid for the January 2027</v>
      </c>
      <c r="D70" s="130" t="str">
        <f t="shared" ref="D70:D81" si="20">C70&amp;" "&amp;$I$28</f>
        <v xml:space="preserve">Please check the dates you entered. The dates you entered are valid for the January 2027 billing cycle. If valid, please use AES Indiana's </v>
      </c>
      <c r="E70" s="130" t="str">
        <f t="shared" ref="E70:E81" si="21">D70&amp;""&amp;B70</f>
        <v>Please check the dates you entered. The dates you entered are valid for the January 2027 billing cycle. If valid, please use AES Indiana's January 2027</v>
      </c>
      <c r="F70" t="str">
        <f t="shared" ref="F70:F81" si="22">E70&amp;" "&amp;$I$29</f>
        <v>Please check the dates you entered. The dates you entered are valid for the January 2027 billing cycle. If valid, please use AES Indiana's January 2027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2">
        <v>46388</v>
      </c>
      <c r="I70" s="123">
        <f>J69</f>
        <v>46356</v>
      </c>
      <c r="J70" s="123">
        <v>46387</v>
      </c>
      <c r="K70" s="59">
        <f t="shared" si="8"/>
        <v>31</v>
      </c>
      <c r="L70" s="123">
        <f>M69</f>
        <v>46386</v>
      </c>
      <c r="M70" s="123">
        <v>46415</v>
      </c>
      <c r="N70" s="59">
        <f t="shared" si="11"/>
        <v>29</v>
      </c>
      <c r="O70" s="130" t="str">
        <f>IF(Inputs!B70='Calc. Jan 2026'!$F$3,Inputs!$I$26,Inputs!F70)</f>
        <v>Please check the dates you entered. The dates you entered are valid for the January 2027 billing cycle. If valid, please use AES Indiana's January 2027 monthly bill calculator to calculate your bill for the dates entered.</v>
      </c>
    </row>
    <row r="71" spans="2:15" x14ac:dyDescent="0.2">
      <c r="B71" s="261" t="s">
        <v>384</v>
      </c>
      <c r="C71" s="130" t="str">
        <f t="shared" si="19"/>
        <v>Please check the dates you entered. The dates you entered are valid for the February 2027</v>
      </c>
      <c r="D71" s="130" t="str">
        <f t="shared" si="20"/>
        <v xml:space="preserve">Please check the dates you entered. The dates you entered are valid for the February 2027 billing cycle. If valid, please use AES Indiana's </v>
      </c>
      <c r="E71" s="130" t="str">
        <f t="shared" si="21"/>
        <v>Please check the dates you entered. The dates you entered are valid for the February 2027 billing cycle. If valid, please use AES Indiana's February 2027</v>
      </c>
      <c r="F71" t="str">
        <f t="shared" si="22"/>
        <v>Please check the dates you entered. The dates you entered are valid for the February 2027 billing cycle. If valid, please use AES Indiana's February 2027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2">
        <v>46419</v>
      </c>
      <c r="I71" s="123">
        <f>J70</f>
        <v>46387</v>
      </c>
      <c r="J71" s="123">
        <v>46416</v>
      </c>
      <c r="K71" s="59">
        <f t="shared" si="8"/>
        <v>29</v>
      </c>
      <c r="L71" s="123">
        <f t="shared" ref="L71:L81" si="23">M70</f>
        <v>46415</v>
      </c>
      <c r="M71" s="123">
        <v>46443</v>
      </c>
      <c r="N71" s="59">
        <f t="shared" si="11"/>
        <v>28</v>
      </c>
      <c r="O71" s="130" t="str">
        <f>IF(Inputs!B71='Calc. Jan 2026'!$F$3,Inputs!$I$26,Inputs!F71)</f>
        <v>Please check the dates you entered. The dates you entered are valid for the February 2027 billing cycle. If valid, please use AES Indiana's February 2027 monthly bill calculator to calculate your bill for the dates entered.</v>
      </c>
    </row>
    <row r="72" spans="2:15" x14ac:dyDescent="0.2">
      <c r="B72" s="262" t="s">
        <v>385</v>
      </c>
      <c r="C72" s="130" t="str">
        <f t="shared" si="19"/>
        <v>Please check the dates you entered. The dates you entered are valid for the March 2027</v>
      </c>
      <c r="D72" s="130" t="str">
        <f t="shared" si="20"/>
        <v xml:space="preserve">Please check the dates you entered. The dates you entered are valid for the March 2027 billing cycle. If valid, please use AES Indiana's </v>
      </c>
      <c r="E72" s="130" t="str">
        <f t="shared" si="21"/>
        <v>Please check the dates you entered. The dates you entered are valid for the March 2027 billing cycle. If valid, please use AES Indiana's March 2027</v>
      </c>
      <c r="F72" t="str">
        <f t="shared" si="22"/>
        <v>Please check the dates you entered. The dates you entered are valid for the March 2027 billing cycle. If valid, please use AES Indiana's March 2027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2">
        <v>46447</v>
      </c>
      <c r="I72" s="123">
        <f t="shared" ref="I72:I81" si="24">J71</f>
        <v>46416</v>
      </c>
      <c r="J72" s="123">
        <v>46444</v>
      </c>
      <c r="K72" s="59">
        <f t="shared" si="8"/>
        <v>28</v>
      </c>
      <c r="L72" s="123">
        <f t="shared" si="23"/>
        <v>46443</v>
      </c>
      <c r="M72" s="123">
        <v>46476</v>
      </c>
      <c r="N72" s="59">
        <f t="shared" si="11"/>
        <v>33</v>
      </c>
      <c r="O72" s="130" t="str">
        <f>IF(Inputs!B72='Calc. Jan 2026'!$F$3,Inputs!$I$26,Inputs!F72)</f>
        <v>Please check the dates you entered. The dates you entered are valid for the March 2027 billing cycle. If valid, please use AES Indiana's March 2027 monthly bill calculator to calculate your bill for the dates entered.</v>
      </c>
    </row>
    <row r="73" spans="2:15" x14ac:dyDescent="0.2">
      <c r="B73" s="262" t="s">
        <v>386</v>
      </c>
      <c r="C73" s="130" t="str">
        <f t="shared" si="19"/>
        <v>Please check the dates you entered. The dates you entered are valid for the April 2027</v>
      </c>
      <c r="D73" s="130" t="str">
        <f t="shared" si="20"/>
        <v xml:space="preserve">Please check the dates you entered. The dates you entered are valid for the April 2027 billing cycle. If valid, please use AES Indiana's </v>
      </c>
      <c r="E73" s="130" t="str">
        <f t="shared" si="21"/>
        <v>Please check the dates you entered. The dates you entered are valid for the April 2027 billing cycle. If valid, please use AES Indiana's April 2027</v>
      </c>
      <c r="F73" t="str">
        <f t="shared" si="22"/>
        <v>Please check the dates you entered. The dates you entered are valid for the April 2027 billing cycle. If valid, please use AES Indiana's April 2027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2">
        <v>46478</v>
      </c>
      <c r="I73" s="123">
        <f t="shared" si="24"/>
        <v>46444</v>
      </c>
      <c r="J73" s="123">
        <v>46477</v>
      </c>
      <c r="K73" s="59">
        <f t="shared" si="8"/>
        <v>33</v>
      </c>
      <c r="L73" s="123">
        <f t="shared" si="23"/>
        <v>46476</v>
      </c>
      <c r="M73" s="123">
        <v>46506</v>
      </c>
      <c r="N73" s="59">
        <f t="shared" si="11"/>
        <v>30</v>
      </c>
      <c r="O73" s="130" t="str">
        <f>IF(Inputs!B73='Calc. Jan 2026'!$F$3,Inputs!$I$26,Inputs!F73)</f>
        <v>Please check the dates you entered. The dates you entered are valid for the April 2027 billing cycle. If valid, please use AES Indiana's April 2027 monthly bill calculator to calculate your bill for the dates entered.</v>
      </c>
    </row>
    <row r="74" spans="2:15" x14ac:dyDescent="0.2">
      <c r="B74" s="262" t="s">
        <v>387</v>
      </c>
      <c r="C74" s="130" t="str">
        <f t="shared" si="19"/>
        <v>Please check the dates you entered. The dates you entered are valid for the May 2027</v>
      </c>
      <c r="D74" s="130" t="str">
        <f t="shared" si="20"/>
        <v xml:space="preserve">Please check the dates you entered. The dates you entered are valid for the May 2027 billing cycle. If valid, please use AES Indiana's </v>
      </c>
      <c r="E74" s="130" t="str">
        <f t="shared" si="21"/>
        <v>Please check the dates you entered. The dates you entered are valid for the May 2027 billing cycle. If valid, please use AES Indiana's May 2027</v>
      </c>
      <c r="F74" t="str">
        <f t="shared" si="22"/>
        <v>Please check the dates you entered. The dates you entered are valid for the May 2027 billing cycle. If valid, please use AES Indiana's May 2027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2">
        <v>46508</v>
      </c>
      <c r="I74" s="123">
        <f t="shared" si="24"/>
        <v>46477</v>
      </c>
      <c r="J74" s="123">
        <v>46507</v>
      </c>
      <c r="K74" s="59">
        <f t="shared" si="8"/>
        <v>30</v>
      </c>
      <c r="L74" s="123">
        <f t="shared" si="23"/>
        <v>46506</v>
      </c>
      <c r="M74" s="123">
        <v>46534</v>
      </c>
      <c r="N74" s="59">
        <f t="shared" si="11"/>
        <v>28</v>
      </c>
      <c r="O74" s="130" t="str">
        <f>IF(Inputs!B74='Calc. Jan 2026'!$F$3,Inputs!$I$26,Inputs!F74)</f>
        <v>Please check the dates you entered. The dates you entered are valid for the May 2027 billing cycle. If valid, please use AES Indiana's May 2027 monthly bill calculator to calculate your bill for the dates entered.</v>
      </c>
    </row>
    <row r="75" spans="2:15" x14ac:dyDescent="0.2">
      <c r="B75" s="262" t="s">
        <v>388</v>
      </c>
      <c r="C75" s="130" t="str">
        <f t="shared" si="19"/>
        <v>Please check the dates you entered. The dates you entered are valid for the June 2027</v>
      </c>
      <c r="D75" s="130" t="str">
        <f t="shared" si="20"/>
        <v xml:space="preserve">Please check the dates you entered. The dates you entered are valid for the June 2027 billing cycle. If valid, please use AES Indiana's </v>
      </c>
      <c r="E75" s="130" t="str">
        <f t="shared" si="21"/>
        <v>Please check the dates you entered. The dates you entered are valid for the June 2027 billing cycle. If valid, please use AES Indiana's June 2027</v>
      </c>
      <c r="F75" t="str">
        <f t="shared" si="22"/>
        <v>Please check the dates you entered. The dates you entered are valid for the June 2027 billing cycle. If valid, please use AES Indiana's June 2027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2">
        <v>46539</v>
      </c>
      <c r="I75" s="123">
        <f t="shared" si="24"/>
        <v>46507</v>
      </c>
      <c r="J75" s="123">
        <v>46535</v>
      </c>
      <c r="K75" s="59">
        <f t="shared" si="8"/>
        <v>28</v>
      </c>
      <c r="L75" s="123">
        <f t="shared" si="23"/>
        <v>46534</v>
      </c>
      <c r="M75" s="123">
        <v>46567</v>
      </c>
      <c r="N75" s="59">
        <f t="shared" si="11"/>
        <v>33</v>
      </c>
      <c r="O75" s="130" t="str">
        <f>IF(Inputs!B75='Calc. Jan 2026'!$F$3,Inputs!$I$26,Inputs!F75)</f>
        <v>Please check the dates you entered. The dates you entered are valid for the June 2027 billing cycle. If valid, please use AES Indiana's June 2027 monthly bill calculator to calculate your bill for the dates entered.</v>
      </c>
    </row>
    <row r="76" spans="2:15" x14ac:dyDescent="0.2">
      <c r="B76" s="262" t="s">
        <v>389</v>
      </c>
      <c r="C76" s="130" t="str">
        <f t="shared" si="19"/>
        <v>Please check the dates you entered. The dates you entered are valid for the July 2027</v>
      </c>
      <c r="D76" s="130" t="str">
        <f t="shared" si="20"/>
        <v xml:space="preserve">Please check the dates you entered. The dates you entered are valid for the July 2027 billing cycle. If valid, please use AES Indiana's </v>
      </c>
      <c r="E76" s="130" t="str">
        <f t="shared" si="21"/>
        <v>Please check the dates you entered. The dates you entered are valid for the July 2027 billing cycle. If valid, please use AES Indiana's July 2027</v>
      </c>
      <c r="F76" t="str">
        <f t="shared" si="22"/>
        <v>Please check the dates you entered. The dates you entered are valid for the July 2027 billing cycle. If valid, please use AES Indiana's July 2027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2">
        <v>46569</v>
      </c>
      <c r="I76" s="123">
        <f t="shared" si="24"/>
        <v>46535</v>
      </c>
      <c r="J76" s="123">
        <v>46568</v>
      </c>
      <c r="K76" s="59">
        <f t="shared" si="8"/>
        <v>33</v>
      </c>
      <c r="L76" s="123">
        <f t="shared" si="23"/>
        <v>46567</v>
      </c>
      <c r="M76" s="123">
        <v>46597</v>
      </c>
      <c r="N76" s="59">
        <f t="shared" si="11"/>
        <v>30</v>
      </c>
      <c r="O76" s="130" t="str">
        <f>IF(Inputs!B76='Calc. Jan 2026'!$F$3,Inputs!$I$26,Inputs!F76)</f>
        <v>Please check the dates you entered. The dates you entered are valid for the July 2027 billing cycle. If valid, please use AES Indiana's July 2027 monthly bill calculator to calculate your bill for the dates entered.</v>
      </c>
    </row>
    <row r="77" spans="2:15" x14ac:dyDescent="0.2">
      <c r="B77" s="262" t="s">
        <v>390</v>
      </c>
      <c r="C77" s="130" t="str">
        <f t="shared" si="19"/>
        <v>Please check the dates you entered. The dates you entered are valid for the August 2027</v>
      </c>
      <c r="D77" s="130" t="str">
        <f t="shared" si="20"/>
        <v xml:space="preserve">Please check the dates you entered. The dates you entered are valid for the August 2027 billing cycle. If valid, please use AES Indiana's </v>
      </c>
      <c r="E77" s="130" t="str">
        <f t="shared" si="21"/>
        <v>Please check the dates you entered. The dates you entered are valid for the August 2027 billing cycle. If valid, please use AES Indiana's August 2027</v>
      </c>
      <c r="F77" t="str">
        <f t="shared" si="22"/>
        <v>Please check the dates you entered. The dates you entered are valid for the August 2027 billing cycle. If valid, please use AES Indiana's August 2027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2">
        <v>46600</v>
      </c>
      <c r="I77" s="123">
        <f t="shared" si="24"/>
        <v>46568</v>
      </c>
      <c r="J77" s="123">
        <v>46598</v>
      </c>
      <c r="K77" s="59">
        <f t="shared" si="8"/>
        <v>30</v>
      </c>
      <c r="L77" s="123">
        <f t="shared" si="23"/>
        <v>46597</v>
      </c>
      <c r="M77" s="123">
        <v>46629</v>
      </c>
      <c r="N77" s="59">
        <f t="shared" si="11"/>
        <v>32</v>
      </c>
      <c r="O77" s="130" t="str">
        <f>IF(Inputs!B77='Calc. Jan 2026'!$F$3,Inputs!$I$26,Inputs!F77)</f>
        <v>Please check the dates you entered. The dates you entered are valid for the August 2027 billing cycle. If valid, please use AES Indiana's August 2027 monthly bill calculator to calculate your bill for the dates entered.</v>
      </c>
    </row>
    <row r="78" spans="2:15" x14ac:dyDescent="0.2">
      <c r="B78" s="262" t="s">
        <v>391</v>
      </c>
      <c r="C78" s="130" t="str">
        <f t="shared" si="19"/>
        <v>Please check the dates you entered. The dates you entered are valid for the September 2027</v>
      </c>
      <c r="D78" s="130" t="str">
        <f t="shared" si="20"/>
        <v xml:space="preserve">Please check the dates you entered. The dates you entered are valid for the September 2027 billing cycle. If valid, please use AES Indiana's </v>
      </c>
      <c r="E78" s="130" t="str">
        <f t="shared" si="21"/>
        <v>Please check the dates you entered. The dates you entered are valid for the September 2027 billing cycle. If valid, please use AES Indiana's September 2027</v>
      </c>
      <c r="F78" t="str">
        <f t="shared" si="22"/>
        <v>Please check the dates you entered. The dates you entered are valid for the September 2027 billing cycle. If valid, please use AES Indiana's September 2027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2">
        <v>46631</v>
      </c>
      <c r="I78" s="123">
        <f t="shared" si="24"/>
        <v>46598</v>
      </c>
      <c r="J78" s="123">
        <v>46630</v>
      </c>
      <c r="K78" s="59">
        <f t="shared" si="8"/>
        <v>32</v>
      </c>
      <c r="L78" s="123">
        <f t="shared" si="23"/>
        <v>46629</v>
      </c>
      <c r="M78" s="123">
        <v>46659</v>
      </c>
      <c r="N78" s="59">
        <f t="shared" si="11"/>
        <v>30</v>
      </c>
      <c r="O78" s="130" t="str">
        <f>IF(Inputs!B78='Calc. Jan 2026'!$F$3,Inputs!$I$26,Inputs!F78)</f>
        <v>Please check the dates you entered. The dates you entered are valid for the September 2027 billing cycle. If valid, please use AES Indiana's September 2027 monthly bill calculator to calculate your bill for the dates entered.</v>
      </c>
    </row>
    <row r="79" spans="2:15" x14ac:dyDescent="0.2">
      <c r="B79" s="262" t="s">
        <v>392</v>
      </c>
      <c r="C79" s="130" t="str">
        <f t="shared" si="19"/>
        <v>Please check the dates you entered. The dates you entered are valid for the October 2027</v>
      </c>
      <c r="D79" s="130" t="str">
        <f t="shared" si="20"/>
        <v xml:space="preserve">Please check the dates you entered. The dates you entered are valid for the October 2027 billing cycle. If valid, please use AES Indiana's </v>
      </c>
      <c r="E79" s="130" t="str">
        <f t="shared" si="21"/>
        <v>Please check the dates you entered. The dates you entered are valid for the October 2027 billing cycle. If valid, please use AES Indiana's October 2027</v>
      </c>
      <c r="F79" t="str">
        <f t="shared" si="22"/>
        <v>Please check the dates you entered. The dates you entered are valid for the October 2027 billing cycle. If valid, please use AES Indiana's October 2027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2">
        <v>46661</v>
      </c>
      <c r="I79" s="123">
        <f t="shared" si="24"/>
        <v>46630</v>
      </c>
      <c r="J79" s="123">
        <v>46660</v>
      </c>
      <c r="K79" s="59">
        <f t="shared" si="8"/>
        <v>30</v>
      </c>
      <c r="L79" s="123">
        <f t="shared" si="23"/>
        <v>46659</v>
      </c>
      <c r="M79" s="123">
        <v>46688</v>
      </c>
      <c r="N79" s="59">
        <f t="shared" si="11"/>
        <v>29</v>
      </c>
      <c r="O79" s="130" t="str">
        <f>IF(Inputs!B79='Calc. Jan 2026'!$F$3,Inputs!$I$26,Inputs!F79)</f>
        <v>Please check the dates you entered. The dates you entered are valid for the October 2027 billing cycle. If valid, please use AES Indiana's October 2027 monthly bill calculator to calculate your bill for the dates entered.</v>
      </c>
    </row>
    <row r="80" spans="2:15" x14ac:dyDescent="0.2">
      <c r="B80" s="262" t="s">
        <v>393</v>
      </c>
      <c r="C80" s="130" t="str">
        <f t="shared" si="19"/>
        <v>Please check the dates you entered. The dates you entered are valid for the November 2027</v>
      </c>
      <c r="D80" s="130" t="str">
        <f t="shared" si="20"/>
        <v xml:space="preserve">Please check the dates you entered. The dates you entered are valid for the November 2027 billing cycle. If valid, please use AES Indiana's </v>
      </c>
      <c r="E80" s="130" t="str">
        <f t="shared" si="21"/>
        <v>Please check the dates you entered. The dates you entered are valid for the November 2027 billing cycle. If valid, please use AES Indiana's November 2027</v>
      </c>
      <c r="F80" t="str">
        <f t="shared" si="22"/>
        <v>Please check the dates you entered. The dates you entered are valid for the November 2027 billing cycle. If valid, please use AES Indiana's November 2027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2">
        <v>46692</v>
      </c>
      <c r="I80" s="123">
        <f t="shared" si="24"/>
        <v>46660</v>
      </c>
      <c r="J80" s="123">
        <v>46689</v>
      </c>
      <c r="K80" s="59">
        <f t="shared" si="8"/>
        <v>29</v>
      </c>
      <c r="L80" s="123">
        <f t="shared" si="23"/>
        <v>46688</v>
      </c>
      <c r="M80" s="123">
        <v>46720</v>
      </c>
      <c r="N80" s="59">
        <f t="shared" si="11"/>
        <v>32</v>
      </c>
      <c r="O80" s="130" t="str">
        <f>IF(Inputs!B80='Calc. Jan 2026'!$F$3,Inputs!$I$26,Inputs!F80)</f>
        <v>Please check the dates you entered. The dates you entered are valid for the November 2027 billing cycle. If valid, please use AES Indiana's November 2027 monthly bill calculator to calculate your bill for the dates entered.</v>
      </c>
    </row>
    <row r="81" spans="2:15" x14ac:dyDescent="0.2">
      <c r="B81" s="262" t="s">
        <v>394</v>
      </c>
      <c r="C81" s="130" t="str">
        <f t="shared" si="19"/>
        <v>Please check the dates you entered. The dates you entered are valid for the December 2027</v>
      </c>
      <c r="D81" s="130" t="str">
        <f t="shared" si="20"/>
        <v xml:space="preserve">Please check the dates you entered. The dates you entered are valid for the December 2027 billing cycle. If valid, please use AES Indiana's </v>
      </c>
      <c r="E81" s="130" t="str">
        <f t="shared" si="21"/>
        <v>Please check the dates you entered. The dates you entered are valid for the December 2027 billing cycle. If valid, please use AES Indiana's December 2027</v>
      </c>
      <c r="F81" t="str">
        <f t="shared" si="22"/>
        <v>Please check the dates you entered. The dates you entered are valid for the December 2027 billing cycle. If valid, please use AES Indiana's December 2027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2">
        <v>46722</v>
      </c>
      <c r="I81" s="123">
        <f t="shared" si="24"/>
        <v>46689</v>
      </c>
      <c r="J81" s="123">
        <v>46721</v>
      </c>
      <c r="K81" s="59">
        <f t="shared" si="8"/>
        <v>32</v>
      </c>
      <c r="L81" s="123">
        <f t="shared" si="23"/>
        <v>46720</v>
      </c>
      <c r="M81" s="123">
        <v>46750</v>
      </c>
      <c r="N81" s="59">
        <f t="shared" si="11"/>
        <v>30</v>
      </c>
      <c r="O81" s="130" t="str">
        <f>IF(Inputs!B81='Calc. Jan 2026'!$F$3,Inputs!$I$26,Inputs!F81)</f>
        <v>Please check the dates you entered. The dates you entered are valid for the December 2027 billing cycle. If valid, please use AES Indiana's December 2027 monthly bill calculator to calculate your bill for the dates entered.</v>
      </c>
    </row>
    <row r="82" spans="2:15" x14ac:dyDescent="0.2">
      <c r="B82" t="str">
        <f>C82&amp;" "&amp;F82</f>
        <v xml:space="preserve"> </v>
      </c>
      <c r="G82">
        <f>IF('AES Indiana Bill Calc.'!$D$12&lt;'AES Indiana Bill Calc.'!$D$11,"X",)</f>
        <v>0</v>
      </c>
      <c r="H82" s="130" t="s">
        <v>87</v>
      </c>
      <c r="O82" s="130" t="s">
        <v>88</v>
      </c>
    </row>
    <row r="83" spans="2:15" x14ac:dyDescent="0.2">
      <c r="B83" t="str">
        <f>C83&amp;" "&amp;F83</f>
        <v xml:space="preserve"> </v>
      </c>
      <c r="G83">
        <f>IF(AND('AES Indiana Bill Calc.'!$D$12-'AES Indiana Bill Calc.'!$D$11&lt;26,'AES Indiana Bill Calc.'!$D$11&lt;&gt;"", 'AES Indiana Bill Calc.'!$D$12&lt;&gt;"",'AES Indiana Bill Calc.'!$D$12-'AES Indiana Bill Calc.'!$D$11&gt;=0),"X",)</f>
        <v>0</v>
      </c>
      <c r="H83" s="130" t="s">
        <v>89</v>
      </c>
      <c r="K83">
        <v>26</v>
      </c>
      <c r="O83" s="130" t="s">
        <v>90</v>
      </c>
    </row>
    <row r="84" spans="2:15" x14ac:dyDescent="0.2">
      <c r="B84" t="str">
        <f>C84&amp;" "&amp;F84</f>
        <v xml:space="preserve"> </v>
      </c>
      <c r="G84">
        <f>IF(AND('AES Indiana Bill Calc.'!$D$12-'AES Indiana Bill Calc.'!$D$11&gt;35,'AES Indiana Bill Calc.'!$D$11&lt;&gt;"", 'AES Indiana Bill Calc.'!$D$12&lt;&gt;""),"X",)</f>
        <v>0</v>
      </c>
      <c r="H84" s="130" t="s">
        <v>91</v>
      </c>
      <c r="K84">
        <v>36</v>
      </c>
      <c r="O84" s="130" t="s">
        <v>92</v>
      </c>
    </row>
    <row r="85" spans="2:15" x14ac:dyDescent="0.2">
      <c r="B85" t="str">
        <f>C85&amp;" "&amp;F85</f>
        <v xml:space="preserve"> </v>
      </c>
      <c r="G85" t="str">
        <f>IF(OR('AES Indiana Bill Calc.'!D11="",'AES Indiana Bill Calc.'!D12=""),"X",)</f>
        <v>X</v>
      </c>
      <c r="H85" s="130" t="s">
        <v>93</v>
      </c>
    </row>
    <row r="86" spans="2:15" x14ac:dyDescent="0.2">
      <c r="B86" t="str">
        <f>C86&amp;" "&amp;F86</f>
        <v xml:space="preserve"> </v>
      </c>
      <c r="G86">
        <f>IF(OR(G83="X",G84="X",G82="X",G85="X",G34="X",G35="X",G36="X",G37="X",G38="X",G39="X",G40="X",G41="X",G42="X",G43="X",G44="X",G45="X",G46="X",G47="X",G48="X",G49="X",G50="X",G51="X",G52="X",G53="X",G54="X",G55="X",G56="X",G57="X",G58="X",G59="X",G60="X",G61="X",G62="X",G63="X",G64="X",G65="X",G66="X",G67="X",G68="X",G69="X"),0,"X")</f>
        <v>0</v>
      </c>
      <c r="H86" s="130" t="s">
        <v>94</v>
      </c>
      <c r="O86" s="130" t="s">
        <v>95</v>
      </c>
    </row>
    <row r="90" spans="2:15" x14ac:dyDescent="0.2">
      <c r="H90" s="173"/>
      <c r="I90" s="173"/>
      <c r="J90" s="173"/>
      <c r="K90" s="173"/>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412"/>
  <sheetViews>
    <sheetView zoomScaleNormal="100" workbookViewId="0">
      <selection activeCell="B332" sqref="B332"/>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1"/>
      <c r="D1" s="142"/>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55" t="str">
        <f>F3&amp;" "&amp;F2</f>
        <v>January 2026 Monthly Bill Calculator</v>
      </c>
      <c r="C2" s="256"/>
      <c r="D2" s="256"/>
      <c r="E2" s="257"/>
      <c r="F2" s="175" t="s">
        <v>358</v>
      </c>
      <c r="M2" s="13" t="s">
        <v>96</v>
      </c>
      <c r="N2" s="13"/>
      <c r="O2" s="13"/>
      <c r="P2" s="13"/>
      <c r="Q2" s="13"/>
      <c r="R2" s="13" t="s">
        <v>36</v>
      </c>
      <c r="S2" s="136" t="s">
        <v>38</v>
      </c>
      <c r="T2" s="13" t="s">
        <v>97</v>
      </c>
      <c r="U2" s="13" t="s">
        <v>98</v>
      </c>
      <c r="V2" s="13" t="s">
        <v>99</v>
      </c>
      <c r="W2" s="136" t="s">
        <v>44</v>
      </c>
      <c r="X2" s="136" t="s">
        <v>46</v>
      </c>
      <c r="Y2" s="136" t="s">
        <v>48</v>
      </c>
      <c r="Z2" s="66" t="s">
        <v>100</v>
      </c>
      <c r="AA2" s="85"/>
    </row>
    <row r="3" spans="1:27" x14ac:dyDescent="0.2">
      <c r="A3" s="1"/>
      <c r="B3" s="7"/>
      <c r="C3" s="40"/>
      <c r="D3" s="40"/>
      <c r="F3" s="175" t="str">
        <f>D6&amp;" "&amp;D7</f>
        <v>January 2026</v>
      </c>
      <c r="L3" t="s">
        <v>101</v>
      </c>
      <c r="M3" s="164">
        <v>1.8E-3</v>
      </c>
      <c r="N3" s="119"/>
      <c r="O3" s="119"/>
      <c r="P3" s="119"/>
      <c r="Q3" s="119"/>
      <c r="R3" s="119">
        <v>2.3900000000000001E-4</v>
      </c>
      <c r="S3">
        <v>4.7739999999999996E-3</v>
      </c>
      <c r="T3" s="119">
        <v>6.1580000000000003E-3</v>
      </c>
      <c r="U3" s="120">
        <v>0</v>
      </c>
      <c r="V3" s="119">
        <v>9.476E-3</v>
      </c>
      <c r="W3" s="119">
        <v>-5.1900000000000004E-4</v>
      </c>
      <c r="X3" s="119">
        <v>4.1159999999999999E-3</v>
      </c>
      <c r="Y3" s="119">
        <v>7.3200000000000001E-4</v>
      </c>
      <c r="Z3" s="19">
        <f>SUM(S3:Y3)</f>
        <v>2.4737000000000006E-2</v>
      </c>
      <c r="AA3" s="19"/>
    </row>
    <row r="4" spans="1:27" x14ac:dyDescent="0.2">
      <c r="B4" s="1"/>
      <c r="C4" s="40"/>
      <c r="D4" s="40"/>
      <c r="F4" s="44"/>
      <c r="L4" t="s">
        <v>102</v>
      </c>
      <c r="M4" s="19">
        <f>+M3</f>
        <v>1.8E-3</v>
      </c>
      <c r="N4" s="19"/>
      <c r="O4" s="19"/>
      <c r="P4" s="19"/>
      <c r="Q4" s="19"/>
      <c r="R4" s="19">
        <f>R3</f>
        <v>2.3900000000000001E-4</v>
      </c>
      <c r="S4">
        <v>3.4810000000000002E-3</v>
      </c>
      <c r="T4" s="119">
        <v>1.2638E-2</v>
      </c>
      <c r="U4" s="120">
        <v>0</v>
      </c>
      <c r="V4" s="119">
        <v>8.8730000000000007E-3</v>
      </c>
      <c r="W4" s="119">
        <v>-8.1800000000000004E-4</v>
      </c>
      <c r="X4" s="119">
        <v>4.2139999999999999E-3</v>
      </c>
      <c r="Y4" s="119">
        <v>7.0699999999999995E-4</v>
      </c>
      <c r="Z4" s="19">
        <f>SUM(S4:Y4)</f>
        <v>2.9094999999999999E-2</v>
      </c>
      <c r="AA4" s="19"/>
    </row>
    <row r="5" spans="1:27" x14ac:dyDescent="0.2">
      <c r="A5" s="44"/>
      <c r="B5" s="1"/>
      <c r="C5" s="40"/>
      <c r="D5" s="40"/>
      <c r="F5" s="44"/>
      <c r="K5" t="s">
        <v>103</v>
      </c>
      <c r="L5" t="s">
        <v>104</v>
      </c>
      <c r="M5" s="19">
        <f>+M4</f>
        <v>1.8E-3</v>
      </c>
      <c r="N5" s="19"/>
      <c r="O5" s="19"/>
      <c r="P5" s="19"/>
      <c r="Q5" s="19"/>
      <c r="R5" s="19">
        <f>+R4</f>
        <v>2.3900000000000001E-4</v>
      </c>
      <c r="S5" s="119">
        <v>2.098E-3</v>
      </c>
      <c r="T5" s="119">
        <v>1.5089999999999999E-2</v>
      </c>
      <c r="U5" s="120">
        <v>0</v>
      </c>
      <c r="V5" s="102">
        <v>8.1969999999999994E-3</v>
      </c>
      <c r="W5" s="102">
        <v>-4.8200000000000001E-4</v>
      </c>
      <c r="X5" s="102">
        <v>3.9439999999999996E-3</v>
      </c>
      <c r="Y5" s="102">
        <v>6.6600000000000003E-4</v>
      </c>
      <c r="Z5" s="19">
        <f>SUM(S5:Y5)</f>
        <v>2.9512999999999998E-2</v>
      </c>
      <c r="AA5" s="19"/>
    </row>
    <row r="6" spans="1:27" x14ac:dyDescent="0.2">
      <c r="A6" s="44"/>
      <c r="C6" s="1" t="s">
        <v>82</v>
      </c>
      <c r="D6" s="176" t="s">
        <v>325</v>
      </c>
      <c r="F6" s="44"/>
      <c r="J6" s="130" t="s">
        <v>105</v>
      </c>
      <c r="K6" t="s">
        <v>106</v>
      </c>
      <c r="L6" t="s">
        <v>102</v>
      </c>
      <c r="M6" s="19"/>
      <c r="N6" s="19"/>
      <c r="O6" s="19"/>
      <c r="P6" s="19"/>
      <c r="Q6" s="19"/>
      <c r="R6" s="19"/>
      <c r="S6" s="119"/>
      <c r="T6" s="119">
        <v>0</v>
      </c>
      <c r="U6" s="120">
        <v>0</v>
      </c>
      <c r="V6" s="102"/>
      <c r="W6" s="102"/>
      <c r="X6" s="102"/>
      <c r="Y6" s="69"/>
      <c r="Z6" s="19">
        <f>SUM(S6:Y6)</f>
        <v>0</v>
      </c>
      <c r="AA6" s="19"/>
    </row>
    <row r="7" spans="1:27" x14ac:dyDescent="0.2">
      <c r="A7" s="44"/>
      <c r="C7" s="1" t="s">
        <v>359</v>
      </c>
      <c r="D7" s="177">
        <v>2026</v>
      </c>
      <c r="F7" s="44"/>
      <c r="J7" s="130"/>
      <c r="M7" s="19"/>
      <c r="N7" s="19"/>
      <c r="O7" s="19"/>
      <c r="P7" s="19"/>
      <c r="Q7" s="19"/>
      <c r="R7" s="19"/>
      <c r="S7" s="119"/>
      <c r="T7" s="119"/>
      <c r="U7" s="120"/>
      <c r="V7" s="102"/>
      <c r="W7" s="102"/>
      <c r="X7" s="102"/>
      <c r="Y7" s="69"/>
      <c r="Z7" s="19"/>
      <c r="AA7" s="19"/>
    </row>
    <row r="8" spans="1:27" x14ac:dyDescent="0.2">
      <c r="A8" s="44"/>
      <c r="C8" s="1"/>
      <c r="D8" s="40"/>
      <c r="F8" s="44"/>
      <c r="J8" s="130" t="s">
        <v>105</v>
      </c>
      <c r="K8" t="s">
        <v>106</v>
      </c>
      <c r="L8" t="s">
        <v>104</v>
      </c>
      <c r="M8" s="19"/>
      <c r="N8" s="19"/>
      <c r="O8" s="19"/>
      <c r="P8" s="19"/>
      <c r="Q8" s="19"/>
      <c r="R8" s="19"/>
      <c r="S8" s="119"/>
      <c r="T8" s="119">
        <v>0</v>
      </c>
      <c r="U8" s="120">
        <v>0</v>
      </c>
      <c r="V8" s="102"/>
      <c r="W8" s="102"/>
      <c r="X8" s="102"/>
      <c r="Y8" s="69"/>
      <c r="Z8" s="19">
        <f>SUM(S8:Y8)</f>
        <v>0</v>
      </c>
      <c r="AA8" s="19"/>
    </row>
    <row r="9" spans="1:27" x14ac:dyDescent="0.2">
      <c r="A9" s="44"/>
      <c r="D9" s="40"/>
      <c r="F9" s="44"/>
      <c r="J9" s="130" t="s">
        <v>107</v>
      </c>
      <c r="K9" t="s">
        <v>108</v>
      </c>
      <c r="L9" t="s">
        <v>102</v>
      </c>
      <c r="M9" s="19"/>
      <c r="N9" s="19"/>
      <c r="O9" s="19"/>
      <c r="P9" s="19"/>
      <c r="Q9" s="19"/>
      <c r="R9" s="19"/>
      <c r="S9" s="119"/>
      <c r="T9" s="119">
        <v>0</v>
      </c>
      <c r="U9" s="120">
        <v>0</v>
      </c>
      <c r="V9" s="102"/>
      <c r="W9" s="102"/>
      <c r="X9" s="102"/>
      <c r="Y9" s="69"/>
      <c r="Z9" s="19">
        <f>SUM(S9:Y9)</f>
        <v>0</v>
      </c>
      <c r="AA9" s="19"/>
    </row>
    <row r="10" spans="1:27" x14ac:dyDescent="0.2">
      <c r="A10" s="44"/>
      <c r="D10" s="145"/>
      <c r="F10" s="44"/>
      <c r="J10" s="130" t="s">
        <v>107</v>
      </c>
      <c r="K10" t="s">
        <v>108</v>
      </c>
      <c r="L10" t="s">
        <v>104</v>
      </c>
      <c r="M10" s="19"/>
      <c r="N10" s="19"/>
      <c r="O10" s="19"/>
      <c r="P10" s="19"/>
      <c r="Q10" s="19"/>
      <c r="R10" s="19"/>
      <c r="S10" s="119"/>
      <c r="T10" s="119">
        <v>0</v>
      </c>
      <c r="U10" s="120">
        <v>0</v>
      </c>
      <c r="V10" s="102"/>
      <c r="W10" s="102"/>
      <c r="X10" s="102"/>
      <c r="Y10" s="69"/>
      <c r="Z10" s="19">
        <f>SUM(S10:Y10)</f>
        <v>0</v>
      </c>
      <c r="AA10" s="19"/>
    </row>
    <row r="11" spans="1:27" x14ac:dyDescent="0.2">
      <c r="A11" s="44"/>
      <c r="D11" s="145"/>
      <c r="F11" s="44"/>
      <c r="J11" s="130" t="s">
        <v>109</v>
      </c>
      <c r="K11" s="130" t="s">
        <v>110</v>
      </c>
      <c r="L11" t="s">
        <v>102</v>
      </c>
      <c r="M11" s="19"/>
      <c r="N11" s="19"/>
      <c r="O11" s="19"/>
      <c r="P11" s="19"/>
      <c r="Q11" s="19"/>
      <c r="R11" s="19"/>
      <c r="S11" s="119"/>
      <c r="T11" s="119">
        <v>0</v>
      </c>
      <c r="U11" s="120">
        <v>0</v>
      </c>
      <c r="V11" s="102"/>
      <c r="W11" s="102"/>
      <c r="X11" s="102"/>
      <c r="Y11" s="69"/>
      <c r="Z11" s="19">
        <f>SUM($S$4, T11, $U$4:$Y$4)</f>
        <v>1.6456999999999999E-2</v>
      </c>
      <c r="AA11" s="19"/>
    </row>
    <row r="12" spans="1:27" x14ac:dyDescent="0.2">
      <c r="A12" s="44"/>
      <c r="B12" s="1"/>
      <c r="C12" s="40"/>
      <c r="D12" s="40"/>
      <c r="F12" s="44"/>
      <c r="J12" s="130" t="s">
        <v>109</v>
      </c>
      <c r="K12" s="130" t="s">
        <v>110</v>
      </c>
      <c r="L12" t="s">
        <v>104</v>
      </c>
      <c r="M12" s="19"/>
      <c r="N12" s="19"/>
      <c r="O12" s="19"/>
      <c r="P12" s="19"/>
      <c r="Q12" s="19"/>
      <c r="R12" s="19"/>
      <c r="S12" s="119"/>
      <c r="T12" s="119">
        <v>0</v>
      </c>
      <c r="U12" s="120">
        <v>0</v>
      </c>
      <c r="V12" s="102"/>
      <c r="W12" s="102"/>
      <c r="X12" s="102"/>
      <c r="Y12" s="69"/>
      <c r="Z12" s="19">
        <f>SUM($S$5, T12, $U$5:$Y$5)</f>
        <v>1.4422999999999998E-2</v>
      </c>
      <c r="AA12" s="19"/>
    </row>
    <row r="13" spans="1:27" x14ac:dyDescent="0.2">
      <c r="A13" s="44"/>
      <c r="B13" s="1"/>
      <c r="C13" s="40"/>
      <c r="D13" s="40"/>
      <c r="F13" s="44"/>
      <c r="J13" s="130" t="s">
        <v>111</v>
      </c>
      <c r="K13" s="130" t="s">
        <v>112</v>
      </c>
      <c r="L13" t="s">
        <v>102</v>
      </c>
      <c r="M13" s="19"/>
      <c r="N13" s="19"/>
      <c r="O13" s="19"/>
      <c r="P13" s="19"/>
      <c r="Q13" s="19"/>
      <c r="R13" s="19"/>
      <c r="S13" s="119"/>
      <c r="T13" s="119">
        <v>0</v>
      </c>
      <c r="U13" s="120"/>
      <c r="V13" s="102"/>
      <c r="W13" s="102"/>
      <c r="X13" s="102"/>
      <c r="Y13" s="69"/>
      <c r="Z13" s="19">
        <f>SUM($S$4, T13, $U$4:$Y$4)</f>
        <v>1.6456999999999999E-2</v>
      </c>
      <c r="AA13" s="19"/>
    </row>
    <row r="14" spans="1:27" x14ac:dyDescent="0.2">
      <c r="A14" s="44"/>
      <c r="B14" s="141"/>
      <c r="C14" s="40"/>
      <c r="D14" s="40"/>
      <c r="F14" s="44"/>
      <c r="J14" s="130" t="s">
        <v>111</v>
      </c>
      <c r="K14" s="130" t="s">
        <v>112</v>
      </c>
      <c r="L14" t="s">
        <v>104</v>
      </c>
      <c r="M14" s="19"/>
      <c r="N14" s="19"/>
      <c r="O14" s="19"/>
      <c r="P14" s="19"/>
      <c r="Q14" s="19"/>
      <c r="R14" s="19"/>
      <c r="S14" s="119"/>
      <c r="T14" s="119">
        <v>0</v>
      </c>
      <c r="U14" s="120"/>
      <c r="V14" s="102"/>
      <c r="W14" s="102"/>
      <c r="X14" s="102"/>
      <c r="Y14" s="69"/>
      <c r="Z14" s="19">
        <f>SUM($S$5, T14, $U$5:$Y$5)</f>
        <v>1.4422999999999998E-2</v>
      </c>
      <c r="AA14" s="19"/>
    </row>
    <row r="15" spans="1:27" x14ac:dyDescent="0.2">
      <c r="A15" s="44"/>
      <c r="B15"/>
      <c r="C15" s="40"/>
      <c r="D15" s="40"/>
      <c r="F15" s="44"/>
      <c r="J15" s="130" t="s">
        <v>113</v>
      </c>
      <c r="K15" s="130" t="s">
        <v>114</v>
      </c>
      <c r="L15" t="s">
        <v>102</v>
      </c>
      <c r="M15" s="19"/>
      <c r="N15" s="19"/>
      <c r="O15" s="19"/>
      <c r="P15" s="19"/>
      <c r="Q15" s="19"/>
      <c r="R15" s="19"/>
      <c r="S15" s="119"/>
      <c r="T15" s="167">
        <v>0</v>
      </c>
      <c r="U15" s="120"/>
      <c r="V15" s="102"/>
      <c r="W15" s="102"/>
      <c r="X15" s="102"/>
      <c r="Y15" s="69"/>
      <c r="Z15" s="19"/>
      <c r="AA15" s="19"/>
    </row>
    <row r="16" spans="1:27" x14ac:dyDescent="0.2">
      <c r="A16" s="44"/>
      <c r="B16"/>
      <c r="C16" s="40"/>
      <c r="D16" s="40"/>
      <c r="F16" s="44"/>
      <c r="J16" s="130" t="s">
        <v>115</v>
      </c>
      <c r="K16" s="130" t="s">
        <v>114</v>
      </c>
      <c r="L16" t="s">
        <v>104</v>
      </c>
      <c r="M16" s="19"/>
      <c r="N16" s="19"/>
      <c r="O16" s="19"/>
      <c r="P16" s="19"/>
      <c r="Q16" s="19"/>
      <c r="R16" s="19"/>
      <c r="S16" s="119"/>
      <c r="T16" s="167">
        <v>0</v>
      </c>
      <c r="U16" s="120"/>
      <c r="V16" s="102"/>
      <c r="W16" s="102"/>
      <c r="X16" s="102"/>
      <c r="Y16" s="69"/>
      <c r="Z16" s="19"/>
      <c r="AA16" s="19"/>
    </row>
    <row r="17" spans="1:27" x14ac:dyDescent="0.2">
      <c r="A17" s="44"/>
      <c r="B17"/>
      <c r="C17" s="40"/>
      <c r="F17" s="44"/>
      <c r="J17" s="130" t="s">
        <v>116</v>
      </c>
      <c r="K17" s="130" t="s">
        <v>114</v>
      </c>
      <c r="L17" s="130" t="s">
        <v>117</v>
      </c>
      <c r="M17" s="19"/>
      <c r="N17" s="19"/>
      <c r="O17" s="19"/>
      <c r="P17" s="19"/>
      <c r="Q17" s="19"/>
      <c r="R17" s="19"/>
      <c r="S17" s="119"/>
      <c r="T17" s="167">
        <v>0</v>
      </c>
      <c r="U17" s="120"/>
      <c r="V17" s="102"/>
      <c r="W17" s="102"/>
      <c r="X17" s="102"/>
      <c r="Y17" s="69"/>
      <c r="Z17" s="19"/>
      <c r="AA17" s="19"/>
    </row>
    <row r="18" spans="1:27" x14ac:dyDescent="0.2">
      <c r="A18" s="44"/>
      <c r="B18"/>
      <c r="C18" s="40"/>
      <c r="F18" s="44"/>
      <c r="J18" s="130"/>
      <c r="K18" s="130" t="s">
        <v>118</v>
      </c>
      <c r="L18" s="130" t="s">
        <v>102</v>
      </c>
      <c r="M18" s="19"/>
      <c r="N18" s="19"/>
      <c r="O18" s="19"/>
      <c r="P18" s="19"/>
      <c r="Q18" s="19"/>
      <c r="R18" s="19"/>
      <c r="S18" s="119"/>
      <c r="T18" s="167">
        <v>0</v>
      </c>
      <c r="U18" s="120"/>
      <c r="V18" s="102"/>
      <c r="W18" s="102"/>
      <c r="X18" s="102"/>
      <c r="Y18" s="69"/>
      <c r="Z18" s="19"/>
      <c r="AA18" s="19"/>
    </row>
    <row r="19" spans="1:27" x14ac:dyDescent="0.2">
      <c r="A19" s="44"/>
      <c r="B19"/>
      <c r="C19" s="40"/>
      <c r="F19" s="44"/>
      <c r="J19" s="130"/>
      <c r="K19" s="130" t="s">
        <v>118</v>
      </c>
      <c r="L19" s="130" t="s">
        <v>104</v>
      </c>
      <c r="M19" s="19"/>
      <c r="N19" s="19"/>
      <c r="O19" s="19"/>
      <c r="P19" s="19"/>
      <c r="Q19" s="19"/>
      <c r="R19" s="19"/>
      <c r="S19" s="119"/>
      <c r="T19" s="167">
        <v>0</v>
      </c>
      <c r="U19" s="120"/>
      <c r="V19" s="102"/>
      <c r="W19" s="102"/>
      <c r="X19" s="102"/>
      <c r="Y19" s="69"/>
      <c r="Z19" s="19"/>
      <c r="AA19" s="19"/>
    </row>
    <row r="20" spans="1:27" x14ac:dyDescent="0.2">
      <c r="A20" s="44"/>
      <c r="B20"/>
      <c r="C20" s="40"/>
      <c r="F20" s="44"/>
      <c r="J20" s="130"/>
      <c r="K20" s="130" t="s">
        <v>119</v>
      </c>
      <c r="L20" s="130" t="s">
        <v>102</v>
      </c>
      <c r="M20" s="19"/>
      <c r="N20" s="19"/>
      <c r="O20" s="19"/>
      <c r="P20" s="19"/>
      <c r="Q20" s="19"/>
      <c r="R20" s="19"/>
      <c r="S20" s="119"/>
      <c r="T20" s="167">
        <v>0</v>
      </c>
      <c r="U20" s="120"/>
      <c r="V20" s="102"/>
      <c r="W20" s="102"/>
      <c r="X20" s="102"/>
      <c r="Y20" s="69"/>
      <c r="Z20" s="19"/>
      <c r="AA20" s="19"/>
    </row>
    <row r="21" spans="1:27" x14ac:dyDescent="0.2">
      <c r="A21" s="44"/>
      <c r="B21"/>
      <c r="C21" s="40"/>
      <c r="F21" s="44"/>
      <c r="I21" s="130"/>
      <c r="J21" s="130"/>
      <c r="K21" s="130" t="s">
        <v>119</v>
      </c>
      <c r="L21" s="130" t="s">
        <v>104</v>
      </c>
      <c r="M21" s="19"/>
      <c r="N21" s="19"/>
      <c r="O21" s="19"/>
      <c r="P21" s="19"/>
      <c r="Q21" s="19"/>
      <c r="R21" s="19"/>
      <c r="S21" s="119"/>
      <c r="T21" s="167">
        <v>0</v>
      </c>
      <c r="U21" s="120"/>
      <c r="V21" s="102"/>
      <c r="W21" s="102"/>
      <c r="X21" s="102"/>
      <c r="Y21" s="69"/>
      <c r="Z21" s="19"/>
      <c r="AA21" s="19"/>
    </row>
    <row r="22" spans="1:27" x14ac:dyDescent="0.2">
      <c r="A22" s="44"/>
      <c r="B22"/>
      <c r="C22" s="40"/>
      <c r="F22" s="44"/>
      <c r="I22" s="130"/>
      <c r="J22" s="130"/>
      <c r="K22" s="130" t="s">
        <v>120</v>
      </c>
      <c r="L22" s="130" t="s">
        <v>102</v>
      </c>
      <c r="M22" s="19"/>
      <c r="N22" s="19"/>
      <c r="O22" s="19"/>
      <c r="P22" s="19"/>
      <c r="Q22" s="19"/>
      <c r="R22" s="19"/>
      <c r="S22" s="119"/>
      <c r="T22" s="167">
        <v>-2.5219999999999999E-3</v>
      </c>
      <c r="U22" s="120"/>
      <c r="V22" s="102"/>
      <c r="W22" s="102"/>
      <c r="X22" s="102"/>
      <c r="Y22" s="69"/>
      <c r="Z22" s="19"/>
      <c r="AA22" s="19"/>
    </row>
    <row r="23" spans="1:27" x14ac:dyDescent="0.2">
      <c r="A23" s="44"/>
      <c r="B23"/>
      <c r="C23" s="40"/>
      <c r="F23" s="44"/>
      <c r="J23" s="130"/>
      <c r="K23" s="130" t="s">
        <v>120</v>
      </c>
      <c r="L23" s="130" t="s">
        <v>104</v>
      </c>
      <c r="M23" s="19"/>
      <c r="N23" s="19"/>
      <c r="O23" s="19"/>
      <c r="P23" s="19"/>
      <c r="Q23" s="19"/>
      <c r="R23" s="19"/>
      <c r="S23" s="119"/>
      <c r="T23" s="167">
        <v>-4.0299999999999998E-4</v>
      </c>
      <c r="U23" s="120"/>
      <c r="V23" s="102"/>
      <c r="W23" s="102"/>
      <c r="X23" s="102"/>
      <c r="Y23" s="69"/>
      <c r="Z23" s="19"/>
      <c r="AA23" s="19"/>
    </row>
    <row r="24" spans="1:27" ht="13.5" customHeight="1" x14ac:dyDescent="0.2">
      <c r="A24" s="44"/>
      <c r="B24"/>
      <c r="F24" s="44"/>
      <c r="J24" s="130"/>
      <c r="K24" s="130" t="s">
        <v>121</v>
      </c>
      <c r="L24" s="130" t="s">
        <v>102</v>
      </c>
      <c r="M24" s="19"/>
      <c r="N24" s="19"/>
      <c r="O24" s="19"/>
      <c r="P24" s="19"/>
      <c r="Q24" s="19"/>
      <c r="R24" s="19"/>
      <c r="S24" s="119"/>
      <c r="T24" s="167">
        <v>0</v>
      </c>
      <c r="U24" s="120"/>
      <c r="V24" s="102"/>
      <c r="W24" s="102"/>
      <c r="X24" s="102"/>
      <c r="Y24" s="69"/>
      <c r="Z24" s="19"/>
      <c r="AA24" s="19"/>
    </row>
    <row r="25" spans="1:27" ht="13.5" customHeight="1" x14ac:dyDescent="0.2">
      <c r="A25" s="44"/>
      <c r="B25"/>
      <c r="F25" s="44"/>
      <c r="J25" s="130"/>
      <c r="K25" s="130" t="s">
        <v>121</v>
      </c>
      <c r="L25" s="130" t="s">
        <v>104</v>
      </c>
      <c r="M25" s="19"/>
      <c r="N25" s="19"/>
      <c r="O25" s="19"/>
      <c r="P25" s="19"/>
      <c r="Q25" s="19"/>
      <c r="R25" s="19"/>
      <c r="S25" s="119"/>
      <c r="T25" s="167">
        <v>0</v>
      </c>
      <c r="U25" s="120"/>
      <c r="V25" s="102"/>
      <c r="W25" s="102"/>
      <c r="X25" s="102"/>
      <c r="Y25" s="69"/>
      <c r="Z25" s="19"/>
      <c r="AA25" s="19"/>
    </row>
    <row r="26" spans="1:27" ht="13.5" customHeight="1" x14ac:dyDescent="0.2">
      <c r="A26" s="44"/>
      <c r="B26"/>
      <c r="F26" s="44"/>
      <c r="J26" s="130"/>
      <c r="K26" s="130" t="s">
        <v>122</v>
      </c>
      <c r="L26" s="130" t="s">
        <v>102</v>
      </c>
      <c r="M26" s="19"/>
      <c r="N26" s="19"/>
      <c r="O26" s="19"/>
      <c r="P26" s="19"/>
      <c r="Q26" s="19"/>
      <c r="R26" s="19"/>
      <c r="S26" s="119"/>
      <c r="T26" s="167">
        <v>0</v>
      </c>
      <c r="U26" s="120"/>
      <c r="V26" s="102"/>
      <c r="W26" s="102"/>
      <c r="X26" s="102"/>
      <c r="Y26" s="69"/>
      <c r="Z26" s="19"/>
      <c r="AA26" s="19"/>
    </row>
    <row r="27" spans="1:27" ht="13.5" customHeight="1" x14ac:dyDescent="0.2">
      <c r="A27" s="44"/>
      <c r="B27"/>
      <c r="F27" s="44"/>
      <c r="J27" s="130"/>
      <c r="K27" s="130" t="s">
        <v>122</v>
      </c>
      <c r="L27" s="130" t="s">
        <v>104</v>
      </c>
      <c r="M27" s="19"/>
      <c r="N27" s="19"/>
      <c r="O27" s="19"/>
      <c r="P27" s="19"/>
      <c r="Q27" s="19"/>
      <c r="R27" s="19"/>
      <c r="S27" s="119"/>
      <c r="T27" s="167">
        <v>0</v>
      </c>
      <c r="U27" s="120"/>
      <c r="V27" s="102"/>
      <c r="W27" s="102"/>
      <c r="X27" s="102"/>
      <c r="Y27" s="69"/>
      <c r="Z27" s="19"/>
      <c r="AA27" s="19"/>
    </row>
    <row r="28" spans="1:27" ht="13.5" customHeight="1" x14ac:dyDescent="0.2">
      <c r="A28" s="44"/>
      <c r="B28"/>
      <c r="F28" s="44"/>
      <c r="J28" s="130"/>
      <c r="K28" s="168" t="s">
        <v>282</v>
      </c>
      <c r="L28" s="168" t="s">
        <v>102</v>
      </c>
      <c r="M28" s="19"/>
      <c r="N28" s="19"/>
      <c r="O28" s="19"/>
      <c r="P28" s="19"/>
      <c r="Q28" s="19"/>
      <c r="R28" s="19"/>
      <c r="S28" s="119"/>
      <c r="T28" s="164">
        <v>-1.1789999999999999E-3</v>
      </c>
      <c r="U28" s="120"/>
      <c r="V28" s="102"/>
      <c r="W28" s="102"/>
      <c r="X28" s="102"/>
      <c r="Y28" s="69"/>
      <c r="Z28" s="19"/>
      <c r="AA28" s="19"/>
    </row>
    <row r="29" spans="1:27" ht="13.5" customHeight="1" x14ac:dyDescent="0.2">
      <c r="A29" s="44"/>
      <c r="B29"/>
      <c r="F29" s="44"/>
      <c r="J29" s="130"/>
      <c r="K29" s="168" t="s">
        <v>282</v>
      </c>
      <c r="L29" s="168" t="s">
        <v>104</v>
      </c>
      <c r="M29" s="19"/>
      <c r="N29" s="19"/>
      <c r="O29" s="19"/>
      <c r="P29" s="19"/>
      <c r="Q29" s="19"/>
      <c r="R29" s="19"/>
      <c r="S29" s="119"/>
      <c r="T29" s="164">
        <v>3.3769999999999998E-3</v>
      </c>
      <c r="U29" s="120"/>
      <c r="V29" s="102"/>
      <c r="W29" s="102"/>
      <c r="X29" s="102"/>
      <c r="Y29" s="69"/>
      <c r="Z29" s="19"/>
      <c r="AA29" s="19"/>
    </row>
    <row r="30" spans="1:27" ht="13.5" customHeight="1" x14ac:dyDescent="0.2">
      <c r="A30" s="44"/>
      <c r="B30"/>
      <c r="F30" s="44"/>
      <c r="J30" s="130"/>
      <c r="K30" s="168" t="s">
        <v>314</v>
      </c>
      <c r="L30" s="168" t="s">
        <v>102</v>
      </c>
      <c r="M30" s="19"/>
      <c r="N30" s="19"/>
      <c r="O30" s="19"/>
      <c r="P30" s="19"/>
      <c r="Q30" s="19"/>
      <c r="R30" s="19"/>
      <c r="S30" s="119"/>
      <c r="T30" s="164">
        <v>0</v>
      </c>
      <c r="U30" s="120"/>
      <c r="V30" s="102"/>
      <c r="W30" s="102"/>
      <c r="X30" s="102"/>
      <c r="Y30" s="69"/>
      <c r="Z30" s="19"/>
      <c r="AA30" s="19"/>
    </row>
    <row r="31" spans="1:27" ht="13.5" customHeight="1" x14ac:dyDescent="0.2">
      <c r="A31" s="44"/>
      <c r="B31"/>
      <c r="F31" s="44"/>
      <c r="J31" s="130"/>
      <c r="K31" s="168" t="s">
        <v>314</v>
      </c>
      <c r="L31" s="168" t="s">
        <v>104</v>
      </c>
      <c r="M31" s="19"/>
      <c r="N31" s="19"/>
      <c r="O31" s="19"/>
      <c r="P31" s="19"/>
      <c r="Q31" s="19"/>
      <c r="R31" s="19"/>
      <c r="S31" s="119"/>
      <c r="T31" s="164">
        <v>7.6290000000000004E-3</v>
      </c>
      <c r="U31" s="120"/>
      <c r="V31" s="102"/>
      <c r="W31" s="102"/>
      <c r="X31" s="102"/>
      <c r="Y31" s="69"/>
      <c r="Z31" s="19"/>
      <c r="AA31" s="19"/>
    </row>
    <row r="32" spans="1:27" ht="13.5" customHeight="1" x14ac:dyDescent="0.2">
      <c r="A32" s="44"/>
      <c r="B32"/>
      <c r="F32" s="44"/>
      <c r="J32" s="130"/>
      <c r="K32" s="168" t="s">
        <v>377</v>
      </c>
      <c r="L32" s="168" t="s">
        <v>102</v>
      </c>
      <c r="M32" s="19"/>
      <c r="N32" s="19"/>
      <c r="O32" s="19"/>
      <c r="P32" s="19"/>
      <c r="Q32" s="19"/>
      <c r="R32" s="19"/>
      <c r="S32" s="119"/>
      <c r="T32" s="164">
        <v>5.8520000000000004E-3</v>
      </c>
      <c r="U32" s="120"/>
      <c r="V32" s="102"/>
      <c r="W32" s="102"/>
      <c r="X32" s="102"/>
      <c r="Y32" s="69"/>
      <c r="Z32" s="19"/>
      <c r="AA32" s="19"/>
    </row>
    <row r="33" spans="1:28" ht="13.5" customHeight="1" x14ac:dyDescent="0.2">
      <c r="A33" s="44"/>
      <c r="B33"/>
      <c r="F33" s="44"/>
      <c r="J33" s="130"/>
      <c r="K33" s="168" t="s">
        <v>377</v>
      </c>
      <c r="L33" s="168" t="s">
        <v>104</v>
      </c>
      <c r="M33" s="19"/>
      <c r="N33" s="19"/>
      <c r="O33" s="19"/>
      <c r="P33" s="19"/>
      <c r="Q33" s="19"/>
      <c r="R33" s="19"/>
      <c r="S33" s="119"/>
      <c r="T33" s="164">
        <v>9.0039999999999999E-3</v>
      </c>
      <c r="U33" s="120"/>
      <c r="V33" s="102"/>
      <c r="W33" s="102"/>
      <c r="X33" s="102"/>
      <c r="Y33" s="69"/>
      <c r="Z33" s="19"/>
      <c r="AA33" s="19"/>
    </row>
    <row r="34" spans="1:28" x14ac:dyDescent="0.2">
      <c r="A34" s="44"/>
      <c r="F34" s="65"/>
      <c r="L34" t="s">
        <v>123</v>
      </c>
      <c r="M34" s="19">
        <f>M3</f>
        <v>1.8E-3</v>
      </c>
      <c r="N34" s="19"/>
      <c r="O34" s="19"/>
      <c r="P34" s="19"/>
      <c r="Q34" s="19"/>
      <c r="R34" s="19"/>
      <c r="S34" s="101">
        <v>1.6930000000000001E-3</v>
      </c>
      <c r="T34" s="165"/>
      <c r="U34" s="120">
        <v>0</v>
      </c>
      <c r="V34" s="102">
        <v>7.084E-3</v>
      </c>
      <c r="W34" s="102">
        <v>-2.5599999999999999E-4</v>
      </c>
      <c r="X34" s="102">
        <v>3.1589999999999999E-3</v>
      </c>
      <c r="Y34" s="102">
        <v>5.6300000000000002E-4</v>
      </c>
      <c r="Z34" s="19">
        <f>SUM(S34:Y34)</f>
        <v>1.2243E-2</v>
      </c>
      <c r="AA34" s="19"/>
    </row>
    <row r="35" spans="1:28" x14ac:dyDescent="0.2">
      <c r="A35" s="44"/>
      <c r="C35" s="3"/>
      <c r="F35" s="65"/>
      <c r="L35" t="s">
        <v>124</v>
      </c>
      <c r="M35" s="19"/>
      <c r="N35" s="19"/>
      <c r="O35" s="19"/>
      <c r="P35" s="19"/>
      <c r="Q35" s="19"/>
      <c r="R35" s="19"/>
      <c r="S35" s="101">
        <v>1.6930000000000001E-3</v>
      </c>
      <c r="T35" s="165"/>
      <c r="U35" s="120"/>
      <c r="V35" s="102">
        <v>7.084E-3</v>
      </c>
      <c r="W35" s="102">
        <f>W34</f>
        <v>-2.5599999999999999E-4</v>
      </c>
      <c r="X35" s="102">
        <f>X34</f>
        <v>3.1589999999999999E-3</v>
      </c>
      <c r="Y35" s="102">
        <v>5.6300000000000002E-4</v>
      </c>
      <c r="Z35" s="19"/>
      <c r="AA35" s="19"/>
    </row>
    <row r="36" spans="1:28" x14ac:dyDescent="0.2">
      <c r="A36" s="44"/>
      <c r="C36" s="4"/>
      <c r="J36" s="130" t="s">
        <v>125</v>
      </c>
      <c r="L36" s="130" t="s">
        <v>117</v>
      </c>
      <c r="R36" s="118"/>
      <c r="S36" s="101"/>
      <c r="T36" s="164"/>
      <c r="U36" s="6"/>
      <c r="V36" s="102"/>
      <c r="W36" s="102"/>
      <c r="X36" s="102"/>
      <c r="Y36" s="102"/>
      <c r="Z36" s="19"/>
      <c r="AA36" s="19"/>
    </row>
    <row r="37" spans="1:28" x14ac:dyDescent="0.2">
      <c r="A37" s="44"/>
      <c r="C37" s="7"/>
      <c r="G37" s="130"/>
      <c r="K37" s="130" t="s">
        <v>106</v>
      </c>
      <c r="L37" s="130" t="s">
        <v>117</v>
      </c>
      <c r="T37" s="93">
        <v>0</v>
      </c>
    </row>
    <row r="38" spans="1:28" x14ac:dyDescent="0.2">
      <c r="A38" s="44"/>
      <c r="C38" s="7"/>
      <c r="K38" s="130" t="s">
        <v>110</v>
      </c>
      <c r="L38" s="130"/>
      <c r="T38" s="93">
        <v>0</v>
      </c>
    </row>
    <row r="39" spans="1:28" x14ac:dyDescent="0.2">
      <c r="A39" s="44"/>
      <c r="C39" s="7"/>
      <c r="K39" s="130" t="s">
        <v>112</v>
      </c>
      <c r="L39" s="130"/>
      <c r="T39" s="93">
        <v>0</v>
      </c>
    </row>
    <row r="40" spans="1:28" x14ac:dyDescent="0.2">
      <c r="A40" s="44"/>
      <c r="C40" s="7"/>
      <c r="K40" s="130" t="s">
        <v>114</v>
      </c>
      <c r="L40" s="130"/>
      <c r="T40" s="93">
        <v>0</v>
      </c>
    </row>
    <row r="41" spans="1:28" x14ac:dyDescent="0.2">
      <c r="A41" s="44"/>
      <c r="C41" s="7"/>
      <c r="K41" s="130" t="s">
        <v>118</v>
      </c>
      <c r="L41" s="130"/>
      <c r="T41" s="93">
        <v>0</v>
      </c>
    </row>
    <row r="42" spans="1:28" x14ac:dyDescent="0.2">
      <c r="A42" s="44"/>
      <c r="C42" s="7"/>
      <c r="K42" s="130" t="s">
        <v>106</v>
      </c>
      <c r="L42" s="130"/>
      <c r="T42" s="93">
        <v>0</v>
      </c>
    </row>
    <row r="43" spans="1:28" x14ac:dyDescent="0.2">
      <c r="A43" s="44"/>
      <c r="C43" s="7"/>
      <c r="K43" s="130" t="s">
        <v>126</v>
      </c>
      <c r="L43" s="130"/>
      <c r="T43" s="93">
        <v>2.892E-3</v>
      </c>
    </row>
    <row r="44" spans="1:28" x14ac:dyDescent="0.2">
      <c r="B44" s="1"/>
      <c r="C44" s="7"/>
      <c r="F44" s="72">
        <v>12.5</v>
      </c>
      <c r="G44" s="72"/>
      <c r="H44" s="72"/>
      <c r="I44" s="72"/>
      <c r="J44" s="157">
        <v>17</v>
      </c>
      <c r="K44" s="158">
        <v>0.125421</v>
      </c>
      <c r="L44" s="158">
        <v>0.11382200000000001</v>
      </c>
      <c r="S44" s="27">
        <f>+M$3</f>
        <v>1.8E-3</v>
      </c>
      <c r="T44" s="27">
        <f t="shared" ref="T44:Z44" si="0">+R$3</f>
        <v>2.3900000000000001E-4</v>
      </c>
      <c r="U44" s="27">
        <f t="shared" si="0"/>
        <v>4.7739999999999996E-3</v>
      </c>
      <c r="V44" s="27">
        <f t="shared" si="0"/>
        <v>6.1580000000000003E-3</v>
      </c>
      <c r="W44" s="27">
        <f t="shared" si="0"/>
        <v>0</v>
      </c>
      <c r="X44" s="27">
        <f t="shared" si="0"/>
        <v>9.476E-3</v>
      </c>
      <c r="Y44" s="27">
        <f t="shared" si="0"/>
        <v>-5.1900000000000004E-4</v>
      </c>
      <c r="Z44" s="27">
        <f t="shared" si="0"/>
        <v>4.1159999999999999E-3</v>
      </c>
      <c r="AA44" s="27">
        <f>Y3</f>
        <v>7.3200000000000001E-4</v>
      </c>
      <c r="AB44" s="19">
        <f>SUM(U44:Z44)</f>
        <v>2.4005000000000006E-2</v>
      </c>
    </row>
    <row r="45" spans="1:28" x14ac:dyDescent="0.2">
      <c r="A45" s="11"/>
      <c r="F45" s="72"/>
      <c r="G45" s="70"/>
      <c r="H45" s="70"/>
      <c r="I45" s="70"/>
      <c r="J45" s="73">
        <v>325</v>
      </c>
      <c r="K45" s="73">
        <v>500</v>
      </c>
      <c r="L45" s="73"/>
      <c r="M45" s="9"/>
      <c r="N45" s="9"/>
      <c r="O45" s="9"/>
      <c r="P45" s="9"/>
      <c r="Q45" s="9"/>
      <c r="R45" s="9"/>
      <c r="S45" s="10"/>
      <c r="T45" s="10"/>
      <c r="W45" s="10"/>
      <c r="X45" s="10"/>
      <c r="Y45" s="10"/>
      <c r="Z45" s="10"/>
      <c r="AA45" s="10"/>
    </row>
    <row r="46" spans="1:28" x14ac:dyDescent="0.2">
      <c r="C46" s="11"/>
      <c r="D46" s="12"/>
      <c r="F46" s="12"/>
      <c r="J46" s="12" t="s">
        <v>127</v>
      </c>
      <c r="K46" s="254" t="s">
        <v>28</v>
      </c>
      <c r="L46" s="254"/>
      <c r="M46" s="12"/>
      <c r="N46" s="140" t="s">
        <v>128</v>
      </c>
      <c r="O46" s="12"/>
      <c r="P46" s="12"/>
      <c r="Q46" s="12"/>
      <c r="R46" s="12"/>
      <c r="S46" s="12">
        <v>21</v>
      </c>
      <c r="T46" s="12">
        <v>6</v>
      </c>
      <c r="U46" s="12">
        <v>3</v>
      </c>
      <c r="V46" s="12">
        <v>22</v>
      </c>
      <c r="W46" s="12">
        <v>13</v>
      </c>
      <c r="X46" s="12">
        <v>20</v>
      </c>
      <c r="Y46" s="12">
        <v>24</v>
      </c>
      <c r="Z46" s="12">
        <v>25</v>
      </c>
      <c r="AA46" s="12">
        <v>26</v>
      </c>
    </row>
    <row r="47" spans="1:28" x14ac:dyDescent="0.2">
      <c r="A47" s="13" t="s">
        <v>129</v>
      </c>
      <c r="B47" s="14" t="s">
        <v>130</v>
      </c>
      <c r="C47" s="14"/>
      <c r="D47" s="136"/>
      <c r="F47" s="13" t="s">
        <v>131</v>
      </c>
      <c r="G47" s="13" t="s">
        <v>132</v>
      </c>
      <c r="H47" s="13" t="s">
        <v>133</v>
      </c>
      <c r="I47" s="12"/>
      <c r="J47" s="13" t="s">
        <v>134</v>
      </c>
      <c r="K47" s="13" t="s">
        <v>135</v>
      </c>
      <c r="L47" s="13" t="s">
        <v>136</v>
      </c>
      <c r="M47" s="15"/>
      <c r="N47" s="15"/>
      <c r="O47" s="15"/>
      <c r="P47" s="15"/>
      <c r="Q47" s="15"/>
      <c r="R47" s="15"/>
      <c r="S47" s="13" t="s">
        <v>96</v>
      </c>
      <c r="T47" s="13" t="s">
        <v>36</v>
      </c>
      <c r="U47" s="136" t="s">
        <v>38</v>
      </c>
      <c r="V47" s="13" t="s">
        <v>97</v>
      </c>
      <c r="W47" s="13" t="s">
        <v>98</v>
      </c>
      <c r="X47" s="13" t="s">
        <v>99</v>
      </c>
      <c r="Y47" s="136" t="s">
        <v>44</v>
      </c>
      <c r="Z47" s="136" t="s">
        <v>46</v>
      </c>
      <c r="AA47" s="136" t="s">
        <v>48</v>
      </c>
      <c r="AB47" s="66" t="s">
        <v>100</v>
      </c>
    </row>
    <row r="48" spans="1:28" x14ac:dyDescent="0.2">
      <c r="A48" s="1"/>
      <c r="B48" s="34">
        <v>-1</v>
      </c>
      <c r="C48" s="34"/>
      <c r="D48" s="12"/>
      <c r="F48" s="12"/>
      <c r="G48" s="12"/>
      <c r="H48" s="19" t="e">
        <f>IF(ISBLANK(B49),0,+#REF!/B49)</f>
        <v>#REF!</v>
      </c>
      <c r="I48" s="12"/>
      <c r="J48" s="12"/>
      <c r="K48" s="12"/>
      <c r="L48" s="12"/>
      <c r="S48" s="50">
        <v>0</v>
      </c>
      <c r="T48" s="12"/>
      <c r="U48" s="12"/>
      <c r="V48" s="12"/>
      <c r="W48" s="12"/>
      <c r="X48" s="12"/>
      <c r="Y48" s="12"/>
      <c r="Z48" s="12"/>
      <c r="AA48" s="12"/>
    </row>
    <row r="49" spans="1:29" x14ac:dyDescent="0.2">
      <c r="B49" s="103">
        <f>IF(AND('AES Indiana Bill Calc.'!$D$17="RS",'AES Indiana Bill Calc.'!$D$18="No"),'AES Indiana Bill Calc.'!$D$19,-1)</f>
        <v>-1</v>
      </c>
      <c r="C49" s="91" t="s">
        <v>137</v>
      </c>
      <c r="F49" s="36" t="s">
        <v>12</v>
      </c>
      <c r="G49" s="17">
        <f>SUM(J49:M49,O49:P49,R49:AA49)</f>
        <v>12.35</v>
      </c>
      <c r="I49" s="86"/>
      <c r="J49" s="16">
        <f>IF(ISBLANK(B49),0,IF(B49&gt;J$45,+J$44,+F$44))</f>
        <v>12.5</v>
      </c>
      <c r="K49" s="16">
        <f>IF($B49&gt;K$45,ROUND(K$45*K$44,2),ROUND($B49*K$44,2))</f>
        <v>-0.13</v>
      </c>
      <c r="L49" s="16">
        <f>IF($B49&gt;K$45,ROUND(($B49-K$45)*L$44,2),0)</f>
        <v>0</v>
      </c>
      <c r="M49" s="17"/>
      <c r="N49" s="17">
        <f>SUM(K49:L49)</f>
        <v>-0.13</v>
      </c>
      <c r="O49" s="17"/>
      <c r="P49" s="17"/>
      <c r="Q49" s="17"/>
      <c r="S49" s="17">
        <f>ROUND($B49*S$44*S48,2)</f>
        <v>0</v>
      </c>
      <c r="T49" s="17">
        <f t="shared" ref="T49:AA49" si="1">ROUND($B49*T$44,2)</f>
        <v>0</v>
      </c>
      <c r="U49" s="17">
        <f t="shared" si="1"/>
        <v>0</v>
      </c>
      <c r="V49" s="17">
        <f t="shared" si="1"/>
        <v>-0.01</v>
      </c>
      <c r="W49" s="17">
        <f t="shared" si="1"/>
        <v>0</v>
      </c>
      <c r="X49" s="17">
        <f t="shared" si="1"/>
        <v>-0.01</v>
      </c>
      <c r="Y49" s="17">
        <f t="shared" si="1"/>
        <v>0</v>
      </c>
      <c r="Z49" s="17">
        <f t="shared" si="1"/>
        <v>0</v>
      </c>
      <c r="AA49" s="17">
        <f t="shared" si="1"/>
        <v>0</v>
      </c>
      <c r="AB49" s="19">
        <f>SUM(U44:AA44)+S44*S48</f>
        <v>2.4737000000000006E-2</v>
      </c>
      <c r="AC49" s="67" t="str">
        <f>+F49</f>
        <v>RS</v>
      </c>
    </row>
    <row r="50" spans="1:29" x14ac:dyDescent="0.2">
      <c r="A50" s="1"/>
      <c r="B50" s="103">
        <v>-1</v>
      </c>
      <c r="F50" s="36"/>
      <c r="G50" s="17"/>
      <c r="H50" s="19"/>
      <c r="I50" s="19"/>
      <c r="J50" s="16"/>
      <c r="K50" s="16"/>
      <c r="L50" s="16"/>
      <c r="M50" s="17"/>
      <c r="N50" s="17"/>
      <c r="O50" s="17"/>
      <c r="P50" s="17"/>
      <c r="Q50" s="17"/>
      <c r="S50" s="50">
        <v>1</v>
      </c>
      <c r="T50" s="17"/>
      <c r="U50" s="17"/>
      <c r="V50" s="17"/>
      <c r="W50" s="17"/>
      <c r="X50" s="17"/>
      <c r="Y50" s="17"/>
      <c r="Z50" s="17"/>
      <c r="AA50" s="17"/>
    </row>
    <row r="51" spans="1:29" x14ac:dyDescent="0.2">
      <c r="A51" s="143"/>
      <c r="B51" s="103">
        <f>IF(AND('AES Indiana Bill Calc.'!$D$17="RS",'AES Indiana Bill Calc.'!$D$18="Yes 100%"),'AES Indiana Bill Calc.'!$D$19,-1)</f>
        <v>-1</v>
      </c>
      <c r="C51" s="1" t="s">
        <v>138</v>
      </c>
      <c r="F51" s="36" t="s">
        <v>12</v>
      </c>
      <c r="G51" s="17">
        <f>SUM(J51:M51,O51:P51,R51:AA51)</f>
        <v>12.35</v>
      </c>
      <c r="H51" s="19" t="e">
        <f>IF(ISBLANK(B51),0,+#REF!/B51)</f>
        <v>#REF!</v>
      </c>
      <c r="I51" s="19"/>
      <c r="J51" s="16">
        <f>IF(ISBLANK(B51),0,IF(B51&gt;J$45,+J$44,+F$44))</f>
        <v>12.5</v>
      </c>
      <c r="K51" s="110">
        <f>IF($B51&gt;K$45,ROUND(K$45*K$44,2),ROUND($B51*K$44,2))</f>
        <v>-0.13</v>
      </c>
      <c r="L51" s="16">
        <f>IF($B51&gt;K$45,ROUND(($B51-K$45)*L$44,2),0)</f>
        <v>0</v>
      </c>
      <c r="M51" s="17"/>
      <c r="N51" s="17">
        <f>SUM(K51:L51)</f>
        <v>-0.13</v>
      </c>
      <c r="O51" s="17"/>
      <c r="P51" s="17"/>
      <c r="Q51" s="17"/>
      <c r="S51" s="17">
        <f>ROUND($B51*S$44*S50,2)</f>
        <v>0</v>
      </c>
      <c r="T51" s="17">
        <f t="shared" ref="T51:AA51" si="2">ROUND($B51*T$44,2)</f>
        <v>0</v>
      </c>
      <c r="U51" s="17">
        <f t="shared" si="2"/>
        <v>0</v>
      </c>
      <c r="V51" s="17">
        <f t="shared" si="2"/>
        <v>-0.01</v>
      </c>
      <c r="W51" s="17">
        <f t="shared" si="2"/>
        <v>0</v>
      </c>
      <c r="X51" s="17">
        <f t="shared" si="2"/>
        <v>-0.01</v>
      </c>
      <c r="Y51" s="17">
        <f t="shared" si="2"/>
        <v>0</v>
      </c>
      <c r="Z51" s="17">
        <f t="shared" si="2"/>
        <v>0</v>
      </c>
      <c r="AA51" s="17">
        <f t="shared" si="2"/>
        <v>0</v>
      </c>
      <c r="AB51" s="19">
        <f>SUM(U44:AA44)+S44*S50</f>
        <v>2.6537000000000005E-2</v>
      </c>
      <c r="AC51" s="67" t="str">
        <f>+F51</f>
        <v>RS</v>
      </c>
    </row>
    <row r="52" spans="1:29" x14ac:dyDescent="0.2">
      <c r="A52" s="1"/>
      <c r="B52" s="103">
        <v>-1</v>
      </c>
      <c r="F52" s="36"/>
      <c r="G52" s="17"/>
      <c r="H52" s="19"/>
      <c r="I52" s="19"/>
      <c r="J52" s="16"/>
      <c r="K52" s="16"/>
      <c r="L52" s="16"/>
      <c r="M52" s="17"/>
      <c r="N52" s="17"/>
      <c r="O52" s="17"/>
      <c r="P52" s="17"/>
      <c r="Q52" s="17"/>
      <c r="S52" s="50">
        <v>0.5</v>
      </c>
      <c r="T52" s="17"/>
      <c r="U52" s="17"/>
      <c r="V52" s="17"/>
      <c r="W52" s="17"/>
      <c r="X52" s="17"/>
      <c r="Y52" s="17"/>
      <c r="Z52" s="17"/>
      <c r="AA52" s="17"/>
    </row>
    <row r="53" spans="1:29" x14ac:dyDescent="0.2">
      <c r="A53" s="143"/>
      <c r="B53" s="103">
        <f>IF(AND('AES Indiana Bill Calc.'!$D$17="RS",'AES Indiana Bill Calc.'!$D$18="Yes 50%"),'AES Indiana Bill Calc.'!$D$19,-1)</f>
        <v>-1</v>
      </c>
      <c r="C53" s="1" t="s">
        <v>139</v>
      </c>
      <c r="F53" s="36" t="s">
        <v>12</v>
      </c>
      <c r="G53" s="17">
        <f>SUM(J53:M53,O53:P53,R53:AA53)</f>
        <v>12.35</v>
      </c>
      <c r="H53" s="19" t="e">
        <f>IF(ISBLANK(B53),0,+#REF!/B53)</f>
        <v>#REF!</v>
      </c>
      <c r="I53" s="19"/>
      <c r="J53" s="16">
        <f>IF(ISBLANK(B53),0,IF(B53&gt;J$45,+J$44,+F$44))</f>
        <v>12.5</v>
      </c>
      <c r="K53" s="110">
        <f>IF($B53&gt;K$45,ROUND(K$45*K$44,2),ROUND($B53*K$44,2))</f>
        <v>-0.13</v>
      </c>
      <c r="L53" s="16">
        <f>IF($B53&gt;K$45,ROUND(($B53-K$45)*L$44,2),0)</f>
        <v>0</v>
      </c>
      <c r="M53" s="17"/>
      <c r="N53" s="17">
        <f>SUM(K53:L53)</f>
        <v>-0.13</v>
      </c>
      <c r="O53" s="17"/>
      <c r="P53" s="17"/>
      <c r="Q53" s="17"/>
      <c r="S53" s="17">
        <f>ROUND($B53*S$44*S52,2)</f>
        <v>0</v>
      </c>
      <c r="T53" s="17">
        <f t="shared" ref="T53:AA53" si="3">ROUND($B53*T$44,2)</f>
        <v>0</v>
      </c>
      <c r="U53" s="17">
        <f t="shared" si="3"/>
        <v>0</v>
      </c>
      <c r="V53" s="17">
        <f t="shared" si="3"/>
        <v>-0.01</v>
      </c>
      <c r="W53" s="17">
        <f t="shared" si="3"/>
        <v>0</v>
      </c>
      <c r="X53" s="17">
        <f t="shared" si="3"/>
        <v>-0.01</v>
      </c>
      <c r="Y53" s="17">
        <f t="shared" si="3"/>
        <v>0</v>
      </c>
      <c r="Z53" s="17">
        <f t="shared" si="3"/>
        <v>0</v>
      </c>
      <c r="AA53" s="17">
        <f t="shared" si="3"/>
        <v>0</v>
      </c>
      <c r="AB53" s="19">
        <f>SUM(U46:AA46)+S46*S52</f>
        <v>143.5</v>
      </c>
      <c r="AC53" s="67" t="str">
        <f>+F53</f>
        <v>RS</v>
      </c>
    </row>
    <row r="54" spans="1:29" x14ac:dyDescent="0.2">
      <c r="A54" s="1"/>
      <c r="B54" s="103">
        <v>-1</v>
      </c>
      <c r="F54" s="36"/>
      <c r="G54" s="17"/>
      <c r="H54" s="19"/>
      <c r="I54" s="19"/>
      <c r="J54" s="16"/>
      <c r="K54" s="16"/>
      <c r="L54" s="16"/>
      <c r="M54" s="17"/>
      <c r="N54" s="17"/>
      <c r="O54" s="17"/>
      <c r="P54" s="17"/>
      <c r="Q54" s="17"/>
      <c r="S54" s="50">
        <v>0.25</v>
      </c>
      <c r="T54" s="17"/>
      <c r="U54" s="17"/>
      <c r="V54" s="17"/>
      <c r="W54" s="17"/>
      <c r="X54" s="17"/>
      <c r="Y54" s="17"/>
      <c r="Z54" s="17"/>
      <c r="AA54" s="17"/>
    </row>
    <row r="55" spans="1:29" x14ac:dyDescent="0.2">
      <c r="A55" s="143"/>
      <c r="B55" s="103">
        <f>IF(AND('AES Indiana Bill Calc.'!$D$17="RS",'AES Indiana Bill Calc.'!$D$18="Yes 25%"),'AES Indiana Bill Calc.'!$D$19,-1)</f>
        <v>-1</v>
      </c>
      <c r="C55" s="1" t="s">
        <v>140</v>
      </c>
      <c r="F55" s="36" t="s">
        <v>12</v>
      </c>
      <c r="G55" s="17">
        <f>SUM(J55:M55,O55:P55,R55:AA55)</f>
        <v>12.35</v>
      </c>
      <c r="H55" s="19" t="e">
        <f>IF(ISBLANK(B55),0,+#REF!/B55)</f>
        <v>#REF!</v>
      </c>
      <c r="I55" s="19"/>
      <c r="J55" s="16">
        <f>IF(ISBLANK(B55),0,IF(B55&gt;J$45,+J$44,+F$44))</f>
        <v>12.5</v>
      </c>
      <c r="K55" s="110">
        <f>IF($B55&gt;K$45,ROUND(K$45*K$44,2),ROUND($B55*K$44,2))</f>
        <v>-0.13</v>
      </c>
      <c r="L55" s="16">
        <f>IF($B55&gt;K$45,ROUND(($B55-K$45)*L$44,2),0)</f>
        <v>0</v>
      </c>
      <c r="M55" s="17"/>
      <c r="N55" s="17">
        <f>SUM(K55:L55)</f>
        <v>-0.13</v>
      </c>
      <c r="O55" s="17"/>
      <c r="P55" s="17"/>
      <c r="Q55" s="17"/>
      <c r="S55" s="17">
        <f>ROUND($B55*S$44*S54,2)</f>
        <v>0</v>
      </c>
      <c r="T55" s="17">
        <f t="shared" ref="T55:AA55" si="4">ROUND($B55*T$44,2)</f>
        <v>0</v>
      </c>
      <c r="U55" s="17">
        <f t="shared" si="4"/>
        <v>0</v>
      </c>
      <c r="V55" s="17">
        <f t="shared" si="4"/>
        <v>-0.01</v>
      </c>
      <c r="W55" s="17">
        <f t="shared" si="4"/>
        <v>0</v>
      </c>
      <c r="X55" s="17">
        <f t="shared" si="4"/>
        <v>-0.01</v>
      </c>
      <c r="Y55" s="17">
        <f t="shared" si="4"/>
        <v>0</v>
      </c>
      <c r="Z55" s="17">
        <f t="shared" si="4"/>
        <v>0</v>
      </c>
      <c r="AA55" s="17">
        <f t="shared" si="4"/>
        <v>0</v>
      </c>
      <c r="AB55" s="19">
        <f>SUM(U48:AA48)+S48*S54</f>
        <v>0</v>
      </c>
      <c r="AC55" s="67" t="str">
        <f>+F55</f>
        <v>RS</v>
      </c>
    </row>
    <row r="56" spans="1:29" x14ac:dyDescent="0.2">
      <c r="B56" s="103">
        <v>-1</v>
      </c>
      <c r="C56" s="78"/>
      <c r="G56" s="17"/>
      <c r="H56" s="19"/>
      <c r="I56" s="19"/>
      <c r="J56" s="16"/>
      <c r="K56" s="16"/>
      <c r="L56" s="16"/>
      <c r="M56" s="17"/>
      <c r="N56" s="17"/>
      <c r="O56" s="17"/>
      <c r="P56" s="17"/>
      <c r="Q56" s="17"/>
      <c r="R56" s="17"/>
      <c r="S56" s="17"/>
      <c r="T56" s="17"/>
      <c r="U56" s="17"/>
      <c r="V56" s="17"/>
      <c r="W56" s="17"/>
      <c r="X56" s="17"/>
      <c r="Y56" s="17"/>
      <c r="Z56" s="17"/>
      <c r="AA56" s="17"/>
    </row>
    <row r="57" spans="1:29" ht="13.5" thickBot="1" x14ac:dyDescent="0.25">
      <c r="A57" s="21"/>
      <c r="B57" s="106">
        <v>-1</v>
      </c>
      <c r="C57" s="28"/>
      <c r="D57" s="21"/>
      <c r="F57" s="21"/>
      <c r="G57" s="23"/>
      <c r="H57" s="25"/>
      <c r="I57" s="19"/>
      <c r="J57" s="22"/>
      <c r="K57" s="22"/>
      <c r="L57" s="22"/>
      <c r="M57" s="23"/>
      <c r="N57" s="23"/>
      <c r="O57" s="23"/>
      <c r="P57" s="23"/>
      <c r="Q57" s="23"/>
      <c r="R57" s="23"/>
      <c r="S57" s="23"/>
      <c r="T57" s="23"/>
      <c r="U57" s="23"/>
      <c r="V57" s="23"/>
      <c r="W57" s="23"/>
      <c r="X57" s="23"/>
      <c r="Y57" s="23"/>
      <c r="Z57" s="23"/>
      <c r="AA57" s="23"/>
      <c r="AB57" s="21"/>
    </row>
    <row r="58" spans="1:29" x14ac:dyDescent="0.2">
      <c r="B58" s="103">
        <v>-1</v>
      </c>
      <c r="C58" s="40"/>
      <c r="G58" s="42"/>
      <c r="H58" s="19"/>
      <c r="I58" s="19"/>
      <c r="J58" s="82"/>
      <c r="K58" s="82"/>
      <c r="L58" s="82"/>
      <c r="M58" s="42"/>
      <c r="N58" s="42"/>
      <c r="O58" s="42"/>
      <c r="P58" s="42"/>
      <c r="Q58" s="42"/>
      <c r="R58" s="42"/>
      <c r="S58" s="42"/>
      <c r="T58" s="42"/>
      <c r="U58" s="42"/>
      <c r="V58" s="42"/>
      <c r="W58" s="42"/>
      <c r="X58" s="42"/>
      <c r="Y58" s="42"/>
      <c r="Z58" s="42"/>
      <c r="AA58" s="42"/>
    </row>
    <row r="59" spans="1:29" x14ac:dyDescent="0.2">
      <c r="B59" s="103">
        <v>-1</v>
      </c>
      <c r="C59" s="7"/>
      <c r="H59" s="19"/>
      <c r="I59" s="19"/>
      <c r="J59" s="16"/>
      <c r="K59" s="16"/>
      <c r="L59" s="16"/>
      <c r="M59" s="17"/>
      <c r="N59" s="17"/>
      <c r="O59" s="17"/>
      <c r="P59" s="17"/>
      <c r="Q59" s="17"/>
      <c r="R59" s="7"/>
      <c r="S59" s="6"/>
      <c r="T59" s="6"/>
      <c r="U59" s="6"/>
      <c r="V59" s="6"/>
      <c r="W59" s="6"/>
      <c r="X59" s="6"/>
      <c r="Y59" s="6"/>
      <c r="Z59" s="6"/>
      <c r="AA59" s="6"/>
    </row>
    <row r="60" spans="1:29" x14ac:dyDescent="0.2">
      <c r="B60" s="103">
        <v>-1</v>
      </c>
      <c r="C60" s="26"/>
      <c r="F60" s="72">
        <v>12.5</v>
      </c>
      <c r="G60" s="72">
        <f t="shared" ref="G60:I60" si="5">G74</f>
        <v>0</v>
      </c>
      <c r="H60" s="72">
        <f t="shared" si="5"/>
        <v>0</v>
      </c>
      <c r="I60" s="72">
        <f t="shared" si="5"/>
        <v>0</v>
      </c>
      <c r="J60" s="157">
        <v>17</v>
      </c>
      <c r="K60" s="158">
        <v>0.125421</v>
      </c>
      <c r="L60" s="158">
        <v>0.11382200000000001</v>
      </c>
      <c r="M60" s="158">
        <v>0.101408</v>
      </c>
      <c r="N60" s="71"/>
      <c r="O60" s="71"/>
      <c r="P60" s="71"/>
      <c r="Q60" s="71"/>
      <c r="S60" s="27">
        <f>+M$3</f>
        <v>1.8E-3</v>
      </c>
      <c r="T60" s="27">
        <f t="shared" ref="T60:AA60" si="6">+R$3</f>
        <v>2.3900000000000001E-4</v>
      </c>
      <c r="U60" s="27">
        <f t="shared" si="6"/>
        <v>4.7739999999999996E-3</v>
      </c>
      <c r="V60" s="27">
        <f t="shared" si="6"/>
        <v>6.1580000000000003E-3</v>
      </c>
      <c r="W60" s="27">
        <f t="shared" si="6"/>
        <v>0</v>
      </c>
      <c r="X60" s="27">
        <f t="shared" si="6"/>
        <v>9.476E-3</v>
      </c>
      <c r="Y60" s="27">
        <f t="shared" si="6"/>
        <v>-5.1900000000000004E-4</v>
      </c>
      <c r="Z60" s="27">
        <f t="shared" si="6"/>
        <v>4.1159999999999999E-3</v>
      </c>
      <c r="AA60" s="27">
        <f t="shared" si="6"/>
        <v>7.3200000000000001E-4</v>
      </c>
      <c r="AB60" s="19">
        <f>SUM(U60:Z60)</f>
        <v>2.4005000000000006E-2</v>
      </c>
    </row>
    <row r="61" spans="1:29" x14ac:dyDescent="0.2">
      <c r="A61" s="11"/>
      <c r="B61" s="103">
        <v>-1</v>
      </c>
      <c r="F61" s="72"/>
      <c r="G61" s="70"/>
      <c r="H61" s="70"/>
      <c r="I61" s="70"/>
      <c r="J61" s="73">
        <v>325</v>
      </c>
      <c r="K61" s="73">
        <v>500</v>
      </c>
      <c r="L61" s="73">
        <v>500</v>
      </c>
      <c r="M61" s="73">
        <v>1000</v>
      </c>
      <c r="N61" s="73"/>
      <c r="O61" s="73"/>
      <c r="P61" s="73"/>
      <c r="Q61" s="73"/>
      <c r="S61" s="27"/>
      <c r="T61" s="27"/>
      <c r="U61" s="27"/>
      <c r="V61" s="27"/>
      <c r="W61" s="27"/>
      <c r="X61" s="27"/>
      <c r="Y61" s="27"/>
      <c r="Z61" s="27"/>
      <c r="AA61" s="27"/>
    </row>
    <row r="62" spans="1:29" x14ac:dyDescent="0.2">
      <c r="B62" s="103">
        <v>-1</v>
      </c>
      <c r="C62" s="11"/>
      <c r="D62" s="12"/>
      <c r="F62" s="12"/>
      <c r="J62" s="12" t="s">
        <v>127</v>
      </c>
      <c r="K62" s="254" t="s">
        <v>28</v>
      </c>
      <c r="L62" s="254"/>
      <c r="M62" s="254"/>
      <c r="N62" s="12"/>
      <c r="O62" s="12"/>
      <c r="P62" s="12"/>
      <c r="Q62" s="12"/>
      <c r="R62" s="12"/>
      <c r="S62" s="12">
        <v>21</v>
      </c>
      <c r="T62" s="12">
        <v>6</v>
      </c>
      <c r="U62" s="12">
        <v>3</v>
      </c>
      <c r="V62" s="12">
        <v>22</v>
      </c>
      <c r="W62" s="12">
        <v>13</v>
      </c>
      <c r="X62" s="12">
        <v>20</v>
      </c>
      <c r="Y62" s="12">
        <v>24</v>
      </c>
      <c r="Z62" s="12">
        <v>25</v>
      </c>
      <c r="AA62" s="12">
        <v>26</v>
      </c>
    </row>
    <row r="63" spans="1:29" x14ac:dyDescent="0.2">
      <c r="A63" s="13"/>
      <c r="B63" s="14">
        <v>-1</v>
      </c>
      <c r="C63" s="14"/>
      <c r="D63" s="13"/>
      <c r="F63" s="13" t="s">
        <v>131</v>
      </c>
      <c r="G63" s="13" t="s">
        <v>132</v>
      </c>
      <c r="H63" s="13" t="s">
        <v>133</v>
      </c>
      <c r="I63" s="12"/>
      <c r="J63" s="13" t="s">
        <v>134</v>
      </c>
      <c r="K63" s="13" t="s">
        <v>135</v>
      </c>
      <c r="L63" s="13" t="s">
        <v>141</v>
      </c>
      <c r="M63" s="13" t="s">
        <v>142</v>
      </c>
      <c r="N63" s="13"/>
      <c r="O63" s="13"/>
      <c r="P63" s="13"/>
      <c r="Q63" s="13"/>
      <c r="R63" s="15"/>
      <c r="S63" s="13" t="s">
        <v>96</v>
      </c>
      <c r="T63" s="13" t="s">
        <v>36</v>
      </c>
      <c r="U63" s="136" t="s">
        <v>38</v>
      </c>
      <c r="V63" s="13" t="s">
        <v>97</v>
      </c>
      <c r="W63" s="13" t="s">
        <v>98</v>
      </c>
      <c r="X63" s="13" t="s">
        <v>99</v>
      </c>
      <c r="Y63" s="136" t="s">
        <v>44</v>
      </c>
      <c r="Z63" s="136" t="s">
        <v>46</v>
      </c>
      <c r="AA63" s="136" t="s">
        <v>48</v>
      </c>
      <c r="AB63" s="66" t="s">
        <v>100</v>
      </c>
    </row>
    <row r="64" spans="1:29" x14ac:dyDescent="0.2">
      <c r="A64" s="1"/>
      <c r="B64" s="103">
        <v>-1</v>
      </c>
      <c r="C64" s="34"/>
      <c r="D64" s="12"/>
      <c r="F64" s="12"/>
      <c r="G64" s="12"/>
      <c r="H64" s="12"/>
      <c r="I64" s="12"/>
      <c r="J64" s="12"/>
      <c r="K64" s="12"/>
      <c r="L64" s="12"/>
      <c r="M64" s="12"/>
      <c r="N64" s="12"/>
      <c r="O64" s="12"/>
      <c r="P64" s="12"/>
      <c r="Q64" s="12"/>
      <c r="S64" s="50">
        <v>0.25</v>
      </c>
      <c r="T64" s="12"/>
      <c r="U64" s="12"/>
      <c r="V64" s="12"/>
      <c r="W64" s="12"/>
      <c r="X64" s="12"/>
      <c r="Y64" s="12"/>
      <c r="Z64" s="12"/>
      <c r="AA64" s="12"/>
    </row>
    <row r="65" spans="1:29" x14ac:dyDescent="0.2">
      <c r="B65" s="103">
        <f>IF(AND('AES Indiana Bill Calc.'!$D$17="RC",'AES Indiana Bill Calc.'!$D$18="Yes 25%"),'AES Indiana Bill Calc.'!$D$19,-1)</f>
        <v>-1</v>
      </c>
      <c r="C65" s="78" t="s">
        <v>140</v>
      </c>
      <c r="F65" s="36" t="s">
        <v>52</v>
      </c>
      <c r="G65" s="17">
        <f>SUM(J65:M65,O65:P65,R65:AA65)</f>
        <v>12.35</v>
      </c>
      <c r="H65" s="19" t="e">
        <f>IF(ISBLANK(B65),0,+#REF!/B65)</f>
        <v>#REF!</v>
      </c>
      <c r="I65" s="19"/>
      <c r="J65" s="16">
        <f>IF(ISBLANK(B65),0,IF(B65&gt;J$61,+J$60,+F$60))</f>
        <v>12.5</v>
      </c>
      <c r="K65" s="16">
        <f>IF($B65&gt;K$61,ROUND(K$61*K$60,2),ROUND($B65*K$60,2))</f>
        <v>-0.13</v>
      </c>
      <c r="L65" s="16">
        <f>IF($B65&lt;K$61,0,IF($B65&gt;SUM(K$61:L$61),ROUND(L$61*L$60,2),ROUND(($B65-K$61)*L$60,2)))</f>
        <v>0</v>
      </c>
      <c r="M65" s="16">
        <f>IF($B65&gt;M$61,ROUND(($B65-M$61)*M$60,2),0)</f>
        <v>0</v>
      </c>
      <c r="N65" s="17">
        <f>SUM(K65:M65)</f>
        <v>-0.13</v>
      </c>
      <c r="O65" s="16"/>
      <c r="P65" s="16"/>
      <c r="Q65" s="16"/>
      <c r="S65" s="17">
        <f>ROUND($B65*S$60*S64,2)</f>
        <v>0</v>
      </c>
      <c r="T65" s="17">
        <f>ROUND($B65*T$60,2)</f>
        <v>0</v>
      </c>
      <c r="U65" s="17">
        <f t="shared" ref="U65:AA71" si="7">ROUND($B65*U$60,2)</f>
        <v>0</v>
      </c>
      <c r="V65" s="17">
        <f t="shared" si="7"/>
        <v>-0.01</v>
      </c>
      <c r="W65" s="17">
        <f t="shared" si="7"/>
        <v>0</v>
      </c>
      <c r="X65" s="17">
        <f t="shared" si="7"/>
        <v>-0.01</v>
      </c>
      <c r="Y65" s="17">
        <f t="shared" si="7"/>
        <v>0</v>
      </c>
      <c r="Z65" s="17">
        <f t="shared" si="7"/>
        <v>0</v>
      </c>
      <c r="AA65" s="17">
        <f t="shared" si="7"/>
        <v>0</v>
      </c>
      <c r="AB65" s="19">
        <f>SUM(U60:AA60)</f>
        <v>2.4737000000000006E-2</v>
      </c>
      <c r="AC65" s="67" t="str">
        <f>+F65</f>
        <v>RC</v>
      </c>
    </row>
    <row r="66" spans="1:29" x14ac:dyDescent="0.2">
      <c r="A66" s="1"/>
      <c r="B66" s="103">
        <v>-1</v>
      </c>
      <c r="F66" s="36"/>
      <c r="G66" s="17"/>
      <c r="H66" s="19"/>
      <c r="I66" s="19"/>
      <c r="J66" s="16"/>
      <c r="K66" s="16"/>
      <c r="L66" s="16"/>
      <c r="M66" s="16"/>
      <c r="N66" s="16"/>
      <c r="O66" s="16"/>
      <c r="P66" s="16"/>
      <c r="Q66" s="16"/>
      <c r="S66" s="50">
        <v>0.5</v>
      </c>
      <c r="T66" s="17"/>
      <c r="U66" s="17"/>
      <c r="V66" s="17"/>
      <c r="W66" s="17"/>
      <c r="X66" s="17"/>
      <c r="Y66" s="17"/>
      <c r="Z66" s="17"/>
      <c r="AA66" s="17"/>
    </row>
    <row r="67" spans="1:29" x14ac:dyDescent="0.2">
      <c r="B67" s="103">
        <f>IF(AND('AES Indiana Bill Calc.'!$D$17="RC",'AES Indiana Bill Calc.'!$D$18="Yes 50%"),'AES Indiana Bill Calc.'!$D$19,-1)</f>
        <v>-1</v>
      </c>
      <c r="C67" s="1" t="s">
        <v>143</v>
      </c>
      <c r="F67" s="36" t="s">
        <v>52</v>
      </c>
      <c r="G67" s="17">
        <f>SUM(J67:M67,O67:P67,R67:AA67)</f>
        <v>12.35</v>
      </c>
      <c r="H67" s="19" t="e">
        <f>IF(ISBLANK(B67),0,+#REF!/B67)</f>
        <v>#REF!</v>
      </c>
      <c r="J67" s="16">
        <f>IF(ISBLANK(B67),0,IF(B67&gt;J$61,+J$60,+F$60))</f>
        <v>12.5</v>
      </c>
      <c r="K67" s="16">
        <f>IF($B67&gt;K$61,ROUND(K$61*K$60,2),ROUND($B67*K$60,2))</f>
        <v>-0.13</v>
      </c>
      <c r="L67" s="16">
        <f>IF($B67&lt;K$61,0,IF($B67&gt;SUM(K$61:L$61),ROUND(L$61*L$60,2),ROUND(($B67-K$61)*L$60,2)))</f>
        <v>0</v>
      </c>
      <c r="M67" s="16">
        <f>IF($B67&gt;M$61,ROUND(($B67-M$61)*M$60,2),0)</f>
        <v>0</v>
      </c>
      <c r="N67" s="17">
        <f>SUM(K67:M67)</f>
        <v>-0.13</v>
      </c>
      <c r="O67" s="16"/>
      <c r="P67" s="16"/>
      <c r="Q67" s="16"/>
      <c r="S67" s="17">
        <f>ROUND($B67*S$60*S66,2)</f>
        <v>0</v>
      </c>
      <c r="T67" s="17">
        <f>ROUND($B67*T$60,2)</f>
        <v>0</v>
      </c>
      <c r="U67" s="17">
        <f t="shared" si="7"/>
        <v>0</v>
      </c>
      <c r="V67" s="17">
        <f t="shared" si="7"/>
        <v>-0.01</v>
      </c>
      <c r="W67" s="17">
        <f t="shared" si="7"/>
        <v>0</v>
      </c>
      <c r="X67" s="17">
        <f t="shared" si="7"/>
        <v>-0.01</v>
      </c>
      <c r="Y67" s="17">
        <f t="shared" si="7"/>
        <v>0</v>
      </c>
      <c r="Z67" s="17">
        <f t="shared" si="7"/>
        <v>0</v>
      </c>
      <c r="AA67" s="17">
        <f t="shared" si="7"/>
        <v>0</v>
      </c>
      <c r="AB67" s="19">
        <f>SUM(U60:AA60)+S60*S66</f>
        <v>2.5637000000000007E-2</v>
      </c>
      <c r="AC67" s="67" t="str">
        <f>+F67</f>
        <v>RC</v>
      </c>
    </row>
    <row r="68" spans="1:29" x14ac:dyDescent="0.2">
      <c r="A68" s="1"/>
      <c r="B68" s="103">
        <v>-1</v>
      </c>
      <c r="F68" s="36"/>
      <c r="G68" s="17"/>
      <c r="H68" s="19"/>
      <c r="I68" s="19"/>
      <c r="J68" s="16"/>
      <c r="K68" s="16"/>
      <c r="L68" s="16"/>
      <c r="M68" s="16"/>
      <c r="N68" s="16"/>
      <c r="O68" s="16"/>
      <c r="P68" s="16"/>
      <c r="Q68" s="16"/>
      <c r="S68" s="50">
        <v>0</v>
      </c>
      <c r="T68" s="17"/>
      <c r="U68" s="17"/>
      <c r="V68" s="17"/>
      <c r="W68" s="17"/>
      <c r="X68" s="17"/>
      <c r="Y68" s="17"/>
      <c r="Z68" s="17"/>
      <c r="AA68" s="17"/>
    </row>
    <row r="69" spans="1:29" x14ac:dyDescent="0.2">
      <c r="B69" s="103">
        <f>IF(AND('AES Indiana Bill Calc.'!$D$17="RC",'AES Indiana Bill Calc.'!$D$18="No"),'AES Indiana Bill Calc.'!$D$19,-1)</f>
        <v>-1</v>
      </c>
      <c r="C69" s="1" t="s">
        <v>137</v>
      </c>
      <c r="F69" s="36" t="s">
        <v>52</v>
      </c>
      <c r="G69" s="17">
        <f>SUM(J69:M69,O69:P69,R69:AA69)</f>
        <v>12.35</v>
      </c>
      <c r="H69" s="19" t="e">
        <f>IF(ISBLANK(B69),0,+#REF!/B69)</f>
        <v>#REF!</v>
      </c>
      <c r="J69" s="16">
        <f>IF(ISBLANK(B69),0,IF(B69&gt;J$61,+J$60,+F$60))</f>
        <v>12.5</v>
      </c>
      <c r="K69" s="16">
        <f>IF($B69&gt;K$61,ROUND(K$61*K$60,2),ROUND($B69*K$60,2))</f>
        <v>-0.13</v>
      </c>
      <c r="L69" s="16">
        <f>IF($B69&lt;K$61,0,IF($B69&gt;SUM(K$61:L$61),ROUND(L$61*L$60,2),ROUND(($B69-K$61)*L$60,2)))</f>
        <v>0</v>
      </c>
      <c r="M69" s="16">
        <f>IF($B69&gt;M$61,ROUND(($B69-M$61)*M$60,2),0)</f>
        <v>0</v>
      </c>
      <c r="N69" s="17">
        <f>SUM(K69:M69)</f>
        <v>-0.13</v>
      </c>
      <c r="O69" s="16"/>
      <c r="P69" s="16"/>
      <c r="Q69" s="16"/>
      <c r="S69" s="17">
        <f>ROUND($B69*S$60*S68,2)</f>
        <v>0</v>
      </c>
      <c r="T69" s="17">
        <f>ROUND($B69*T$60,2)</f>
        <v>0</v>
      </c>
      <c r="U69" s="17">
        <f t="shared" si="7"/>
        <v>0</v>
      </c>
      <c r="V69" s="17">
        <f t="shared" si="7"/>
        <v>-0.01</v>
      </c>
      <c r="W69" s="17">
        <f t="shared" si="7"/>
        <v>0</v>
      </c>
      <c r="X69" s="17">
        <f t="shared" si="7"/>
        <v>-0.01</v>
      </c>
      <c r="Y69" s="17">
        <f t="shared" si="7"/>
        <v>0</v>
      </c>
      <c r="Z69" s="17">
        <f t="shared" si="7"/>
        <v>0</v>
      </c>
      <c r="AA69" s="17">
        <f t="shared" si="7"/>
        <v>0</v>
      </c>
      <c r="AB69" s="19">
        <f>SUM(U62:AA62)+S62*S68</f>
        <v>133</v>
      </c>
      <c r="AC69" s="67" t="str">
        <f>+F69</f>
        <v>RC</v>
      </c>
    </row>
    <row r="70" spans="1:29" x14ac:dyDescent="0.2">
      <c r="A70" s="1"/>
      <c r="B70" s="103">
        <v>-1</v>
      </c>
      <c r="F70" s="36"/>
      <c r="G70" s="17"/>
      <c r="H70" s="19"/>
      <c r="I70" s="19"/>
      <c r="J70" s="16"/>
      <c r="K70" s="16"/>
      <c r="L70" s="16"/>
      <c r="M70" s="16"/>
      <c r="N70" s="16"/>
      <c r="O70" s="16"/>
      <c r="P70" s="16"/>
      <c r="Q70" s="16"/>
      <c r="S70" s="50">
        <v>1</v>
      </c>
      <c r="T70" s="17"/>
      <c r="U70" s="17"/>
      <c r="V70" s="17"/>
      <c r="W70" s="17"/>
      <c r="X70" s="17"/>
      <c r="Y70" s="17"/>
      <c r="Z70" s="17"/>
      <c r="AA70" s="17"/>
    </row>
    <row r="71" spans="1:29" x14ac:dyDescent="0.2">
      <c r="B71" s="103">
        <f>IF(AND('AES Indiana Bill Calc.'!$D$17="RC",'AES Indiana Bill Calc.'!$D$18="Yes 100%"),'AES Indiana Bill Calc.'!$D$19,-1)</f>
        <v>-1</v>
      </c>
      <c r="C71" s="1" t="s">
        <v>138</v>
      </c>
      <c r="F71" s="36" t="s">
        <v>52</v>
      </c>
      <c r="G71" s="17">
        <f>SUM(J71:M71,O71:P71,R71:AA71)</f>
        <v>12.35</v>
      </c>
      <c r="H71" s="19" t="e">
        <f>IF(ISBLANK(B71),0,+#REF!/B71)</f>
        <v>#REF!</v>
      </c>
      <c r="J71" s="16">
        <f>IF(ISBLANK(B71),0,IF(B71&gt;J$61,+J$60,+F$60))</f>
        <v>12.5</v>
      </c>
      <c r="K71" s="16">
        <f>IF($B71&gt;K$61,ROUND(K$61*K$60,2),ROUND($B71*K$60,2))</f>
        <v>-0.13</v>
      </c>
      <c r="L71" s="16">
        <f>IF($B71&lt;K$61,0,IF($B71&gt;SUM(K$61:L$61),ROUND(L$61*L$60,2),ROUND(($B71-K$61)*L$60,2)))</f>
        <v>0</v>
      </c>
      <c r="M71" s="16">
        <f>IF($B71&gt;M$61,ROUND(($B71-M$61)*M$60,2),0)</f>
        <v>0</v>
      </c>
      <c r="N71" s="17">
        <f>SUM(K71:M71)</f>
        <v>-0.13</v>
      </c>
      <c r="O71" s="16"/>
      <c r="P71" s="16"/>
      <c r="Q71" s="16"/>
      <c r="S71" s="17">
        <f>ROUND($B71*S$60*S70,2)</f>
        <v>0</v>
      </c>
      <c r="T71" s="17">
        <f>ROUND($B71*T$60,2)</f>
        <v>0</v>
      </c>
      <c r="U71" s="17">
        <f t="shared" si="7"/>
        <v>0</v>
      </c>
      <c r="V71" s="17">
        <f t="shared" si="7"/>
        <v>-0.01</v>
      </c>
      <c r="W71" s="17">
        <f t="shared" si="7"/>
        <v>0</v>
      </c>
      <c r="X71" s="17">
        <f t="shared" si="7"/>
        <v>-0.01</v>
      </c>
      <c r="Y71" s="17">
        <f t="shared" si="7"/>
        <v>0</v>
      </c>
      <c r="Z71" s="17">
        <f t="shared" si="7"/>
        <v>0</v>
      </c>
      <c r="AA71" s="17">
        <f t="shared" si="7"/>
        <v>0</v>
      </c>
      <c r="AB71" s="19">
        <f>SUM(U64:AA64)+S64*S70</f>
        <v>0.25</v>
      </c>
      <c r="AC71" s="67" t="str">
        <f>+F71</f>
        <v>RC</v>
      </c>
    </row>
    <row r="72" spans="1:29" x14ac:dyDescent="0.2">
      <c r="B72" s="103">
        <v>-1</v>
      </c>
      <c r="G72" s="17"/>
      <c r="H72" s="19"/>
      <c r="I72" s="19"/>
      <c r="J72" s="8"/>
      <c r="K72" s="16"/>
      <c r="L72" s="16"/>
      <c r="M72" s="17"/>
      <c r="N72" s="17"/>
      <c r="O72" s="17"/>
      <c r="P72" s="17"/>
      <c r="Q72" s="17"/>
      <c r="R72" s="17"/>
      <c r="S72" s="17"/>
      <c r="T72" s="17"/>
      <c r="U72" s="17"/>
      <c r="V72" s="17"/>
      <c r="W72" s="17"/>
      <c r="X72" s="17"/>
      <c r="Y72" s="17"/>
      <c r="Z72" s="17"/>
      <c r="AA72" s="17"/>
    </row>
    <row r="73" spans="1:29" x14ac:dyDescent="0.2">
      <c r="B73" s="103">
        <v>-1</v>
      </c>
      <c r="C73" s="4"/>
      <c r="H73" s="19"/>
      <c r="I73" s="19"/>
      <c r="J73" s="8"/>
      <c r="K73" s="16"/>
      <c r="L73" s="16"/>
      <c r="M73" s="17"/>
      <c r="N73" s="17"/>
      <c r="O73" s="17"/>
      <c r="P73" s="17"/>
      <c r="Q73" s="17"/>
      <c r="R73" s="17"/>
      <c r="S73" s="6"/>
      <c r="T73" s="6"/>
      <c r="U73" s="6"/>
      <c r="V73" s="6"/>
      <c r="W73" s="6"/>
      <c r="X73" s="6"/>
      <c r="Y73" s="6"/>
      <c r="Z73" s="6"/>
      <c r="AA73" s="6"/>
    </row>
    <row r="74" spans="1:29" x14ac:dyDescent="0.2">
      <c r="B74" s="103">
        <v>-1</v>
      </c>
      <c r="C74" s="4"/>
      <c r="F74" s="72">
        <f>F60</f>
        <v>12.5</v>
      </c>
      <c r="G74" s="72"/>
      <c r="H74" s="72"/>
      <c r="I74" s="72"/>
      <c r="J74" s="157">
        <f>J60</f>
        <v>17</v>
      </c>
      <c r="K74" s="158">
        <f>K60</f>
        <v>0.125421</v>
      </c>
      <c r="L74" s="158">
        <f>L60</f>
        <v>0.11382200000000001</v>
      </c>
      <c r="M74" s="158">
        <f>M60</f>
        <v>0.101408</v>
      </c>
      <c r="N74" s="71"/>
      <c r="O74" s="71"/>
      <c r="P74" s="71"/>
      <c r="Q74" s="71"/>
      <c r="R74" s="5"/>
      <c r="S74" s="27">
        <f>+M$3</f>
        <v>1.8E-3</v>
      </c>
      <c r="T74" s="27">
        <f t="shared" ref="T74:AA74" si="8">+R$3</f>
        <v>2.3900000000000001E-4</v>
      </c>
      <c r="U74" s="27">
        <f t="shared" si="8"/>
        <v>4.7739999999999996E-3</v>
      </c>
      <c r="V74" s="27">
        <f t="shared" si="8"/>
        <v>6.1580000000000003E-3</v>
      </c>
      <c r="W74" s="27">
        <f t="shared" si="8"/>
        <v>0</v>
      </c>
      <c r="X74" s="27">
        <f t="shared" si="8"/>
        <v>9.476E-3</v>
      </c>
      <c r="Y74" s="27">
        <f t="shared" si="8"/>
        <v>-5.1900000000000004E-4</v>
      </c>
      <c r="Z74" s="27">
        <f t="shared" si="8"/>
        <v>4.1159999999999999E-3</v>
      </c>
      <c r="AA74" s="27">
        <f t="shared" si="8"/>
        <v>7.3200000000000001E-4</v>
      </c>
      <c r="AB74" s="19">
        <f>SUM(U74:Z74)</f>
        <v>2.4005000000000006E-2</v>
      </c>
    </row>
    <row r="75" spans="1:29" x14ac:dyDescent="0.2">
      <c r="A75" s="11"/>
      <c r="B75" s="103">
        <v>-1</v>
      </c>
      <c r="F75" s="72"/>
      <c r="G75" s="74"/>
      <c r="H75" s="75"/>
      <c r="I75" s="75"/>
      <c r="J75" s="73">
        <v>325</v>
      </c>
      <c r="K75" s="73">
        <v>500</v>
      </c>
      <c r="L75" s="73">
        <v>500</v>
      </c>
      <c r="M75" s="73">
        <v>1000</v>
      </c>
      <c r="N75" s="73"/>
      <c r="O75" s="73"/>
      <c r="P75" s="73"/>
      <c r="Q75" s="73"/>
      <c r="R75" s="9"/>
      <c r="S75" s="17"/>
      <c r="T75" s="17"/>
      <c r="U75" s="17"/>
      <c r="V75" s="17"/>
      <c r="W75" s="17"/>
      <c r="X75" s="17"/>
      <c r="Y75" s="17"/>
      <c r="Z75" s="17"/>
      <c r="AA75" s="17"/>
    </row>
    <row r="76" spans="1:29" x14ac:dyDescent="0.2">
      <c r="B76" s="103">
        <v>-1</v>
      </c>
      <c r="C76" s="29"/>
      <c r="F76" s="12"/>
      <c r="J76" s="12" t="s">
        <v>127</v>
      </c>
      <c r="K76" s="254" t="s">
        <v>28</v>
      </c>
      <c r="L76" s="254"/>
      <c r="M76" s="254"/>
      <c r="N76" s="12"/>
      <c r="O76" s="12"/>
      <c r="P76" s="12"/>
      <c r="Q76" s="12"/>
      <c r="R76" s="12"/>
      <c r="S76" s="12">
        <v>21</v>
      </c>
      <c r="T76" s="12">
        <v>6</v>
      </c>
      <c r="U76" s="12">
        <v>3</v>
      </c>
      <c r="V76" s="12">
        <v>22</v>
      </c>
      <c r="W76" s="12">
        <v>13</v>
      </c>
      <c r="X76" s="12">
        <v>20</v>
      </c>
      <c r="Y76" s="12">
        <v>24</v>
      </c>
      <c r="Z76" s="12">
        <v>25</v>
      </c>
      <c r="AA76" s="12">
        <v>26</v>
      </c>
    </row>
    <row r="77" spans="1:29" x14ac:dyDescent="0.2">
      <c r="A77" s="13"/>
      <c r="B77" s="14">
        <v>-1</v>
      </c>
      <c r="C77" s="14"/>
      <c r="D77" s="15"/>
      <c r="F77" s="13" t="s">
        <v>131</v>
      </c>
      <c r="G77" s="13" t="s">
        <v>132</v>
      </c>
      <c r="H77" s="13" t="s">
        <v>133</v>
      </c>
      <c r="I77" s="12"/>
      <c r="J77" s="13" t="s">
        <v>134</v>
      </c>
      <c r="K77" s="13" t="s">
        <v>135</v>
      </c>
      <c r="L77" s="13" t="s">
        <v>141</v>
      </c>
      <c r="M77" s="13" t="s">
        <v>142</v>
      </c>
      <c r="N77" s="13"/>
      <c r="O77" s="13"/>
      <c r="P77" s="13"/>
      <c r="Q77" s="13"/>
      <c r="R77" s="13"/>
      <c r="S77" s="13" t="s">
        <v>96</v>
      </c>
      <c r="T77" s="13" t="s">
        <v>36</v>
      </c>
      <c r="U77" s="136" t="s">
        <v>38</v>
      </c>
      <c r="V77" s="13" t="s">
        <v>97</v>
      </c>
      <c r="W77" s="13" t="s">
        <v>98</v>
      </c>
      <c r="X77" s="13" t="s">
        <v>99</v>
      </c>
      <c r="Y77" s="136" t="s">
        <v>44</v>
      </c>
      <c r="Z77" s="136" t="s">
        <v>46</v>
      </c>
      <c r="AA77" s="136" t="s">
        <v>48</v>
      </c>
      <c r="AB77" s="66" t="s">
        <v>100</v>
      </c>
    </row>
    <row r="78" spans="1:29" x14ac:dyDescent="0.2">
      <c r="A78" s="1"/>
      <c r="B78" s="103">
        <v>-1</v>
      </c>
      <c r="C78" s="34"/>
      <c r="F78" s="12"/>
      <c r="G78" s="12"/>
      <c r="H78" s="12"/>
      <c r="I78" s="12"/>
      <c r="J78" s="12"/>
      <c r="K78" s="12"/>
      <c r="L78" s="12"/>
      <c r="M78" s="12"/>
      <c r="N78" s="12"/>
      <c r="O78" s="12"/>
      <c r="P78" s="12"/>
      <c r="Q78" s="12"/>
      <c r="R78" s="12"/>
      <c r="S78" s="50">
        <v>0</v>
      </c>
      <c r="T78" s="12"/>
      <c r="U78" s="12"/>
      <c r="V78" s="12"/>
      <c r="W78" s="12"/>
      <c r="X78" s="12"/>
      <c r="Y78" s="12"/>
      <c r="Z78" s="12"/>
      <c r="AA78" s="12"/>
    </row>
    <row r="79" spans="1:29" x14ac:dyDescent="0.2">
      <c r="B79" s="103">
        <f>IF(AND('AES Indiana Bill Calc.'!$D$17="RH",'AES Indiana Bill Calc.'!$D$18="No"),'AES Indiana Bill Calc.'!$D$19,-1)</f>
        <v>-1</v>
      </c>
      <c r="C79" s="1" t="s">
        <v>137</v>
      </c>
      <c r="F79" s="36" t="s">
        <v>53</v>
      </c>
      <c r="G79" s="17">
        <f>SUM(J79:M79,O79:P79,R79:AA79)</f>
        <v>12.35</v>
      </c>
      <c r="H79" s="19" t="e">
        <f>IF(ISBLANK(B79),0,+#REF!/B79)</f>
        <v>#REF!</v>
      </c>
      <c r="I79" s="19"/>
      <c r="J79" s="16">
        <f>IF(ISBLANK(B79),0,IF(B79&gt;J$75,+J$74,+F$74))</f>
        <v>12.5</v>
      </c>
      <c r="K79" s="16">
        <f>IF($B79&gt;K$75,ROUND(K$75*K$74,2),ROUND($B79*K$74,2))</f>
        <v>-0.13</v>
      </c>
      <c r="L79" s="16">
        <f>IF($B79&lt;K$75,0,IF($B79&gt;SUM(K$75:L$75),ROUND(L$75*L$74,2),ROUND(($B79-K$75)*L$74,2)))</f>
        <v>0</v>
      </c>
      <c r="M79" s="16">
        <f>IF($B79&gt;M$75,ROUND(($B79-M$75)*M$74,2),0)</f>
        <v>0</v>
      </c>
      <c r="N79" s="17">
        <f>SUM(K79:M79)</f>
        <v>-0.13</v>
      </c>
      <c r="O79" s="16"/>
      <c r="P79" s="16"/>
      <c r="Q79" s="16"/>
      <c r="R79" s="49"/>
      <c r="S79" s="17">
        <f>ROUND($B79*S$74*S78,2)</f>
        <v>0</v>
      </c>
      <c r="T79" s="17">
        <f t="shared" ref="T79:AA79" si="9">ROUND($B79*T$74,2)</f>
        <v>0</v>
      </c>
      <c r="U79" s="17">
        <f t="shared" si="9"/>
        <v>0</v>
      </c>
      <c r="V79" s="17">
        <f t="shared" si="9"/>
        <v>-0.01</v>
      </c>
      <c r="W79" s="17">
        <f t="shared" si="9"/>
        <v>0</v>
      </c>
      <c r="X79" s="17">
        <f t="shared" si="9"/>
        <v>-0.01</v>
      </c>
      <c r="Y79" s="17">
        <f t="shared" si="9"/>
        <v>0</v>
      </c>
      <c r="Z79" s="17">
        <f t="shared" si="9"/>
        <v>0</v>
      </c>
      <c r="AA79" s="17">
        <f t="shared" si="9"/>
        <v>0</v>
      </c>
      <c r="AB79" s="19">
        <f>SUM(U74:AA74)</f>
        <v>2.4737000000000006E-2</v>
      </c>
      <c r="AC79" s="67" t="str">
        <f>+F79</f>
        <v>RH</v>
      </c>
    </row>
    <row r="80" spans="1:29" x14ac:dyDescent="0.2">
      <c r="A80" s="78"/>
      <c r="B80" s="103">
        <v>-1</v>
      </c>
      <c r="F80" s="36"/>
      <c r="G80" s="17"/>
      <c r="H80" s="19"/>
      <c r="I80" s="19"/>
      <c r="J80" s="16"/>
      <c r="K80" s="16"/>
      <c r="L80" s="16"/>
      <c r="M80" s="16"/>
      <c r="N80" s="16"/>
      <c r="O80" s="16"/>
      <c r="P80" s="16"/>
      <c r="Q80" s="16"/>
      <c r="R80" s="16"/>
      <c r="S80" s="50">
        <v>1</v>
      </c>
      <c r="T80" s="17"/>
      <c r="U80" s="17"/>
      <c r="V80" s="17"/>
      <c r="W80" s="17"/>
      <c r="X80" s="17"/>
      <c r="Y80" s="17"/>
      <c r="Z80" s="17"/>
      <c r="AA80" s="17"/>
    </row>
    <row r="81" spans="1:29" x14ac:dyDescent="0.2">
      <c r="B81" s="103">
        <f>IF(AND('AES Indiana Bill Calc.'!$D$17="RH",'AES Indiana Bill Calc.'!$D$18="Yes 100%"),'AES Indiana Bill Calc.'!$D$19,-1)</f>
        <v>-1</v>
      </c>
      <c r="C81" s="1" t="s">
        <v>138</v>
      </c>
      <c r="F81" s="36" t="s">
        <v>53</v>
      </c>
      <c r="G81" s="17">
        <f>SUM(J81:M81,O81:P81,R81:AA81)</f>
        <v>12.35</v>
      </c>
      <c r="H81" s="19" t="e">
        <f>IF(ISBLANK(B81),0,+#REF!/B81)</f>
        <v>#REF!</v>
      </c>
      <c r="I81" s="19"/>
      <c r="J81" s="16">
        <f>IF(ISBLANK(B81),0,IF(B81&gt;J$75,+J$74,+F$74))</f>
        <v>12.5</v>
      </c>
      <c r="K81" s="16">
        <f>IF($B81&gt;K$75,ROUND(K$75*K$74,2),ROUND($B81*K$74,2))</f>
        <v>-0.13</v>
      </c>
      <c r="L81" s="16">
        <f>IF($B81&lt;K$75,0,IF($B81&gt;SUM(K$75:L$75),ROUND(L$75*L$74,2),ROUND(($B81-K$75)*L$74,2)))</f>
        <v>0</v>
      </c>
      <c r="M81" s="16">
        <f>IF($B81&gt;M$75,ROUND(($B81-M$75)*M$74,2),0)</f>
        <v>0</v>
      </c>
      <c r="N81" s="17">
        <f>SUM(K81:M81)</f>
        <v>-0.13</v>
      </c>
      <c r="O81" s="16"/>
      <c r="P81" s="16"/>
      <c r="Q81" s="16"/>
      <c r="R81" s="49"/>
      <c r="S81" s="17">
        <f>ROUND($B81*S$74*S80,2)</f>
        <v>0</v>
      </c>
      <c r="T81" s="17">
        <f>ROUND($B81*T$74,2)</f>
        <v>0</v>
      </c>
      <c r="U81" s="17">
        <f t="shared" ref="U81:AA85" si="10">ROUND($B81*U$74,2)</f>
        <v>0</v>
      </c>
      <c r="V81" s="17">
        <f t="shared" si="10"/>
        <v>-0.01</v>
      </c>
      <c r="W81" s="17">
        <f t="shared" si="10"/>
        <v>0</v>
      </c>
      <c r="X81" s="17">
        <f t="shared" si="10"/>
        <v>-0.01</v>
      </c>
      <c r="Y81" s="17">
        <f t="shared" si="10"/>
        <v>0</v>
      </c>
      <c r="Z81" s="17">
        <f t="shared" si="10"/>
        <v>0</v>
      </c>
      <c r="AA81" s="17">
        <f t="shared" si="10"/>
        <v>0</v>
      </c>
      <c r="AB81" s="19">
        <f>SUM(U74:AA74)+S74*S80</f>
        <v>2.6537000000000005E-2</v>
      </c>
      <c r="AC81" s="67" t="str">
        <f>+F81</f>
        <v>RH</v>
      </c>
    </row>
    <row r="82" spans="1:29" x14ac:dyDescent="0.2">
      <c r="A82" s="78"/>
      <c r="B82" s="103">
        <v>-1</v>
      </c>
      <c r="F82" s="36"/>
      <c r="G82" s="17"/>
      <c r="H82" s="19"/>
      <c r="I82" s="19"/>
      <c r="J82" s="16"/>
      <c r="K82" s="16"/>
      <c r="L82" s="16"/>
      <c r="M82" s="16"/>
      <c r="N82" s="16"/>
      <c r="O82" s="16"/>
      <c r="P82" s="16"/>
      <c r="Q82" s="16"/>
      <c r="R82" s="16"/>
      <c r="S82" s="50">
        <v>0.5</v>
      </c>
      <c r="T82" s="17"/>
      <c r="U82" s="17"/>
      <c r="V82" s="17"/>
      <c r="W82" s="17"/>
      <c r="X82" s="17"/>
      <c r="Y82" s="17"/>
      <c r="Z82" s="17"/>
      <c r="AA82" s="17"/>
    </row>
    <row r="83" spans="1:29" x14ac:dyDescent="0.2">
      <c r="B83" s="103">
        <f>IF(AND('AES Indiana Bill Calc.'!$D$17="RH",'AES Indiana Bill Calc.'!$D$18="Yes 50%"),'AES Indiana Bill Calc.'!$D$19,-1)</f>
        <v>-1</v>
      </c>
      <c r="C83" s="1" t="s">
        <v>139</v>
      </c>
      <c r="F83" s="36" t="s">
        <v>53</v>
      </c>
      <c r="G83" s="17">
        <f>SUM(J83:M83,O83:P83,R83:AA83)</f>
        <v>12.35</v>
      </c>
      <c r="H83" s="19" t="e">
        <f>IF(ISBLANK(B83),0,+#REF!/B83)</f>
        <v>#REF!</v>
      </c>
      <c r="I83" s="19"/>
      <c r="J83" s="16">
        <f>IF(ISBLANK(B83),0,IF(B83&gt;J$75,+J$74,+F$74))</f>
        <v>12.5</v>
      </c>
      <c r="K83" s="16">
        <f>IF($B83&gt;K$75,ROUND(K$75*K$74,2),ROUND($B83*K$74,2))</f>
        <v>-0.13</v>
      </c>
      <c r="L83" s="16">
        <f>IF($B83&lt;K$75,0,IF($B83&gt;SUM(K$75:L$75),ROUND(L$75*L$74,2),ROUND(($B83-K$75)*L$74,2)))</f>
        <v>0</v>
      </c>
      <c r="M83" s="16">
        <f>IF($B83&gt;M$75,ROUND(($B83-M$75)*M$74,2),0)</f>
        <v>0</v>
      </c>
      <c r="N83" s="17">
        <f>SUM(K83:M83)</f>
        <v>-0.13</v>
      </c>
      <c r="O83" s="16"/>
      <c r="P83" s="16"/>
      <c r="Q83" s="16"/>
      <c r="R83" s="49"/>
      <c r="S83" s="17">
        <f>ROUND($B83*S$74*S82,2)</f>
        <v>0</v>
      </c>
      <c r="T83" s="17">
        <f>ROUND($B83*T$74,2)</f>
        <v>0</v>
      </c>
      <c r="U83" s="17">
        <f t="shared" si="10"/>
        <v>0</v>
      </c>
      <c r="V83" s="17">
        <f t="shared" si="10"/>
        <v>-0.01</v>
      </c>
      <c r="W83" s="17">
        <f t="shared" si="10"/>
        <v>0</v>
      </c>
      <c r="X83" s="17">
        <f t="shared" si="10"/>
        <v>-0.01</v>
      </c>
      <c r="Y83" s="17">
        <f t="shared" si="10"/>
        <v>0</v>
      </c>
      <c r="Z83" s="17">
        <f t="shared" si="10"/>
        <v>0</v>
      </c>
      <c r="AA83" s="17">
        <f t="shared" si="10"/>
        <v>0</v>
      </c>
      <c r="AB83" s="19">
        <f>SUM(U76:AA76)+S76*S82</f>
        <v>143.5</v>
      </c>
      <c r="AC83" s="67" t="str">
        <f>+F83</f>
        <v>RH</v>
      </c>
    </row>
    <row r="84" spans="1:29" x14ac:dyDescent="0.2">
      <c r="A84" s="78"/>
      <c r="B84" s="103">
        <v>-1</v>
      </c>
      <c r="F84" s="36"/>
      <c r="G84" s="17"/>
      <c r="H84" s="19"/>
      <c r="I84" s="19"/>
      <c r="J84" s="16"/>
      <c r="K84" s="16"/>
      <c r="L84" s="16"/>
      <c r="M84" s="16"/>
      <c r="N84" s="16"/>
      <c r="O84" s="16"/>
      <c r="P84" s="16"/>
      <c r="Q84" s="16"/>
      <c r="R84" s="16"/>
      <c r="S84" s="50">
        <v>0.25</v>
      </c>
      <c r="T84" s="17"/>
      <c r="U84" s="17"/>
      <c r="V84" s="17"/>
      <c r="W84" s="17"/>
      <c r="X84" s="17"/>
      <c r="Y84" s="17"/>
      <c r="Z84" s="17"/>
      <c r="AA84" s="17"/>
    </row>
    <row r="85" spans="1:29" x14ac:dyDescent="0.2">
      <c r="B85" s="103">
        <f>IF(AND('AES Indiana Bill Calc.'!$D$17="RH",'AES Indiana Bill Calc.'!$D$18="Yes 25%"),'AES Indiana Bill Calc.'!$D$19,-1)</f>
        <v>-1</v>
      </c>
      <c r="C85" s="1" t="s">
        <v>140</v>
      </c>
      <c r="F85" s="36" t="s">
        <v>53</v>
      </c>
      <c r="G85" s="17">
        <f>SUM(J85:M85,O85:P85,R85:AA85)</f>
        <v>12.35</v>
      </c>
      <c r="H85" s="19" t="e">
        <f>IF(ISBLANK(B85),0,+#REF!/B85)</f>
        <v>#REF!</v>
      </c>
      <c r="I85" s="19"/>
      <c r="J85" s="16">
        <f>IF(ISBLANK(B85),0,IF(B85&gt;J$75,+J$74,+F$74))</f>
        <v>12.5</v>
      </c>
      <c r="K85" s="16">
        <f>IF($B85&gt;K$75,ROUND(K$75*K$74,2),ROUND($B85*K$74,2))</f>
        <v>-0.13</v>
      </c>
      <c r="L85" s="16">
        <f>IF($B85&lt;K$75,0,IF($B85&gt;SUM(K$75:L$75),ROUND(L$75*L$74,2),ROUND(($B85-K$75)*L$74,2)))</f>
        <v>0</v>
      </c>
      <c r="M85" s="16">
        <f>IF($B85&gt;M$75,ROUND(($B85-M$75)*M$74,2),0)</f>
        <v>0</v>
      </c>
      <c r="N85" s="17">
        <f>SUM(K85:M85)</f>
        <v>-0.13</v>
      </c>
      <c r="O85" s="16"/>
      <c r="P85" s="16"/>
      <c r="Q85" s="16"/>
      <c r="R85" s="49"/>
      <c r="S85" s="17">
        <f>ROUND($B85*S$74*S84,2)</f>
        <v>0</v>
      </c>
      <c r="T85" s="17">
        <f>ROUND($B85*T$74,2)</f>
        <v>0</v>
      </c>
      <c r="U85" s="17">
        <f t="shared" si="10"/>
        <v>0</v>
      </c>
      <c r="V85" s="17">
        <f t="shared" si="10"/>
        <v>-0.01</v>
      </c>
      <c r="W85" s="17">
        <f t="shared" si="10"/>
        <v>0</v>
      </c>
      <c r="X85" s="17">
        <f t="shared" si="10"/>
        <v>-0.01</v>
      </c>
      <c r="Y85" s="17">
        <f t="shared" si="10"/>
        <v>0</v>
      </c>
      <c r="Z85" s="17">
        <f t="shared" si="10"/>
        <v>0</v>
      </c>
      <c r="AA85" s="17">
        <f t="shared" si="10"/>
        <v>0</v>
      </c>
      <c r="AB85" s="19">
        <f>SUM(U78:AA78)+S78*S84</f>
        <v>0</v>
      </c>
      <c r="AC85" s="67" t="str">
        <f>+F85</f>
        <v>RH</v>
      </c>
    </row>
    <row r="86" spans="1:29" x14ac:dyDescent="0.2">
      <c r="B86" s="103">
        <v>-1</v>
      </c>
      <c r="C86" s="1"/>
      <c r="F86" s="130"/>
      <c r="G86" s="17"/>
      <c r="H86" s="19"/>
      <c r="I86" s="19"/>
      <c r="J86" s="16"/>
      <c r="K86" s="16"/>
      <c r="L86" s="16"/>
      <c r="M86" s="16"/>
      <c r="N86" s="16"/>
      <c r="O86" s="16"/>
      <c r="P86" s="16"/>
      <c r="Q86" s="16"/>
      <c r="R86" s="16"/>
      <c r="S86" s="17"/>
      <c r="T86" s="17"/>
      <c r="U86" s="17"/>
      <c r="V86" s="17"/>
      <c r="W86" s="17"/>
      <c r="X86" s="17"/>
      <c r="Y86" s="17"/>
      <c r="Z86" s="17"/>
      <c r="AA86" s="17"/>
    </row>
    <row r="87" spans="1:29" ht="13.5" thickBot="1" x14ac:dyDescent="0.25">
      <c r="A87" s="20"/>
      <c r="B87" s="106">
        <v>-1</v>
      </c>
      <c r="C87" s="28"/>
      <c r="D87" s="21"/>
      <c r="F87" s="30"/>
      <c r="G87" s="23"/>
      <c r="H87" s="21"/>
      <c r="J87" s="24"/>
      <c r="K87" s="24"/>
      <c r="L87" s="24"/>
      <c r="M87" s="24"/>
      <c r="N87" s="24"/>
      <c r="O87" s="24"/>
      <c r="P87" s="24"/>
      <c r="Q87" s="24"/>
      <c r="R87" s="24"/>
      <c r="S87" s="23"/>
      <c r="T87" s="23"/>
      <c r="U87" s="23"/>
      <c r="V87" s="23"/>
      <c r="W87" s="23"/>
      <c r="X87" s="23"/>
      <c r="Y87" s="23"/>
      <c r="Z87" s="23"/>
      <c r="AA87" s="23"/>
      <c r="AB87" s="21"/>
    </row>
    <row r="88" spans="1:29" x14ac:dyDescent="0.2">
      <c r="B88" s="103">
        <v>-1</v>
      </c>
      <c r="V88" s="27"/>
      <c r="W88" s="6"/>
      <c r="AB88" s="19" t="e">
        <f>+AB$99-V$99+#REF!</f>
        <v>#REF!</v>
      </c>
    </row>
    <row r="89" spans="1:29" x14ac:dyDescent="0.2">
      <c r="B89" s="103">
        <v>-1</v>
      </c>
      <c r="S89" s="6"/>
      <c r="T89" s="6"/>
      <c r="U89" s="6"/>
      <c r="V89" s="27">
        <f>+T11</f>
        <v>0</v>
      </c>
      <c r="W89" s="6" t="s">
        <v>145</v>
      </c>
      <c r="X89" s="6"/>
      <c r="Y89" s="6"/>
      <c r="Z89" s="6"/>
      <c r="AA89" s="6"/>
      <c r="AB89" s="19"/>
    </row>
    <row r="90" spans="1:29" x14ac:dyDescent="0.2">
      <c r="B90" s="103">
        <v>-1</v>
      </c>
      <c r="S90" s="6"/>
      <c r="T90" s="6"/>
      <c r="U90" s="6"/>
      <c r="V90" s="27">
        <f>T15</f>
        <v>0</v>
      </c>
      <c r="W90" s="6" t="s">
        <v>146</v>
      </c>
      <c r="X90" s="6"/>
      <c r="Y90" s="6"/>
      <c r="Z90" s="6"/>
      <c r="AA90" s="6"/>
      <c r="AB90" s="19"/>
    </row>
    <row r="91" spans="1:29" x14ac:dyDescent="0.2">
      <c r="B91" s="103">
        <v>-1</v>
      </c>
      <c r="S91" s="6"/>
      <c r="T91" s="6"/>
      <c r="U91" s="6"/>
      <c r="V91" s="27">
        <f>$T$18</f>
        <v>0</v>
      </c>
      <c r="W91" s="6" t="s">
        <v>147</v>
      </c>
      <c r="X91" s="6"/>
      <c r="Y91" s="6"/>
      <c r="Z91" s="6"/>
      <c r="AA91" s="6"/>
      <c r="AB91" s="19"/>
    </row>
    <row r="92" spans="1:29" x14ac:dyDescent="0.2">
      <c r="B92" s="103">
        <v>-1</v>
      </c>
      <c r="S92" s="6"/>
      <c r="T92" s="6"/>
      <c r="U92" s="6"/>
      <c r="V92" s="27">
        <f>$T$20</f>
        <v>0</v>
      </c>
      <c r="W92" s="6" t="s">
        <v>148</v>
      </c>
      <c r="X92" s="6"/>
      <c r="Y92" s="6"/>
      <c r="Z92" s="6"/>
      <c r="AA92" s="6"/>
      <c r="AB92" s="19"/>
    </row>
    <row r="93" spans="1:29" x14ac:dyDescent="0.2">
      <c r="B93" s="103">
        <v>-1</v>
      </c>
      <c r="S93" s="6"/>
      <c r="T93" s="6"/>
      <c r="U93" s="6"/>
      <c r="V93" s="27">
        <f>$T$22</f>
        <v>-2.5219999999999999E-3</v>
      </c>
      <c r="W93" s="6" t="s">
        <v>149</v>
      </c>
      <c r="X93" s="6"/>
      <c r="Y93" s="6"/>
      <c r="Z93" s="6"/>
      <c r="AA93" s="6"/>
      <c r="AB93" s="19"/>
    </row>
    <row r="94" spans="1:29" x14ac:dyDescent="0.2">
      <c r="B94" s="103">
        <v>-1</v>
      </c>
      <c r="S94" s="6"/>
      <c r="T94" s="6"/>
      <c r="U94" s="6"/>
      <c r="V94" s="121">
        <f>T24</f>
        <v>0</v>
      </c>
      <c r="W94" s="6" t="s">
        <v>150</v>
      </c>
      <c r="X94" s="6"/>
      <c r="Y94" s="6"/>
      <c r="Z94" s="6"/>
      <c r="AA94" s="6"/>
      <c r="AB94" s="19"/>
    </row>
    <row r="95" spans="1:29" x14ac:dyDescent="0.2">
      <c r="B95" s="103">
        <v>-1</v>
      </c>
      <c r="S95" s="6"/>
      <c r="T95" s="6"/>
      <c r="U95" s="6"/>
      <c r="V95" s="19">
        <f>T26</f>
        <v>0</v>
      </c>
      <c r="W95" s="6" t="s">
        <v>151</v>
      </c>
      <c r="X95" s="6"/>
      <c r="Y95" s="6"/>
      <c r="Z95" s="6"/>
      <c r="AA95" s="6"/>
      <c r="AB95" s="19"/>
    </row>
    <row r="96" spans="1:29" x14ac:dyDescent="0.2">
      <c r="B96" s="103">
        <v>-1</v>
      </c>
      <c r="S96" s="6"/>
      <c r="T96" s="6"/>
      <c r="U96" s="6"/>
      <c r="V96" s="19">
        <f>T28</f>
        <v>-1.1789999999999999E-3</v>
      </c>
      <c r="W96" s="6" t="s">
        <v>285</v>
      </c>
      <c r="X96" s="6"/>
      <c r="Y96" s="6"/>
      <c r="Z96" s="6"/>
      <c r="AA96" s="6"/>
      <c r="AB96" s="19"/>
    </row>
    <row r="97" spans="1:29" x14ac:dyDescent="0.2">
      <c r="B97" s="103">
        <v>-1</v>
      </c>
      <c r="S97" s="6"/>
      <c r="T97" s="6"/>
      <c r="U97" s="6"/>
      <c r="V97" s="19">
        <f>T30</f>
        <v>0</v>
      </c>
      <c r="W97" s="6" t="s">
        <v>162</v>
      </c>
      <c r="X97" s="6"/>
      <c r="Y97" s="6"/>
      <c r="Z97" s="6"/>
      <c r="AA97" s="6"/>
      <c r="AB97" s="19"/>
    </row>
    <row r="98" spans="1:29" x14ac:dyDescent="0.2">
      <c r="B98" s="103"/>
      <c r="S98" s="6"/>
      <c r="T98" s="6"/>
      <c r="U98" s="6"/>
      <c r="V98" s="19">
        <f>T32</f>
        <v>5.8520000000000004E-3</v>
      </c>
      <c r="W98" s="6" t="s">
        <v>144</v>
      </c>
      <c r="X98" s="6"/>
      <c r="Y98" s="6"/>
      <c r="Z98" s="6"/>
      <c r="AA98" s="6"/>
      <c r="AB98" s="19"/>
    </row>
    <row r="99" spans="1:29" x14ac:dyDescent="0.2">
      <c r="B99" s="103">
        <v>-1</v>
      </c>
      <c r="C99" s="4"/>
      <c r="F99" s="156">
        <v>40</v>
      </c>
      <c r="G99" s="70"/>
      <c r="H99" s="70"/>
      <c r="I99" s="70"/>
      <c r="J99" s="157">
        <v>55</v>
      </c>
      <c r="K99" s="158">
        <v>0.12295200000000001</v>
      </c>
      <c r="L99" s="158">
        <v>0.108472</v>
      </c>
      <c r="M99" s="5"/>
      <c r="N99" s="5"/>
      <c r="O99" s="5"/>
      <c r="P99" s="5"/>
      <c r="Q99" s="5"/>
      <c r="R99" s="5"/>
      <c r="S99" s="27">
        <f>+M$4</f>
        <v>1.8E-3</v>
      </c>
      <c r="T99" s="27">
        <f t="shared" ref="T99:AA99" si="11">+R$4</f>
        <v>2.3900000000000001E-4</v>
      </c>
      <c r="U99" s="117">
        <f>+S$4</f>
        <v>3.4810000000000002E-3</v>
      </c>
      <c r="V99" s="27">
        <f>+T$4</f>
        <v>1.2638E-2</v>
      </c>
      <c r="W99" s="27">
        <f t="shared" si="11"/>
        <v>0</v>
      </c>
      <c r="X99" s="27">
        <f t="shared" si="11"/>
        <v>8.8730000000000007E-3</v>
      </c>
      <c r="Y99" s="27">
        <f t="shared" si="11"/>
        <v>-8.1800000000000004E-4</v>
      </c>
      <c r="Z99" s="27">
        <f t="shared" si="11"/>
        <v>4.2139999999999999E-3</v>
      </c>
      <c r="AA99" s="27">
        <f t="shared" si="11"/>
        <v>7.0699999999999995E-4</v>
      </c>
      <c r="AB99" s="19">
        <f>SUM(U99:Z99)</f>
        <v>2.8388E-2</v>
      </c>
    </row>
    <row r="100" spans="1:29" x14ac:dyDescent="0.2">
      <c r="A100" s="1"/>
      <c r="B100" s="103">
        <v>-1</v>
      </c>
      <c r="F100" s="72"/>
      <c r="G100" s="70"/>
      <c r="H100" s="70"/>
      <c r="I100" s="70"/>
      <c r="J100" s="73">
        <v>5000</v>
      </c>
      <c r="K100" s="73">
        <v>5000</v>
      </c>
      <c r="L100" s="70"/>
    </row>
    <row r="101" spans="1:29" x14ac:dyDescent="0.2">
      <c r="B101" s="103">
        <v>-1</v>
      </c>
      <c r="F101" s="12"/>
      <c r="J101" s="12" t="s">
        <v>127</v>
      </c>
      <c r="K101" s="254" t="s">
        <v>28</v>
      </c>
      <c r="L101" s="254"/>
      <c r="M101" s="12"/>
      <c r="N101" s="12"/>
      <c r="O101" s="12"/>
      <c r="P101" s="12"/>
      <c r="Q101" s="12"/>
      <c r="R101" s="12"/>
      <c r="S101" s="12">
        <v>21</v>
      </c>
      <c r="T101" s="12">
        <v>6</v>
      </c>
      <c r="U101" s="12">
        <v>3</v>
      </c>
      <c r="V101" s="12">
        <v>22</v>
      </c>
      <c r="W101" s="12">
        <v>13</v>
      </c>
      <c r="X101" s="12">
        <v>20</v>
      </c>
      <c r="Y101" s="12">
        <v>24</v>
      </c>
      <c r="Z101" s="12">
        <v>25</v>
      </c>
      <c r="AA101" s="12">
        <v>26</v>
      </c>
    </row>
    <row r="102" spans="1:29" x14ac:dyDescent="0.2">
      <c r="A102" s="13"/>
      <c r="B102" s="14">
        <v>-1</v>
      </c>
      <c r="C102" s="14"/>
      <c r="D102" s="15"/>
      <c r="F102" s="13" t="s">
        <v>131</v>
      </c>
      <c r="G102" s="13" t="s">
        <v>132</v>
      </c>
      <c r="H102" s="13" t="s">
        <v>133</v>
      </c>
      <c r="I102" s="12"/>
      <c r="J102" s="13" t="s">
        <v>134</v>
      </c>
      <c r="K102" s="13" t="s">
        <v>152</v>
      </c>
      <c r="L102" s="13" t="s">
        <v>153</v>
      </c>
      <c r="M102" s="13"/>
      <c r="N102" s="140" t="s">
        <v>128</v>
      </c>
      <c r="O102" s="13"/>
      <c r="P102" s="13"/>
      <c r="Q102" s="13"/>
      <c r="R102" s="13"/>
      <c r="S102" s="13" t="s">
        <v>96</v>
      </c>
      <c r="T102" s="13" t="s">
        <v>36</v>
      </c>
      <c r="U102" s="136" t="s">
        <v>38</v>
      </c>
      <c r="V102" s="13" t="s">
        <v>97</v>
      </c>
      <c r="W102" s="13" t="s">
        <v>98</v>
      </c>
      <c r="X102" s="13" t="s">
        <v>99</v>
      </c>
      <c r="Y102" s="136" t="s">
        <v>44</v>
      </c>
      <c r="Z102" s="136" t="s">
        <v>46</v>
      </c>
      <c r="AA102" s="136" t="s">
        <v>48</v>
      </c>
      <c r="AB102" s="66" t="s">
        <v>100</v>
      </c>
    </row>
    <row r="103" spans="1:29" x14ac:dyDescent="0.2">
      <c r="B103" s="103">
        <v>-1</v>
      </c>
      <c r="C103" s="34"/>
      <c r="F103" s="12"/>
      <c r="G103" s="12"/>
      <c r="H103" s="12"/>
      <c r="I103" s="12"/>
      <c r="J103" s="12"/>
      <c r="K103" s="12"/>
      <c r="L103" s="12"/>
      <c r="M103" s="12"/>
      <c r="N103" s="12"/>
      <c r="O103" s="12"/>
      <c r="P103" s="12"/>
      <c r="Q103" s="12"/>
      <c r="R103" s="12"/>
      <c r="S103" s="50">
        <v>0</v>
      </c>
      <c r="T103" s="12"/>
      <c r="U103" s="12"/>
      <c r="V103" s="12"/>
      <c r="W103" s="12"/>
      <c r="X103" s="12"/>
      <c r="Y103" s="12"/>
      <c r="Z103" s="12"/>
      <c r="AA103" s="12"/>
    </row>
    <row r="104" spans="1:29" x14ac:dyDescent="0.2">
      <c r="B104" s="103">
        <f>IF(AND('AES Indiana Bill Calc.'!$D$17="SS",'AES Indiana Bill Calc.'!$D$18="No",'AES Indiana Bill Calc.'!$D$20="No"),'AES Indiana Bill Calc.'!$D$19,-1)</f>
        <v>-1</v>
      </c>
      <c r="C104" s="1" t="s">
        <v>137</v>
      </c>
      <c r="F104" s="36" t="s">
        <v>54</v>
      </c>
      <c r="G104" s="17">
        <f>SUM(J104:M104,O104:P104,R104:AA104)</f>
        <v>39.860000000000007</v>
      </c>
      <c r="H104" s="19" t="e">
        <f>IF(ISBLANK(B104),0,+#REF!/B104)</f>
        <v>#REF!</v>
      </c>
      <c r="I104" s="19"/>
      <c r="J104" s="16">
        <f>IF(ISBLANK(B104),0,IF(B104&gt;J$100,+J$99,+F$99))</f>
        <v>40</v>
      </c>
      <c r="K104" s="16">
        <f>IF($B104&gt;K$100,ROUND(K$100*K$99,2),ROUND($B104*K$99,2))</f>
        <v>-0.12</v>
      </c>
      <c r="L104" s="16">
        <f>IF($B104&gt;K$100,ROUND(($B104-K$100)*L$99,2),0)</f>
        <v>0</v>
      </c>
      <c r="M104" s="8"/>
      <c r="N104" s="17">
        <f>SUM(K104:L104)</f>
        <v>-0.12</v>
      </c>
      <c r="O104" s="8"/>
      <c r="P104" s="8"/>
      <c r="Q104" s="8"/>
      <c r="R104" s="8"/>
      <c r="S104" s="17">
        <f>ROUND($B104*S$99*S103,2)</f>
        <v>0</v>
      </c>
      <c r="T104" s="17">
        <f t="shared" ref="T104:AA104" si="12">ROUND($B104*T$99,2)</f>
        <v>0</v>
      </c>
      <c r="U104" s="116">
        <f t="shared" si="12"/>
        <v>0</v>
      </c>
      <c r="V104" s="17">
        <f>ROUND($B104*V$99,2)</f>
        <v>-0.01</v>
      </c>
      <c r="W104" s="17">
        <f t="shared" si="12"/>
        <v>0</v>
      </c>
      <c r="X104" s="17">
        <f t="shared" si="12"/>
        <v>-0.01</v>
      </c>
      <c r="Y104" s="17">
        <f t="shared" si="12"/>
        <v>0</v>
      </c>
      <c r="Z104" s="17">
        <f t="shared" si="12"/>
        <v>0</v>
      </c>
      <c r="AA104" s="17">
        <f t="shared" si="12"/>
        <v>0</v>
      </c>
      <c r="AB104" s="19">
        <f>SUM(U99:AA99)</f>
        <v>2.9094999999999999E-2</v>
      </c>
      <c r="AC104" s="67" t="str">
        <f>+F104</f>
        <v>SS</v>
      </c>
    </row>
    <row r="105" spans="1:29" x14ac:dyDescent="0.2">
      <c r="A105" s="70"/>
      <c r="B105" s="103">
        <v>-1</v>
      </c>
      <c r="C105" s="9"/>
      <c r="F105" s="36"/>
      <c r="G105" s="17"/>
      <c r="H105" s="19"/>
      <c r="I105" s="19"/>
      <c r="J105" s="16"/>
      <c r="K105" s="16"/>
      <c r="L105" s="16"/>
      <c r="M105" s="8"/>
      <c r="N105" s="8"/>
      <c r="O105" s="8"/>
      <c r="P105" s="8"/>
      <c r="Q105" s="8"/>
      <c r="R105" s="8"/>
      <c r="S105" s="50">
        <v>1</v>
      </c>
      <c r="T105" s="17"/>
      <c r="U105" s="17"/>
      <c r="V105" s="17"/>
      <c r="W105" s="17"/>
      <c r="X105" s="17"/>
      <c r="Y105" s="17"/>
      <c r="Z105" s="17"/>
      <c r="AA105" s="17"/>
    </row>
    <row r="106" spans="1:29" x14ac:dyDescent="0.2">
      <c r="A106" s="89"/>
      <c r="B106" s="103">
        <f>IF(AND('AES Indiana Bill Calc.'!$D$17="SS",'AES Indiana Bill Calc.'!$D$18="Yes 100%",'AES Indiana Bill Calc.'!$D$20="No"),'AES Indiana Bill Calc.'!$D$19,-1)</f>
        <v>-1</v>
      </c>
      <c r="C106" s="1" t="s">
        <v>138</v>
      </c>
      <c r="F106" s="36" t="s">
        <v>54</v>
      </c>
      <c r="G106" s="17">
        <f>SUM(J106:M106,O106:P106,R106:AA106)</f>
        <v>39.860000000000007</v>
      </c>
      <c r="H106" s="19" t="e">
        <f>IF(ISBLANK(B106),0,+#REF!/B106)</f>
        <v>#REF!</v>
      </c>
      <c r="I106" s="86"/>
      <c r="J106" s="16">
        <f>IF(ISBLANK(B106),0,IF(B106&gt;J$100,+J$99,+F$99))</f>
        <v>40</v>
      </c>
      <c r="K106" s="16">
        <f>IF($B106&gt;K$100,ROUND(K$100*K$99,2),ROUND($B106*K$99,2))</f>
        <v>-0.12</v>
      </c>
      <c r="L106" s="16">
        <f>IF($B106&gt;K$100,ROUND(($B106-K$100)*L$99,2),0)</f>
        <v>0</v>
      </c>
      <c r="M106" s="8"/>
      <c r="N106" s="17">
        <f>SUM(K106:L106)</f>
        <v>-0.12</v>
      </c>
      <c r="O106" s="8"/>
      <c r="P106" s="8"/>
      <c r="Q106" s="8"/>
      <c r="R106" s="8"/>
      <c r="S106" s="17">
        <f>ROUND($B106*S$99*S105,2)</f>
        <v>0</v>
      </c>
      <c r="T106" s="17">
        <f t="shared" ref="T106:AA106" si="13">ROUND($B106*T$99,2)</f>
        <v>0</v>
      </c>
      <c r="U106" s="17">
        <f t="shared" si="13"/>
        <v>0</v>
      </c>
      <c r="V106" s="17">
        <f>ROUND($B106*V$99,2)</f>
        <v>-0.01</v>
      </c>
      <c r="W106" s="17">
        <f t="shared" si="13"/>
        <v>0</v>
      </c>
      <c r="X106" s="17">
        <f t="shared" si="13"/>
        <v>-0.01</v>
      </c>
      <c r="Y106" s="17">
        <f t="shared" si="13"/>
        <v>0</v>
      </c>
      <c r="Z106" s="17">
        <f t="shared" si="13"/>
        <v>0</v>
      </c>
      <c r="AA106" s="17">
        <f t="shared" si="13"/>
        <v>0</v>
      </c>
      <c r="AB106" s="19">
        <f>SUM(U$99:AA$99)</f>
        <v>2.9094999999999999E-2</v>
      </c>
      <c r="AC106" s="67" t="str">
        <f>+F106</f>
        <v>SS</v>
      </c>
    </row>
    <row r="107" spans="1:29" x14ac:dyDescent="0.2">
      <c r="A107" s="70"/>
      <c r="B107" s="103">
        <v>-1</v>
      </c>
      <c r="C107" s="9"/>
      <c r="F107" s="36"/>
      <c r="G107" s="17"/>
      <c r="H107" s="19"/>
      <c r="I107" s="19"/>
      <c r="J107" s="16"/>
      <c r="K107" s="16"/>
      <c r="L107" s="16"/>
      <c r="M107" s="8"/>
      <c r="N107" s="8"/>
      <c r="O107" s="8"/>
      <c r="P107" s="8"/>
      <c r="Q107" s="8"/>
      <c r="R107" s="8"/>
      <c r="S107" s="50">
        <v>0.5</v>
      </c>
      <c r="T107" s="17"/>
      <c r="U107" s="17"/>
      <c r="V107" s="17"/>
      <c r="W107" s="17"/>
      <c r="X107" s="17"/>
      <c r="Y107" s="17"/>
      <c r="Z107" s="17"/>
      <c r="AA107" s="17"/>
    </row>
    <row r="108" spans="1:29" x14ac:dyDescent="0.2">
      <c r="A108" s="89"/>
      <c r="B108" s="103">
        <f>IF(AND('AES Indiana Bill Calc.'!$D$17="SS",'AES Indiana Bill Calc.'!$D$18="Yes 50%",'AES Indiana Bill Calc.'!$D$20="No"),'AES Indiana Bill Calc.'!$D$19,-1)</f>
        <v>-1</v>
      </c>
      <c r="C108" s="1" t="s">
        <v>139</v>
      </c>
      <c r="F108" s="36" t="s">
        <v>54</v>
      </c>
      <c r="G108" s="17">
        <f>SUM(J108:M108,O108:P108,R108:AA108)</f>
        <v>39.860000000000007</v>
      </c>
      <c r="H108" s="19" t="e">
        <f>IF(ISBLANK(B108),0,+#REF!/B108)</f>
        <v>#REF!</v>
      </c>
      <c r="I108" s="86"/>
      <c r="J108" s="16">
        <f>IF(ISBLANK(B108),0,IF(B108&gt;J$100,+J$99,+F$99))</f>
        <v>40</v>
      </c>
      <c r="K108" s="16">
        <f>IF($B108&gt;K$100,ROUND(K$100*K$99,2),ROUND($B108*K$99,2))</f>
        <v>-0.12</v>
      </c>
      <c r="L108" s="16">
        <f>IF($B108&gt;K$100,ROUND(($B108-K$100)*L$99,2),0)</f>
        <v>0</v>
      </c>
      <c r="M108" s="8"/>
      <c r="N108" s="17">
        <f>SUM(K108:L108)</f>
        <v>-0.12</v>
      </c>
      <c r="O108" s="8"/>
      <c r="P108" s="8"/>
      <c r="Q108" s="8"/>
      <c r="R108" s="8"/>
      <c r="S108" s="17">
        <f>ROUND($B108*S$99*S107,2)</f>
        <v>0</v>
      </c>
      <c r="T108" s="17">
        <f t="shared" ref="T108:AA108" si="14">ROUND($B108*T$99,2)</f>
        <v>0</v>
      </c>
      <c r="U108" s="17">
        <f t="shared" si="14"/>
        <v>0</v>
      </c>
      <c r="V108" s="17">
        <f>ROUND($B108*V$99,2)</f>
        <v>-0.01</v>
      </c>
      <c r="W108" s="17">
        <f t="shared" si="14"/>
        <v>0</v>
      </c>
      <c r="X108" s="17">
        <f t="shared" si="14"/>
        <v>-0.01</v>
      </c>
      <c r="Y108" s="17">
        <f t="shared" si="14"/>
        <v>0</v>
      </c>
      <c r="Z108" s="17">
        <f t="shared" si="14"/>
        <v>0</v>
      </c>
      <c r="AA108" s="17">
        <f t="shared" si="14"/>
        <v>0</v>
      </c>
      <c r="AB108" s="19">
        <f>SUM(U$99:AA$99)</f>
        <v>2.9094999999999999E-2</v>
      </c>
      <c r="AC108" s="67" t="str">
        <f>+F108</f>
        <v>SS</v>
      </c>
    </row>
    <row r="109" spans="1:29" x14ac:dyDescent="0.2">
      <c r="A109" s="70"/>
      <c r="B109" s="103">
        <v>-1</v>
      </c>
      <c r="C109" s="9"/>
      <c r="F109" s="36"/>
      <c r="G109" s="17"/>
      <c r="H109" s="19"/>
      <c r="I109" s="19"/>
      <c r="J109" s="16"/>
      <c r="K109" s="16"/>
      <c r="L109" s="16"/>
      <c r="M109" s="8"/>
      <c r="N109" s="8"/>
      <c r="O109" s="8"/>
      <c r="P109" s="8"/>
      <c r="Q109" s="8"/>
      <c r="R109" s="8"/>
      <c r="S109" s="50">
        <v>0.25</v>
      </c>
      <c r="T109" s="17"/>
      <c r="U109" s="17"/>
      <c r="V109" s="17"/>
      <c r="W109" s="17"/>
      <c r="X109" s="17"/>
      <c r="Y109" s="17"/>
      <c r="Z109" s="17"/>
      <c r="AA109" s="17"/>
    </row>
    <row r="110" spans="1:29" x14ac:dyDescent="0.2">
      <c r="A110" s="89"/>
      <c r="B110" s="103">
        <f>IF(AND('AES Indiana Bill Calc.'!$D$17="SS",'AES Indiana Bill Calc.'!$D$18="Yes 25%",'AES Indiana Bill Calc.'!$D$20="No"),'AES Indiana Bill Calc.'!$D$19,-1)</f>
        <v>-1</v>
      </c>
      <c r="C110" s="1" t="s">
        <v>140</v>
      </c>
      <c r="F110" s="36" t="s">
        <v>54</v>
      </c>
      <c r="G110" s="17">
        <f>SUM(J110:M110,O110:P110,R110:AA110)</f>
        <v>39.860000000000007</v>
      </c>
      <c r="H110" s="19" t="e">
        <f>IF(ISBLANK(B110),0,+#REF!/B110)</f>
        <v>#REF!</v>
      </c>
      <c r="I110" s="86"/>
      <c r="J110" s="16">
        <f>IF(ISBLANK(B110),0,IF(B110&gt;J$100,+J$99,+F$99))</f>
        <v>40</v>
      </c>
      <c r="K110" s="16">
        <f>IF($B110&gt;K$100,ROUND(K$100*K$99,2),ROUND($B110*K$99,2))</f>
        <v>-0.12</v>
      </c>
      <c r="L110" s="16">
        <f>IF($B110&gt;K$100,ROUND(($B110-K$100)*L$99,2),0)</f>
        <v>0</v>
      </c>
      <c r="M110" s="8"/>
      <c r="N110" s="17">
        <f>SUM(K110:L110)</f>
        <v>-0.12</v>
      </c>
      <c r="O110" s="8"/>
      <c r="P110" s="8"/>
      <c r="Q110" s="8"/>
      <c r="R110" s="8"/>
      <c r="S110" s="17">
        <f>ROUND($B110*S$99*S109,2)</f>
        <v>0</v>
      </c>
      <c r="T110" s="17">
        <f t="shared" ref="T110:AA112" si="15">ROUND($B110*T$99,2)</f>
        <v>0</v>
      </c>
      <c r="U110" s="17">
        <f t="shared" si="15"/>
        <v>0</v>
      </c>
      <c r="V110" s="17">
        <f>ROUND($B110*V$99,2)</f>
        <v>-0.01</v>
      </c>
      <c r="W110" s="17">
        <f t="shared" si="15"/>
        <v>0</v>
      </c>
      <c r="X110" s="17">
        <f t="shared" si="15"/>
        <v>-0.01</v>
      </c>
      <c r="Y110" s="17">
        <f t="shared" si="15"/>
        <v>0</v>
      </c>
      <c r="Z110" s="17">
        <f t="shared" si="15"/>
        <v>0</v>
      </c>
      <c r="AA110" s="17">
        <f t="shared" si="15"/>
        <v>0</v>
      </c>
      <c r="AB110" s="19">
        <f>SUM(U$99:AA$99)</f>
        <v>2.9094999999999999E-2</v>
      </c>
      <c r="AC110" s="67" t="str">
        <f>+F110</f>
        <v>SS</v>
      </c>
    </row>
    <row r="111" spans="1:29" x14ac:dyDescent="0.2">
      <c r="A111" s="70"/>
      <c r="B111" s="103">
        <v>-1</v>
      </c>
      <c r="C111" s="9"/>
      <c r="F111" s="36"/>
      <c r="G111" s="17"/>
      <c r="H111" s="19"/>
      <c r="I111" s="19"/>
      <c r="J111" s="16"/>
      <c r="K111" s="16"/>
      <c r="L111" s="16"/>
      <c r="M111" s="8"/>
      <c r="N111" s="8"/>
      <c r="O111" s="8"/>
      <c r="P111" s="8"/>
      <c r="Q111" s="8"/>
      <c r="R111" s="8"/>
      <c r="S111" s="50">
        <v>0.1</v>
      </c>
      <c r="T111" s="17"/>
      <c r="U111" s="17"/>
      <c r="V111" s="17"/>
      <c r="W111" s="17"/>
      <c r="X111" s="17"/>
      <c r="Y111" s="17"/>
      <c r="Z111" s="17"/>
      <c r="AA111" s="17"/>
    </row>
    <row r="112" spans="1:29" x14ac:dyDescent="0.2">
      <c r="A112" s="89"/>
      <c r="B112" s="103">
        <f>IF(AND('AES Indiana Bill Calc.'!$D$17="SS",'AES Indiana Bill Calc.'!$D$18="Yes 10%",'AES Indiana Bill Calc.'!$D$20="No"),'AES Indiana Bill Calc.'!$D$19,-1)</f>
        <v>-1</v>
      </c>
      <c r="C112" s="1" t="s">
        <v>154</v>
      </c>
      <c r="F112" s="36" t="s">
        <v>54</v>
      </c>
      <c r="G112" s="17">
        <f>SUM(J112:M112,O112:P112,R112:AA112)</f>
        <v>39.860000000000007</v>
      </c>
      <c r="H112" s="19" t="e">
        <f>IF(ISBLANK(B112),0,+#REF!/B112)</f>
        <v>#REF!</v>
      </c>
      <c r="I112" s="86"/>
      <c r="J112" s="16">
        <f>IF(ISBLANK(B112),0,IF(B112&gt;J$100,+J$99,+F$99))</f>
        <v>40</v>
      </c>
      <c r="K112" s="16">
        <f>IF($B112&gt;K$100,ROUND(K$100*K$99,2),ROUND($B112*K$99,2))</f>
        <v>-0.12</v>
      </c>
      <c r="L112" s="16">
        <f>IF($B112&gt;K$100,ROUND(($B112-K$100)*L$99,2),0)</f>
        <v>0</v>
      </c>
      <c r="M112" s="8"/>
      <c r="N112" s="17">
        <f>SUM(K112:L112)</f>
        <v>-0.12</v>
      </c>
      <c r="O112" s="8"/>
      <c r="P112" s="8"/>
      <c r="Q112" s="8"/>
      <c r="R112" s="8"/>
      <c r="S112" s="17">
        <f>ROUND($B112*S$99*S111,2)</f>
        <v>0</v>
      </c>
      <c r="T112" s="17">
        <f t="shared" si="15"/>
        <v>0</v>
      </c>
      <c r="U112" s="17">
        <f t="shared" si="15"/>
        <v>0</v>
      </c>
      <c r="V112" s="17">
        <f>ROUND($B112*V$99,2)</f>
        <v>-0.01</v>
      </c>
      <c r="W112" s="17">
        <f t="shared" si="15"/>
        <v>0</v>
      </c>
      <c r="X112" s="17">
        <f t="shared" si="15"/>
        <v>-0.01</v>
      </c>
      <c r="Y112" s="17">
        <f t="shared" si="15"/>
        <v>0</v>
      </c>
      <c r="Z112" s="17">
        <f t="shared" si="15"/>
        <v>0</v>
      </c>
      <c r="AA112" s="17">
        <f t="shared" si="15"/>
        <v>0</v>
      </c>
      <c r="AB112" s="19">
        <f>SUM(U$99:AA$99)</f>
        <v>2.9094999999999999E-2</v>
      </c>
      <c r="AC112" s="67" t="str">
        <f>+F112</f>
        <v>SS</v>
      </c>
    </row>
    <row r="113" spans="1:29" x14ac:dyDescent="0.2">
      <c r="B113" s="103">
        <v>-1</v>
      </c>
      <c r="C113" s="9"/>
      <c r="G113" s="17"/>
      <c r="H113" s="19"/>
      <c r="I113" s="19"/>
      <c r="J113" s="16"/>
      <c r="K113" s="16"/>
      <c r="L113" s="16"/>
      <c r="M113" s="8"/>
      <c r="N113" s="8"/>
      <c r="O113" s="8"/>
      <c r="P113" s="8"/>
      <c r="Q113" s="8"/>
      <c r="R113" s="8"/>
      <c r="S113" s="50">
        <v>1</v>
      </c>
      <c r="T113" s="17"/>
      <c r="U113" s="17"/>
      <c r="V113" s="8"/>
      <c r="W113" s="17"/>
      <c r="X113" s="17"/>
      <c r="Y113" s="17"/>
      <c r="Z113" s="17"/>
      <c r="AA113" s="17"/>
      <c r="AB113" s="19"/>
      <c r="AC113" s="67"/>
    </row>
    <row r="114" spans="1:29" x14ac:dyDescent="0.2">
      <c r="A114" s="96"/>
      <c r="B114" s="103">
        <f>IF(AND('AES Indiana Bill Calc.'!$D$17="SS",'AES Indiana Bill Calc.'!$D$18="Yes 100%",'AES Indiana Bill Calc.'!$D$20="Yes Before 2018"),'AES Indiana Bill Calc.'!$D$19,-1)</f>
        <v>-1</v>
      </c>
      <c r="C114" s="1" t="s">
        <v>138</v>
      </c>
      <c r="F114" s="36" t="s">
        <v>155</v>
      </c>
      <c r="G114" s="17">
        <f>SUM(J114:M114,O114:P114,R114:AA114)</f>
        <v>39.870000000000005</v>
      </c>
      <c r="H114" s="19" t="e">
        <f>IF(ISBLANK(B114),0,+#REF!/B114)</f>
        <v>#REF!</v>
      </c>
      <c r="I114" s="19"/>
      <c r="J114" s="82">
        <f>IF(ISBLANK(B114),0,IF(B114&gt;J$100,+J$99,+F$99))</f>
        <v>40</v>
      </c>
      <c r="K114" s="82">
        <f>IF($B114&gt;K$100,ROUND(K$100*K$99,2),ROUND($B114*K$99,2))</f>
        <v>-0.12</v>
      </c>
      <c r="L114" s="82">
        <f>IF($B114&gt;K$100,ROUND(($B114-K$100)*L$99,2),0)</f>
        <v>0</v>
      </c>
      <c r="M114" s="41"/>
      <c r="N114" s="17">
        <f>SUM(K114:L114)</f>
        <v>-0.12</v>
      </c>
      <c r="O114" s="41"/>
      <c r="P114" s="41"/>
      <c r="Q114" s="41"/>
      <c r="R114" s="41"/>
      <c r="S114" s="42">
        <f>ROUND($B114*S$99*S103,2)</f>
        <v>0</v>
      </c>
      <c r="T114" s="42">
        <f>ROUND($B114*T$99,2)</f>
        <v>0</v>
      </c>
      <c r="U114" s="42">
        <f>ROUND($B114*U$99,2)</f>
        <v>0</v>
      </c>
      <c r="V114" s="41">
        <f>ROUND($B114*V89,2)</f>
        <v>0</v>
      </c>
      <c r="W114" s="42">
        <f>ROUND($B114*W$99,2)</f>
        <v>0</v>
      </c>
      <c r="X114" s="42">
        <f>ROUND($B114*X$99,2)</f>
        <v>-0.01</v>
      </c>
      <c r="Y114" s="42">
        <f>ROUND($B114*Y$99,2)</f>
        <v>0</v>
      </c>
      <c r="Z114" s="42">
        <f>ROUND($B114*Z$99,2)</f>
        <v>0</v>
      </c>
      <c r="AA114" s="42">
        <f>ROUND($B114*AA$99,2)</f>
        <v>0</v>
      </c>
      <c r="AB114" s="19">
        <f>SUM(U$99:AA$99)+(-V$99+V81)</f>
        <v>6.4570000000000009E-3</v>
      </c>
      <c r="AC114" s="94" t="str">
        <f>+F114</f>
        <v>SS7</v>
      </c>
    </row>
    <row r="115" spans="1:29" x14ac:dyDescent="0.2">
      <c r="B115" s="103">
        <v>-1</v>
      </c>
      <c r="C115" s="9"/>
      <c r="G115" s="17"/>
      <c r="H115" s="19"/>
      <c r="I115" s="19"/>
      <c r="J115" s="16"/>
      <c r="K115" s="16"/>
      <c r="L115" s="16"/>
      <c r="M115" s="8"/>
      <c r="N115" s="8"/>
      <c r="O115" s="8"/>
      <c r="P115" s="8"/>
      <c r="Q115" s="8"/>
      <c r="R115" s="8"/>
      <c r="S115" s="50">
        <v>0.5</v>
      </c>
      <c r="T115" s="17"/>
      <c r="U115" s="17"/>
      <c r="V115" s="8"/>
      <c r="W115" s="17"/>
      <c r="X115" s="17"/>
      <c r="Y115" s="17"/>
      <c r="Z115" s="17"/>
      <c r="AA115" s="17"/>
      <c r="AB115" s="19"/>
      <c r="AC115" s="67"/>
    </row>
    <row r="116" spans="1:29" x14ac:dyDescent="0.2">
      <c r="A116" s="96"/>
      <c r="B116" s="103">
        <f>IF(AND('AES Indiana Bill Calc.'!$D$17="SS",'AES Indiana Bill Calc.'!$D$18="Yes 50%",'AES Indiana Bill Calc.'!$D$20="Yes Before 2018"),'AES Indiana Bill Calc.'!$D$19,-1)</f>
        <v>-1</v>
      </c>
      <c r="C116" s="1" t="s">
        <v>139</v>
      </c>
      <c r="F116" s="36" t="s">
        <v>155</v>
      </c>
      <c r="G116" s="17">
        <f>SUM(J116:M116,O116:P116,R116:AA116)</f>
        <v>39.870000000000005</v>
      </c>
      <c r="H116" s="19" t="e">
        <f>IF(ISBLANK(B116),0,+#REF!/B116)</f>
        <v>#REF!</v>
      </c>
      <c r="I116" s="19"/>
      <c r="J116" s="82">
        <f>IF(ISBLANK(B116),0,IF(B116&gt;J$100,+J$99,+F$99))</f>
        <v>40</v>
      </c>
      <c r="K116" s="82">
        <f>IF($B116&gt;K$100,ROUND(K$100*K$99,2),ROUND($B116*K$99,2))</f>
        <v>-0.12</v>
      </c>
      <c r="L116" s="82">
        <f>IF($B116&gt;K$100,ROUND(($B116-K$100)*L$99,2),0)</f>
        <v>0</v>
      </c>
      <c r="M116" s="41"/>
      <c r="N116" s="17">
        <f>SUM(K116:L116)</f>
        <v>-0.12</v>
      </c>
      <c r="O116" s="41"/>
      <c r="P116" s="41"/>
      <c r="Q116" s="41"/>
      <c r="R116" s="41"/>
      <c r="S116" s="42">
        <f>ROUND($B116*S$99*S115,2)</f>
        <v>0</v>
      </c>
      <c r="T116" s="42">
        <f>ROUND($B116*T$99,2)</f>
        <v>0</v>
      </c>
      <c r="U116" s="42">
        <f>ROUND($B116*U$99,2)</f>
        <v>0</v>
      </c>
      <c r="V116" s="41">
        <f>ROUND($B116*V89,2)</f>
        <v>0</v>
      </c>
      <c r="W116" s="42">
        <f>ROUND($B116*W$99,2)</f>
        <v>0</v>
      </c>
      <c r="X116" s="42">
        <f>ROUND($B116*X$99,2)</f>
        <v>-0.01</v>
      </c>
      <c r="Y116" s="42">
        <f>ROUND($B116*Y$99,2)</f>
        <v>0</v>
      </c>
      <c r="Z116" s="42">
        <f>ROUND($B116*Z$99,2)</f>
        <v>0</v>
      </c>
      <c r="AA116" s="42">
        <f>ROUND($B116*AA$99,2)</f>
        <v>0</v>
      </c>
      <c r="AB116" s="19">
        <f>SUM(U$99:AA$99)+(-V$99+V83)</f>
        <v>6.4570000000000009E-3</v>
      </c>
      <c r="AC116" s="94" t="str">
        <f>+F116</f>
        <v>SS7</v>
      </c>
    </row>
    <row r="117" spans="1:29" x14ac:dyDescent="0.2">
      <c r="B117" s="103">
        <v>-1</v>
      </c>
      <c r="C117" s="9"/>
      <c r="G117" s="17"/>
      <c r="H117" s="19"/>
      <c r="I117" s="19"/>
      <c r="J117" s="16"/>
      <c r="K117" s="16"/>
      <c r="L117" s="16"/>
      <c r="M117" s="8"/>
      <c r="N117" s="8"/>
      <c r="O117" s="8"/>
      <c r="P117" s="8"/>
      <c r="Q117" s="8"/>
      <c r="R117" s="8"/>
      <c r="S117" s="50">
        <v>0.25</v>
      </c>
      <c r="T117" s="17"/>
      <c r="U117" s="17"/>
      <c r="V117" s="8"/>
      <c r="W117" s="17"/>
      <c r="X117" s="17"/>
      <c r="Y117" s="17"/>
      <c r="Z117" s="17"/>
      <c r="AA117" s="17"/>
      <c r="AB117" s="19"/>
      <c r="AC117" s="67"/>
    </row>
    <row r="118" spans="1:29" x14ac:dyDescent="0.2">
      <c r="A118" s="96"/>
      <c r="B118" s="103">
        <f>IF(AND('AES Indiana Bill Calc.'!$D$17="SS",'AES Indiana Bill Calc.'!$D$18="Yes 25%",'AES Indiana Bill Calc.'!$D$20="Yes Before 2018"),'AES Indiana Bill Calc.'!$D$19,-1)</f>
        <v>-1</v>
      </c>
      <c r="C118" s="1" t="s">
        <v>140</v>
      </c>
      <c r="F118" s="36" t="s">
        <v>155</v>
      </c>
      <c r="G118" s="17">
        <f>SUM(J118:M118,O118:P118,R118:AA118)</f>
        <v>39.870000000000005</v>
      </c>
      <c r="H118" s="19" t="e">
        <f>IF(ISBLANK(B118),0,+#REF!/B118)</f>
        <v>#REF!</v>
      </c>
      <c r="I118" s="19"/>
      <c r="J118" s="82">
        <f>IF(ISBLANK(B118),0,IF(B118&gt;J$100,+J$99,+F$99))</f>
        <v>40</v>
      </c>
      <c r="K118" s="82">
        <f>IF($B118&gt;K$100,ROUND(K$100*K$99,2),ROUND($B118*K$99,2))</f>
        <v>-0.12</v>
      </c>
      <c r="L118" s="82">
        <f>IF($B118&gt;K$100,ROUND(($B118-K$100)*L$99,2),0)</f>
        <v>0</v>
      </c>
      <c r="M118" s="41"/>
      <c r="N118" s="17">
        <f>SUM(K118:L118)</f>
        <v>-0.12</v>
      </c>
      <c r="O118" s="41"/>
      <c r="P118" s="41"/>
      <c r="Q118" s="41"/>
      <c r="R118" s="41"/>
      <c r="S118" s="42">
        <f>ROUND($B118*S$99*S117,2)</f>
        <v>0</v>
      </c>
      <c r="T118" s="42">
        <f>ROUND($B118*T$99,2)</f>
        <v>0</v>
      </c>
      <c r="U118" s="42">
        <f>ROUND($B118*U$99,2)</f>
        <v>0</v>
      </c>
      <c r="V118" s="41">
        <f>ROUND($B118*V89,2)</f>
        <v>0</v>
      </c>
      <c r="W118" s="42">
        <f>ROUND($B118*W$99,2)</f>
        <v>0</v>
      </c>
      <c r="X118" s="42">
        <f>ROUND($B118*X$99,2)</f>
        <v>-0.01</v>
      </c>
      <c r="Y118" s="42">
        <f>ROUND($B118*Y$99,2)</f>
        <v>0</v>
      </c>
      <c r="Z118" s="42">
        <f>ROUND($B118*Z$99,2)</f>
        <v>0</v>
      </c>
      <c r="AA118" s="42">
        <f>ROUND($B118*AA$99,2)</f>
        <v>0</v>
      </c>
      <c r="AB118" s="19">
        <f>SUM(U$99:AA$99)+(-V$99+V85)</f>
        <v>6.4570000000000009E-3</v>
      </c>
      <c r="AC118" s="94" t="str">
        <f>+F118</f>
        <v>SS7</v>
      </c>
    </row>
    <row r="119" spans="1:29" x14ac:dyDescent="0.2">
      <c r="B119" s="103">
        <v>-1</v>
      </c>
      <c r="C119" s="9"/>
      <c r="G119" s="17"/>
      <c r="H119" s="19"/>
      <c r="I119" s="19"/>
      <c r="J119" s="16"/>
      <c r="K119" s="16"/>
      <c r="L119" s="16"/>
      <c r="M119" s="8"/>
      <c r="N119" s="8"/>
      <c r="O119" s="8"/>
      <c r="P119" s="8"/>
      <c r="Q119" s="8"/>
      <c r="R119" s="8"/>
      <c r="S119" s="50">
        <v>0.1</v>
      </c>
      <c r="T119" s="17"/>
      <c r="U119" s="17"/>
      <c r="V119" s="8"/>
      <c r="W119" s="17"/>
      <c r="X119" s="17"/>
      <c r="Y119" s="17"/>
      <c r="Z119" s="17"/>
      <c r="AA119" s="17"/>
      <c r="AB119" s="19"/>
      <c r="AC119" s="67"/>
    </row>
    <row r="120" spans="1:29" x14ac:dyDescent="0.2">
      <c r="A120" s="96"/>
      <c r="B120" s="103">
        <f>IF(AND('AES Indiana Bill Calc.'!$D$17="SS",'AES Indiana Bill Calc.'!$D$18="Yes 10%",'AES Indiana Bill Calc.'!$D$20="Yes Before 2018"),'AES Indiana Bill Calc.'!$D$19,-1)</f>
        <v>-1</v>
      </c>
      <c r="C120" s="1" t="s">
        <v>154</v>
      </c>
      <c r="F120" s="36" t="s">
        <v>155</v>
      </c>
      <c r="G120" s="17">
        <f>SUM(J120:M120,O120:P120,R120:AA120)</f>
        <v>39.870000000000005</v>
      </c>
      <c r="H120" s="19" t="e">
        <f>IF(ISBLANK(B120),0,+#REF!/B120)</f>
        <v>#REF!</v>
      </c>
      <c r="I120" s="19"/>
      <c r="J120" s="82">
        <f>IF(ISBLANK(B120),0,IF(B120&gt;J$100,+J$99,+F$99))</f>
        <v>40</v>
      </c>
      <c r="K120" s="82">
        <f>IF($B120&gt;K$100,ROUND(K$100*K$99,2),ROUND($B120*K$99,2))</f>
        <v>-0.12</v>
      </c>
      <c r="L120" s="82">
        <f>IF($B120&gt;K$100,ROUND(($B120-K$100)*L$99,2),0)</f>
        <v>0</v>
      </c>
      <c r="M120" s="41"/>
      <c r="N120" s="17">
        <f>SUM(K120:L120)</f>
        <v>-0.12</v>
      </c>
      <c r="O120" s="41"/>
      <c r="P120" s="41"/>
      <c r="Q120" s="41"/>
      <c r="R120" s="41"/>
      <c r="S120" s="42">
        <f>ROUND($B120*S$99*S119,2)</f>
        <v>0</v>
      </c>
      <c r="T120" s="42">
        <f>ROUND($B120*T$99,2)</f>
        <v>0</v>
      </c>
      <c r="U120" s="42">
        <f>ROUND($B120*U$99,2)</f>
        <v>0</v>
      </c>
      <c r="V120" s="41">
        <f>ROUND($B120*V89,2)</f>
        <v>0</v>
      </c>
      <c r="W120" s="42">
        <f>ROUND($B120*W$99,2)</f>
        <v>0</v>
      </c>
      <c r="X120" s="42">
        <f>ROUND($B120*X$99,2)</f>
        <v>-0.01</v>
      </c>
      <c r="Y120" s="42">
        <f>ROUND($B120*Y$99,2)</f>
        <v>0</v>
      </c>
      <c r="Z120" s="42">
        <f>ROUND($B120*Z$99,2)</f>
        <v>0</v>
      </c>
      <c r="AA120" s="42">
        <f>ROUND($B120*AA$99,2)</f>
        <v>0</v>
      </c>
      <c r="AB120" s="19">
        <f>SUM(U$99:AA$99)+(-V$99+V87)</f>
        <v>1.6456999999999999E-2</v>
      </c>
      <c r="AC120" s="94" t="str">
        <f>+F120</f>
        <v>SS7</v>
      </c>
    </row>
    <row r="121" spans="1:29" x14ac:dyDescent="0.2">
      <c r="B121" s="103">
        <v>-1</v>
      </c>
      <c r="C121" s="9"/>
      <c r="G121" s="17"/>
      <c r="H121" s="19"/>
      <c r="I121" s="19"/>
      <c r="J121" s="16"/>
      <c r="K121" s="16"/>
      <c r="L121" s="16"/>
      <c r="M121" s="8"/>
      <c r="N121" s="8"/>
      <c r="O121" s="8"/>
      <c r="P121" s="8"/>
      <c r="Q121" s="8"/>
      <c r="R121" s="8"/>
      <c r="S121" s="50">
        <v>0</v>
      </c>
      <c r="T121" s="17"/>
      <c r="U121" s="17"/>
      <c r="V121" s="8"/>
      <c r="W121" s="17"/>
      <c r="X121" s="17"/>
      <c r="Y121" s="17"/>
      <c r="Z121" s="17"/>
      <c r="AA121" s="17"/>
      <c r="AB121" s="19"/>
      <c r="AC121" s="67"/>
    </row>
    <row r="122" spans="1:29" x14ac:dyDescent="0.2">
      <c r="A122" s="96"/>
      <c r="B122" s="103">
        <f>IF(AND('AES Indiana Bill Calc.'!$D$17="SS",'AES Indiana Bill Calc.'!$D$18="No",'AES Indiana Bill Calc.'!$D$20="Yes Before 2018"),'AES Indiana Bill Calc.'!$D$19,-1)</f>
        <v>-1</v>
      </c>
      <c r="C122" s="1" t="s">
        <v>137</v>
      </c>
      <c r="F122" s="36" t="s">
        <v>155</v>
      </c>
      <c r="G122" s="17">
        <f>SUM(J122:M122,O122:P122,R122:AA122)</f>
        <v>39.870000000000005</v>
      </c>
      <c r="H122" s="19" t="e">
        <f>IF(ISBLANK(B122),0,+#REF!/B122)</f>
        <v>#REF!</v>
      </c>
      <c r="I122" s="19"/>
      <c r="J122" s="82">
        <f>IF(ISBLANK(B122),0,IF(B122&gt;J$100,+J$99,+F$99))</f>
        <v>40</v>
      </c>
      <c r="K122" s="82">
        <f>IF($B122&gt;K$100,ROUND(K$100*K$99,2),ROUND($B122*K$99,2))</f>
        <v>-0.12</v>
      </c>
      <c r="L122" s="82">
        <f>IF($B122&gt;K$100,ROUND(($B122-K$100)*L$99,2),0)</f>
        <v>0</v>
      </c>
      <c r="M122" s="41"/>
      <c r="N122" s="17">
        <f>SUM(K122:L122)</f>
        <v>-0.12</v>
      </c>
      <c r="O122" s="41"/>
      <c r="P122" s="41"/>
      <c r="Q122" s="41"/>
      <c r="R122" s="41"/>
      <c r="S122" s="42">
        <f>ROUND($B122*S$99*S121,2)</f>
        <v>0</v>
      </c>
      <c r="T122" s="42">
        <f>ROUND($B122*T$99,2)</f>
        <v>0</v>
      </c>
      <c r="U122" s="42">
        <f>ROUND($B122*U$99,2)</f>
        <v>0</v>
      </c>
      <c r="V122" s="41">
        <f>ROUND($B122*V89,2)</f>
        <v>0</v>
      </c>
      <c r="W122" s="42">
        <f>ROUND($B122*W$99,2)</f>
        <v>0</v>
      </c>
      <c r="X122" s="42">
        <f>ROUND($B122*X$99,2)</f>
        <v>-0.01</v>
      </c>
      <c r="Y122" s="42">
        <f>ROUND($B122*Y$99,2)</f>
        <v>0</v>
      </c>
      <c r="Z122" s="42">
        <f>ROUND($B122*Z$99,2)</f>
        <v>0</v>
      </c>
      <c r="AA122" s="42">
        <f>ROUND($B122*AA$99,2)</f>
        <v>0</v>
      </c>
      <c r="AB122" s="19">
        <f>SUM(U$99:AA$99)+(-V$99+V88)</f>
        <v>1.6456999999999999E-2</v>
      </c>
      <c r="AC122" s="94" t="str">
        <f>+F122</f>
        <v>SS7</v>
      </c>
    </row>
    <row r="123" spans="1:29" x14ac:dyDescent="0.2">
      <c r="B123" s="103">
        <v>-1</v>
      </c>
      <c r="C123" s="9"/>
      <c r="G123" s="17"/>
      <c r="H123" s="19"/>
      <c r="I123" s="19"/>
      <c r="J123" s="16"/>
      <c r="K123" s="16"/>
      <c r="L123" s="16"/>
      <c r="M123" s="8"/>
      <c r="N123" s="8"/>
      <c r="O123" s="8"/>
      <c r="P123" s="8"/>
      <c r="Q123" s="8"/>
      <c r="R123" s="8"/>
      <c r="S123" s="50">
        <v>1</v>
      </c>
      <c r="T123" s="17"/>
      <c r="U123" s="17"/>
      <c r="V123" s="8"/>
      <c r="W123" s="17"/>
      <c r="X123" s="17"/>
      <c r="Y123" s="17"/>
      <c r="Z123" s="17"/>
      <c r="AA123" s="17"/>
      <c r="AB123" s="19"/>
      <c r="AC123" s="67"/>
    </row>
    <row r="124" spans="1:29" x14ac:dyDescent="0.2">
      <c r="A124" s="96"/>
      <c r="B124" s="103">
        <f>IF(AND('AES Indiana Bill Calc.'!$D$17="SS",'AES Indiana Bill Calc.'!$D$18="Yes 100%",'AES Indiana Bill Calc.'!$D$20="Yes 2018"),'AES Indiana Bill Calc.'!$D$19,-1)</f>
        <v>-1</v>
      </c>
      <c r="C124" s="1" t="s">
        <v>138</v>
      </c>
      <c r="F124" s="36" t="s">
        <v>156</v>
      </c>
      <c r="G124" s="17">
        <f>SUM(J124:M124,O124:P124,R124:AA124)</f>
        <v>39.870000000000005</v>
      </c>
      <c r="H124" s="19" t="e">
        <f>IF(ISBLANK(B124),0,+#REF!/B124)</f>
        <v>#REF!</v>
      </c>
      <c r="I124" s="19"/>
      <c r="J124" s="82">
        <f>IF(ISBLANK(B124),0,IF(B124&gt;J$100,+J$99,+F$99))</f>
        <v>40</v>
      </c>
      <c r="K124" s="82">
        <f>IF($B124&gt;K$100,ROUND(K$100*K$99,2),ROUND($B124*K$99,2))</f>
        <v>-0.12</v>
      </c>
      <c r="L124" s="82">
        <f>IF($B124&gt;K$100,ROUND(($B124-K$100)*L$99,2),0)</f>
        <v>0</v>
      </c>
      <c r="M124" s="41"/>
      <c r="N124" s="17">
        <f>SUM(K124:L124)</f>
        <v>-0.12</v>
      </c>
      <c r="O124" s="41"/>
      <c r="P124" s="41"/>
      <c r="Q124" s="41"/>
      <c r="R124" s="41"/>
      <c r="S124" s="42">
        <f>ROUND($B124*S$99*S113,2)</f>
        <v>0</v>
      </c>
      <c r="T124" s="42">
        <f>ROUND($B124*T$99,2)</f>
        <v>0</v>
      </c>
      <c r="U124" s="42">
        <f>ROUND($B124*U$99,2)</f>
        <v>0</v>
      </c>
      <c r="V124" s="41">
        <f>ROUND($B124*V$90,2)</f>
        <v>0</v>
      </c>
      <c r="W124" s="42">
        <f>ROUND($B124*W$99,2)</f>
        <v>0</v>
      </c>
      <c r="X124" s="42">
        <f>ROUND($B124*X$99,2)</f>
        <v>-0.01</v>
      </c>
      <c r="Y124" s="42">
        <f>ROUND($B124*Y$99,2)</f>
        <v>0</v>
      </c>
      <c r="Z124" s="42">
        <f>ROUND($B124*Z$99,2)</f>
        <v>0</v>
      </c>
      <c r="AA124" s="42">
        <f>ROUND($B124*AA$99,2)</f>
        <v>0</v>
      </c>
      <c r="AB124" s="19" t="e">
        <f>SUM(U$99:AA$99)+(-V$99+#REF!)</f>
        <v>#REF!</v>
      </c>
      <c r="AC124" s="94" t="str">
        <f>+F124</f>
        <v>SS8</v>
      </c>
    </row>
    <row r="125" spans="1:29" x14ac:dyDescent="0.2">
      <c r="B125" s="103">
        <v>-1</v>
      </c>
      <c r="C125" s="9"/>
      <c r="G125" s="17"/>
      <c r="H125" s="19"/>
      <c r="I125" s="19"/>
      <c r="J125" s="16"/>
      <c r="K125" s="16"/>
      <c r="L125" s="16"/>
      <c r="M125" s="8"/>
      <c r="N125" s="8"/>
      <c r="O125" s="8"/>
      <c r="P125" s="8"/>
      <c r="Q125" s="8"/>
      <c r="R125" s="8"/>
      <c r="S125" s="50">
        <v>0.5</v>
      </c>
      <c r="T125" s="17"/>
      <c r="U125" s="17"/>
      <c r="V125" s="8"/>
      <c r="W125" s="17"/>
      <c r="X125" s="17"/>
      <c r="Y125" s="17"/>
      <c r="Z125" s="17"/>
      <c r="AA125" s="17"/>
      <c r="AB125" s="19"/>
      <c r="AC125" s="67"/>
    </row>
    <row r="126" spans="1:29" x14ac:dyDescent="0.2">
      <c r="A126" s="96"/>
      <c r="B126" s="103">
        <f>IF(AND('AES Indiana Bill Calc.'!$D$17="SS",'AES Indiana Bill Calc.'!$D$18="Yes 50%",'AES Indiana Bill Calc.'!$D$20="Yes 2018"),'AES Indiana Bill Calc.'!$D$19,-1)</f>
        <v>-1</v>
      </c>
      <c r="C126" s="1" t="s">
        <v>139</v>
      </c>
      <c r="F126" s="36" t="s">
        <v>156</v>
      </c>
      <c r="G126" s="17">
        <f>SUM(J126:M126,O126:P126,R126:AA126)</f>
        <v>39.870000000000005</v>
      </c>
      <c r="H126" s="19" t="e">
        <f>IF(ISBLANK(B126),0,+#REF!/B126)</f>
        <v>#REF!</v>
      </c>
      <c r="I126" s="19"/>
      <c r="J126" s="82">
        <f>IF(ISBLANK(B126),0,IF(B126&gt;J$100,+J$99,+F$99))</f>
        <v>40</v>
      </c>
      <c r="K126" s="82">
        <f>IF($B126&gt;K$100,ROUND(K$100*K$99,2),ROUND($B126*K$99,2))</f>
        <v>-0.12</v>
      </c>
      <c r="L126" s="82">
        <f>IF($B126&gt;K$100,ROUND(($B126-K$100)*L$99,2),0)</f>
        <v>0</v>
      </c>
      <c r="M126" s="41"/>
      <c r="N126" s="17">
        <f>SUM(K126:L126)</f>
        <v>-0.12</v>
      </c>
      <c r="O126" s="41"/>
      <c r="P126" s="41"/>
      <c r="Q126" s="41"/>
      <c r="R126" s="41"/>
      <c r="S126" s="42">
        <f>ROUND($B126*S$99*S125,2)</f>
        <v>0</v>
      </c>
      <c r="T126" s="42">
        <f>ROUND($B126*T$99,2)</f>
        <v>0</v>
      </c>
      <c r="U126" s="42">
        <f>ROUND($B126*U$99,2)</f>
        <v>0</v>
      </c>
      <c r="V126" s="41">
        <f>ROUND($B126*V$90,2)</f>
        <v>0</v>
      </c>
      <c r="W126" s="42">
        <f>ROUND($B126*W$99,2)</f>
        <v>0</v>
      </c>
      <c r="X126" s="42">
        <f>ROUND($B126*X$99,2)</f>
        <v>-0.01</v>
      </c>
      <c r="Y126" s="42">
        <f>ROUND($B126*Y$99,2)</f>
        <v>0</v>
      </c>
      <c r="Z126" s="42">
        <f>ROUND($B126*Z$99,2)</f>
        <v>0</v>
      </c>
      <c r="AA126" s="42">
        <f>ROUND($B126*AA$99,2)</f>
        <v>0</v>
      </c>
      <c r="AB126" s="19">
        <f>SUM(U$99:AA$99)+(-V$99+V91)</f>
        <v>1.6456999999999999E-2</v>
      </c>
      <c r="AC126" s="94" t="str">
        <f>+F126</f>
        <v>SS8</v>
      </c>
    </row>
    <row r="127" spans="1:29" x14ac:dyDescent="0.2">
      <c r="B127" s="103">
        <v>-1</v>
      </c>
      <c r="C127" s="9"/>
      <c r="G127" s="17"/>
      <c r="H127" s="19"/>
      <c r="I127" s="19"/>
      <c r="J127" s="16"/>
      <c r="K127" s="16"/>
      <c r="L127" s="16"/>
      <c r="M127" s="8"/>
      <c r="N127" s="8"/>
      <c r="O127" s="8"/>
      <c r="P127" s="8"/>
      <c r="Q127" s="8"/>
      <c r="R127" s="8"/>
      <c r="S127" s="50">
        <v>0.25</v>
      </c>
      <c r="T127" s="17"/>
      <c r="U127" s="17"/>
      <c r="V127" s="8"/>
      <c r="W127" s="17"/>
      <c r="X127" s="17"/>
      <c r="Y127" s="17"/>
      <c r="Z127" s="17"/>
      <c r="AA127" s="17"/>
      <c r="AB127" s="19"/>
      <c r="AC127" s="67"/>
    </row>
    <row r="128" spans="1:29" x14ac:dyDescent="0.2">
      <c r="A128" s="96"/>
      <c r="B128" s="103">
        <f>IF(AND('AES Indiana Bill Calc.'!$D$17="SS",'AES Indiana Bill Calc.'!$D$18="Yes 25%",'AES Indiana Bill Calc.'!$D$20="Yes 2018"),'AES Indiana Bill Calc.'!$D$19,-1)</f>
        <v>-1</v>
      </c>
      <c r="C128" s="1" t="s">
        <v>140</v>
      </c>
      <c r="F128" s="36" t="s">
        <v>156</v>
      </c>
      <c r="G128" s="17">
        <f>SUM(J128:M128,O128:P128,R128:AA128)</f>
        <v>39.870000000000005</v>
      </c>
      <c r="H128" s="19" t="e">
        <f>IF(ISBLANK(B128),0,+#REF!/B128)</f>
        <v>#REF!</v>
      </c>
      <c r="I128" s="19"/>
      <c r="J128" s="82">
        <f>IF(ISBLANK(B128),0,IF(B128&gt;J$100,+J$99,+F$99))</f>
        <v>40</v>
      </c>
      <c r="K128" s="82">
        <f>IF($B128&gt;K$100,ROUND(K$100*K$99,2),ROUND($B128*K$99,2))</f>
        <v>-0.12</v>
      </c>
      <c r="L128" s="82">
        <f>IF($B128&gt;K$100,ROUND(($B128-K$100)*L$99,2),0)</f>
        <v>0</v>
      </c>
      <c r="M128" s="41"/>
      <c r="N128" s="17">
        <f>SUM(K128:L128)</f>
        <v>-0.12</v>
      </c>
      <c r="O128" s="41"/>
      <c r="P128" s="41"/>
      <c r="Q128" s="41"/>
      <c r="R128" s="41"/>
      <c r="S128" s="42">
        <f>ROUND($B128*S$99*S127,2)</f>
        <v>0</v>
      </c>
      <c r="T128" s="42">
        <f>ROUND($B128*T$99,2)</f>
        <v>0</v>
      </c>
      <c r="U128" s="42">
        <f>ROUND($B128*U$99,2)</f>
        <v>0</v>
      </c>
      <c r="V128" s="41">
        <f>ROUND($B128*V$90,2)</f>
        <v>0</v>
      </c>
      <c r="W128" s="42">
        <f>ROUND($B128*W$99,2)</f>
        <v>0</v>
      </c>
      <c r="X128" s="42">
        <f>ROUND($B128*X$99,2)</f>
        <v>-0.01</v>
      </c>
      <c r="Y128" s="42">
        <f>ROUND($B128*Y$99,2)</f>
        <v>0</v>
      </c>
      <c r="Z128" s="42">
        <f>ROUND($B128*Z$99,2)</f>
        <v>0</v>
      </c>
      <c r="AA128" s="42">
        <f>ROUND($B128*AA$99,2)</f>
        <v>0</v>
      </c>
      <c r="AB128" s="19">
        <f>SUM(U$99:AA$99)+(-V$99+V93)</f>
        <v>1.3934999999999999E-2</v>
      </c>
      <c r="AC128" s="94" t="str">
        <f>+F128</f>
        <v>SS8</v>
      </c>
    </row>
    <row r="129" spans="1:29" x14ac:dyDescent="0.2">
      <c r="B129" s="103">
        <v>-1</v>
      </c>
      <c r="C129" s="9"/>
      <c r="G129" s="17"/>
      <c r="H129" s="19"/>
      <c r="I129" s="19"/>
      <c r="J129" s="16"/>
      <c r="K129" s="16"/>
      <c r="L129" s="16"/>
      <c r="M129" s="8"/>
      <c r="N129" s="8"/>
      <c r="O129" s="8"/>
      <c r="P129" s="8"/>
      <c r="Q129" s="8"/>
      <c r="R129" s="8"/>
      <c r="S129" s="50">
        <v>0.1</v>
      </c>
      <c r="T129" s="17"/>
      <c r="U129" s="17"/>
      <c r="V129" s="8"/>
      <c r="W129" s="17"/>
      <c r="X129" s="17"/>
      <c r="Y129" s="17"/>
      <c r="Z129" s="17"/>
      <c r="AA129" s="17"/>
      <c r="AB129" s="19"/>
      <c r="AC129" s="67"/>
    </row>
    <row r="130" spans="1:29" x14ac:dyDescent="0.2">
      <c r="A130" s="96"/>
      <c r="B130" s="103">
        <f>IF(AND('AES Indiana Bill Calc.'!$D$17="SS",'AES Indiana Bill Calc.'!$D$18="Yes 10%",'AES Indiana Bill Calc.'!$D$20="Yes 2018"),'AES Indiana Bill Calc.'!$D$19,-1)</f>
        <v>-1</v>
      </c>
      <c r="C130" s="1" t="s">
        <v>154</v>
      </c>
      <c r="F130" s="36" t="s">
        <v>156</v>
      </c>
      <c r="G130" s="17">
        <f>SUM(J130:M130,O130:P130,R130:AA130)</f>
        <v>39.870000000000005</v>
      </c>
      <c r="H130" s="19" t="e">
        <f>IF(ISBLANK(B130),0,+#REF!/B130)</f>
        <v>#REF!</v>
      </c>
      <c r="I130" s="19"/>
      <c r="J130" s="82">
        <f>IF(ISBLANK(B130),0,IF(B130&gt;J$100,+J$99,+F$99))</f>
        <v>40</v>
      </c>
      <c r="K130" s="82">
        <f>IF($B130&gt;K$100,ROUND(K$100*K$99,2),ROUND($B130*K$99,2))</f>
        <v>-0.12</v>
      </c>
      <c r="L130" s="82">
        <f>IF($B130&gt;K$100,ROUND(($B130-K$100)*L$99,2),0)</f>
        <v>0</v>
      </c>
      <c r="M130" s="41"/>
      <c r="N130" s="17">
        <f>SUM(K130:L130)</f>
        <v>-0.12</v>
      </c>
      <c r="O130" s="41"/>
      <c r="P130" s="41"/>
      <c r="Q130" s="41"/>
      <c r="R130" s="41"/>
      <c r="S130" s="42">
        <f>ROUND($B130*S$99*S129,2)</f>
        <v>0</v>
      </c>
      <c r="T130" s="42">
        <f>ROUND($B130*T$99,2)</f>
        <v>0</v>
      </c>
      <c r="U130" s="42">
        <f>ROUND($B130*U$99,2)</f>
        <v>0</v>
      </c>
      <c r="V130" s="41">
        <f>ROUND($B130*V$90,2)</f>
        <v>0</v>
      </c>
      <c r="W130" s="42">
        <f>ROUND($B130*W$99,2)</f>
        <v>0</v>
      </c>
      <c r="X130" s="42">
        <f>ROUND($B130*X$99,2)</f>
        <v>-0.01</v>
      </c>
      <c r="Y130" s="42">
        <f>ROUND($B130*Y$99,2)</f>
        <v>0</v>
      </c>
      <c r="Z130" s="42">
        <f>ROUND($B130*Z$99,2)</f>
        <v>0</v>
      </c>
      <c r="AA130" s="42">
        <f>ROUND($B130*AA$99,2)</f>
        <v>0</v>
      </c>
      <c r="AB130" s="19">
        <f>SUM(U$99:AA$99)+(-V$99+V94)</f>
        <v>1.6456999999999999E-2</v>
      </c>
      <c r="AC130" s="94" t="str">
        <f>+F130</f>
        <v>SS8</v>
      </c>
    </row>
    <row r="131" spans="1:29" x14ac:dyDescent="0.2">
      <c r="B131" s="103">
        <v>-1</v>
      </c>
      <c r="C131" s="9"/>
      <c r="G131" s="17"/>
      <c r="H131" s="19"/>
      <c r="I131" s="19"/>
      <c r="J131" s="16"/>
      <c r="K131" s="16"/>
      <c r="L131" s="16"/>
      <c r="M131" s="8"/>
      <c r="N131" s="8"/>
      <c r="O131" s="8"/>
      <c r="P131" s="8"/>
      <c r="Q131" s="8"/>
      <c r="R131" s="8"/>
      <c r="S131" s="50">
        <v>0</v>
      </c>
      <c r="T131" s="17"/>
      <c r="U131" s="17"/>
      <c r="V131" s="8"/>
      <c r="W131" s="17"/>
      <c r="X131" s="17"/>
      <c r="Y131" s="17"/>
      <c r="Z131" s="17"/>
      <c r="AA131" s="17"/>
      <c r="AB131" s="19"/>
      <c r="AC131" s="67"/>
    </row>
    <row r="132" spans="1:29" x14ac:dyDescent="0.2">
      <c r="A132" s="96"/>
      <c r="B132" s="103">
        <f>IF(AND('AES Indiana Bill Calc.'!$D$17="SS",'AES Indiana Bill Calc.'!$D$18="No",'AES Indiana Bill Calc.'!$D$20="Yes 2018"),'AES Indiana Bill Calc.'!$D$19,-1)</f>
        <v>-1</v>
      </c>
      <c r="C132" s="1" t="s">
        <v>137</v>
      </c>
      <c r="F132" s="36" t="s">
        <v>156</v>
      </c>
      <c r="G132" s="17">
        <f>SUM(J132:M132,O132:P132,R132:AA132)</f>
        <v>39.870000000000005</v>
      </c>
      <c r="H132" s="19" t="e">
        <f>IF(ISBLANK(B132),0,+#REF!/B132)</f>
        <v>#REF!</v>
      </c>
      <c r="I132" s="19"/>
      <c r="J132" s="82">
        <f>IF(ISBLANK(B132),0,IF(B132&gt;J$100,+J$99,+F$99))</f>
        <v>40</v>
      </c>
      <c r="K132" s="82">
        <f>IF($B132&gt;K$100,ROUND(K$100*K$99,2),ROUND($B132*K$99,2))</f>
        <v>-0.12</v>
      </c>
      <c r="L132" s="82">
        <f>IF($B132&gt;K$100,ROUND(($B132-K$100)*L$99,2),0)</f>
        <v>0</v>
      </c>
      <c r="M132" s="41"/>
      <c r="N132" s="17">
        <f>SUM(K132:L132)</f>
        <v>-0.12</v>
      </c>
      <c r="O132" s="41"/>
      <c r="P132" s="41"/>
      <c r="Q132" s="41"/>
      <c r="R132" s="41"/>
      <c r="S132" s="42">
        <f>ROUND($B132*S$99*S131,2)</f>
        <v>0</v>
      </c>
      <c r="T132" s="42">
        <f>ROUND($B132*T$99,2)</f>
        <v>0</v>
      </c>
      <c r="U132" s="42">
        <f>ROUND($B132*U$99,2)</f>
        <v>0</v>
      </c>
      <c r="V132" s="41">
        <f>ROUND($B132*V$90,2)</f>
        <v>0</v>
      </c>
      <c r="W132" s="42">
        <f>ROUND($B132*W$99,2)</f>
        <v>0</v>
      </c>
      <c r="X132" s="42">
        <f>ROUND($B132*X$99,2)</f>
        <v>-0.01</v>
      </c>
      <c r="Y132" s="42">
        <f>ROUND($B132*Y$99,2)</f>
        <v>0</v>
      </c>
      <c r="Z132" s="42">
        <f>ROUND($B132*Z$99,2)</f>
        <v>0</v>
      </c>
      <c r="AA132" s="42">
        <f>ROUND($B132*AA$99,2)</f>
        <v>0</v>
      </c>
      <c r="AB132" s="19" t="e">
        <f>SUM(U$99:AA$99)+(-V$99+V102)</f>
        <v>#VALUE!</v>
      </c>
      <c r="AC132" s="94" t="str">
        <f>+F132</f>
        <v>SS8</v>
      </c>
    </row>
    <row r="133" spans="1:29" x14ac:dyDescent="0.2">
      <c r="B133" s="103">
        <v>-1</v>
      </c>
      <c r="C133" s="9"/>
      <c r="G133" s="17"/>
      <c r="H133" s="19"/>
      <c r="I133" s="19"/>
      <c r="J133" s="16"/>
      <c r="K133" s="16"/>
      <c r="L133" s="16"/>
      <c r="M133" s="8"/>
      <c r="N133" s="8"/>
      <c r="O133" s="8"/>
      <c r="P133" s="8"/>
      <c r="Q133" s="8"/>
      <c r="R133" s="8"/>
      <c r="S133" s="50">
        <v>1</v>
      </c>
      <c r="T133" s="17"/>
      <c r="U133" s="17"/>
      <c r="V133" s="8"/>
      <c r="W133" s="17"/>
      <c r="X133" s="17"/>
      <c r="Y133" s="17"/>
      <c r="Z133" s="17"/>
      <c r="AA133" s="17"/>
      <c r="AB133" s="19"/>
      <c r="AC133" s="67"/>
    </row>
    <row r="134" spans="1:29" x14ac:dyDescent="0.2">
      <c r="A134" s="96"/>
      <c r="B134" s="103">
        <f>IF(AND('AES Indiana Bill Calc.'!$D$17="SS",'AES Indiana Bill Calc.'!$D$18="Yes 100%",'AES Indiana Bill Calc.'!$D$20="Yes 2019"),'AES Indiana Bill Calc.'!$D$19,-1)</f>
        <v>-1</v>
      </c>
      <c r="C134" s="1" t="s">
        <v>138</v>
      </c>
      <c r="F134" s="36" t="s">
        <v>157</v>
      </c>
      <c r="G134" s="17">
        <f>SUM(J134:M134,O134:P134,R134:AA134)</f>
        <v>39.870000000000005</v>
      </c>
      <c r="H134" s="19" t="e">
        <f>IF(ISBLANK(B134),0,+#REF!/B134)</f>
        <v>#REF!</v>
      </c>
      <c r="I134" s="19"/>
      <c r="J134" s="82">
        <f>IF(ISBLANK(B134),0,IF(B134&gt;J$100,+J$99,+F$99))</f>
        <v>40</v>
      </c>
      <c r="K134" s="82">
        <f>IF($B134&gt;K$100,ROUND(K$100*K$99,2),ROUND($B134*K$99,2))</f>
        <v>-0.12</v>
      </c>
      <c r="L134" s="82">
        <f>IF($B134&gt;K$100,ROUND(($B134-K$100)*L$99,2),0)</f>
        <v>0</v>
      </c>
      <c r="M134" s="41"/>
      <c r="N134" s="17">
        <f>SUM(K134:L134)</f>
        <v>-0.12</v>
      </c>
      <c r="O134" s="41"/>
      <c r="P134" s="41"/>
      <c r="Q134" s="41"/>
      <c r="R134" s="41"/>
      <c r="S134" s="42">
        <f>ROUND($B134*S$99*S133,2)</f>
        <v>0</v>
      </c>
      <c r="T134" s="42">
        <f>ROUND($B134*T$99,2)</f>
        <v>0</v>
      </c>
      <c r="U134" s="42">
        <f>ROUND($B134*U$99,2)</f>
        <v>0</v>
      </c>
      <c r="V134" s="41">
        <f>ROUND($B134*V$91,2)</f>
        <v>0</v>
      </c>
      <c r="W134" s="42">
        <f>ROUND($B134*W$99,2)</f>
        <v>0</v>
      </c>
      <c r="X134" s="42">
        <f>ROUND($B134*X$99,2)</f>
        <v>-0.01</v>
      </c>
      <c r="Y134" s="42">
        <f>ROUND($B134*Y$99,2)</f>
        <v>0</v>
      </c>
      <c r="Z134" s="42">
        <f>ROUND($B134*Z$99,2)</f>
        <v>0</v>
      </c>
      <c r="AA134" s="42">
        <f>ROUND($B134*AA$99,2)</f>
        <v>0</v>
      </c>
      <c r="AB134" s="19">
        <f>SUM(U$99:AA$99)+(-V$99+V104)</f>
        <v>6.4570000000000009E-3</v>
      </c>
      <c r="AC134" s="94" t="str">
        <f>+F134</f>
        <v>SS9</v>
      </c>
    </row>
    <row r="135" spans="1:29" x14ac:dyDescent="0.2">
      <c r="B135" s="103">
        <v>-1</v>
      </c>
      <c r="C135" s="9"/>
      <c r="G135" s="17"/>
      <c r="H135" s="19"/>
      <c r="I135" s="19"/>
      <c r="J135" s="16"/>
      <c r="K135" s="16"/>
      <c r="L135" s="16"/>
      <c r="M135" s="8"/>
      <c r="N135" s="8"/>
      <c r="O135" s="8"/>
      <c r="P135" s="8"/>
      <c r="Q135" s="8"/>
      <c r="R135" s="8"/>
      <c r="S135" s="50">
        <v>0.5</v>
      </c>
      <c r="T135" s="17"/>
      <c r="U135" s="17"/>
      <c r="V135" s="8"/>
      <c r="W135" s="17"/>
      <c r="X135" s="17"/>
      <c r="Y135" s="17"/>
      <c r="Z135" s="17"/>
      <c r="AA135" s="17"/>
      <c r="AB135" s="19"/>
      <c r="AC135" s="67"/>
    </row>
    <row r="136" spans="1:29" x14ac:dyDescent="0.2">
      <c r="A136" s="96"/>
      <c r="B136" s="103">
        <f>IF(AND('AES Indiana Bill Calc.'!$D$17="SS",'AES Indiana Bill Calc.'!$D$18="Yes 50%",'AES Indiana Bill Calc.'!$D$20="Yes 2019"),'AES Indiana Bill Calc.'!$D$19,-1)</f>
        <v>-1</v>
      </c>
      <c r="C136" s="1" t="s">
        <v>139</v>
      </c>
      <c r="F136" s="36" t="s">
        <v>157</v>
      </c>
      <c r="G136" s="17">
        <f>SUM(J136:M136,O136:P136,R136:AA136)</f>
        <v>39.870000000000005</v>
      </c>
      <c r="H136" s="19" t="e">
        <f>IF(ISBLANK(B136),0,+#REF!/B136)</f>
        <v>#REF!</v>
      </c>
      <c r="I136" s="19"/>
      <c r="J136" s="82">
        <f>IF(ISBLANK(B136),0,IF(B136&gt;J$100,+J$99,+F$99))</f>
        <v>40</v>
      </c>
      <c r="K136" s="82">
        <f>IF($B136&gt;K$100,ROUND(K$100*K$99,2),ROUND($B136*K$99,2))</f>
        <v>-0.12</v>
      </c>
      <c r="L136" s="82">
        <f>IF($B136&gt;K$100,ROUND(($B136-K$100)*L$99,2),0)</f>
        <v>0</v>
      </c>
      <c r="M136" s="41"/>
      <c r="N136" s="17">
        <f>SUM(K136:L136)</f>
        <v>-0.12</v>
      </c>
      <c r="O136" s="41"/>
      <c r="P136" s="41"/>
      <c r="Q136" s="41"/>
      <c r="R136" s="41"/>
      <c r="S136" s="42">
        <f>ROUND($B136*S$99*S135,2)</f>
        <v>0</v>
      </c>
      <c r="T136" s="42">
        <f>ROUND($B136*T$99,2)</f>
        <v>0</v>
      </c>
      <c r="U136" s="42">
        <f>ROUND($B136*U$99,2)</f>
        <v>0</v>
      </c>
      <c r="V136" s="41">
        <f>ROUND($B136*V$91,2)</f>
        <v>0</v>
      </c>
      <c r="W136" s="42">
        <f>ROUND($B136*W$99,2)</f>
        <v>0</v>
      </c>
      <c r="X136" s="42">
        <f>ROUND($B136*X$99,2)</f>
        <v>-0.01</v>
      </c>
      <c r="Y136" s="42">
        <f>ROUND($B136*Y$99,2)</f>
        <v>0</v>
      </c>
      <c r="Z136" s="42">
        <f>ROUND($B136*Z$99,2)</f>
        <v>0</v>
      </c>
      <c r="AA136" s="42">
        <f>ROUND($B136*AA$99,2)</f>
        <v>0</v>
      </c>
      <c r="AB136" s="19">
        <f>SUM(U$99:AA$99)+(-V$99+V106)</f>
        <v>6.4570000000000009E-3</v>
      </c>
      <c r="AC136" s="94" t="str">
        <f>+F136</f>
        <v>SS9</v>
      </c>
    </row>
    <row r="137" spans="1:29" x14ac:dyDescent="0.2">
      <c r="B137" s="103">
        <v>-1</v>
      </c>
      <c r="C137" s="9"/>
      <c r="G137" s="17"/>
      <c r="H137" s="19"/>
      <c r="I137" s="19"/>
      <c r="J137" s="16"/>
      <c r="K137" s="16"/>
      <c r="L137" s="16"/>
      <c r="M137" s="8"/>
      <c r="N137" s="8"/>
      <c r="O137" s="8"/>
      <c r="P137" s="8"/>
      <c r="Q137" s="8"/>
      <c r="R137" s="8"/>
      <c r="S137" s="50">
        <v>0.25</v>
      </c>
      <c r="T137" s="17"/>
      <c r="U137" s="17"/>
      <c r="V137" s="8"/>
      <c r="W137" s="17"/>
      <c r="X137" s="17"/>
      <c r="Y137" s="17"/>
      <c r="Z137" s="17"/>
      <c r="AA137" s="17"/>
      <c r="AB137" s="19"/>
      <c r="AC137" s="67"/>
    </row>
    <row r="138" spans="1:29" x14ac:dyDescent="0.2">
      <c r="A138" s="96"/>
      <c r="B138" s="103">
        <f>IF(AND('AES Indiana Bill Calc.'!$D$17="SS",'AES Indiana Bill Calc.'!$D$18="Yes 25%",'AES Indiana Bill Calc.'!$D$20="Yes 2019"),'AES Indiana Bill Calc.'!$D$19,-1)</f>
        <v>-1</v>
      </c>
      <c r="C138" s="1" t="s">
        <v>140</v>
      </c>
      <c r="F138" s="36" t="s">
        <v>157</v>
      </c>
      <c r="G138" s="17">
        <f>SUM(J138:M138,O138:P138,R138:AA138)</f>
        <v>39.870000000000005</v>
      </c>
      <c r="H138" s="19" t="e">
        <f>IF(ISBLANK(B138),0,+#REF!/B138)</f>
        <v>#REF!</v>
      </c>
      <c r="I138" s="19"/>
      <c r="J138" s="82">
        <f>IF(ISBLANK(B138),0,IF(B138&gt;J$100,+J$99,+F$99))</f>
        <v>40</v>
      </c>
      <c r="K138" s="82">
        <f>IF($B138&gt;K$100,ROUND(K$100*K$99,2),ROUND($B138*K$99,2))</f>
        <v>-0.12</v>
      </c>
      <c r="L138" s="82">
        <f>IF($B138&gt;K$100,ROUND(($B138-K$100)*L$99,2),0)</f>
        <v>0</v>
      </c>
      <c r="M138" s="41"/>
      <c r="N138" s="17">
        <f>SUM(K138:L138)</f>
        <v>-0.12</v>
      </c>
      <c r="O138" s="41"/>
      <c r="P138" s="41"/>
      <c r="Q138" s="41"/>
      <c r="R138" s="41"/>
      <c r="S138" s="42">
        <f>ROUND($B138*S$99*S137,2)</f>
        <v>0</v>
      </c>
      <c r="T138" s="42">
        <f>ROUND($B138*T$99,2)</f>
        <v>0</v>
      </c>
      <c r="U138" s="42">
        <f>ROUND($B138*U$99,2)</f>
        <v>0</v>
      </c>
      <c r="V138" s="41">
        <f>ROUND($B138*V$91,2)</f>
        <v>0</v>
      </c>
      <c r="W138" s="42">
        <f>ROUND($B138*W$99,2)</f>
        <v>0</v>
      </c>
      <c r="X138" s="42">
        <f>ROUND($B138*X$99,2)</f>
        <v>-0.01</v>
      </c>
      <c r="Y138" s="42">
        <f>ROUND($B138*Y$99,2)</f>
        <v>0</v>
      </c>
      <c r="Z138" s="42">
        <f>ROUND($B138*Z$99,2)</f>
        <v>0</v>
      </c>
      <c r="AA138" s="42">
        <f>ROUND($B138*AA$99,2)</f>
        <v>0</v>
      </c>
      <c r="AB138" s="19">
        <f>SUM(U$99:AA$99)+(-V$99+V108)</f>
        <v>6.4570000000000009E-3</v>
      </c>
      <c r="AC138" s="94" t="str">
        <f>+F138</f>
        <v>SS9</v>
      </c>
    </row>
    <row r="139" spans="1:29" x14ac:dyDescent="0.2">
      <c r="B139" s="103">
        <v>-1</v>
      </c>
      <c r="C139" s="9"/>
      <c r="G139" s="17"/>
      <c r="H139" s="19"/>
      <c r="I139" s="19"/>
      <c r="J139" s="16"/>
      <c r="K139" s="16"/>
      <c r="L139" s="16"/>
      <c r="M139" s="8"/>
      <c r="N139" s="8"/>
      <c r="O139" s="8"/>
      <c r="P139" s="8"/>
      <c r="Q139" s="8"/>
      <c r="R139" s="8"/>
      <c r="S139" s="50">
        <v>0.1</v>
      </c>
      <c r="T139" s="17"/>
      <c r="U139" s="17"/>
      <c r="V139" s="8"/>
      <c r="W139" s="17"/>
      <c r="X139" s="17"/>
      <c r="Y139" s="17"/>
      <c r="Z139" s="17"/>
      <c r="AA139" s="17"/>
      <c r="AB139" s="19"/>
      <c r="AC139" s="67"/>
    </row>
    <row r="140" spans="1:29" x14ac:dyDescent="0.2">
      <c r="A140" s="96"/>
      <c r="B140" s="103">
        <f>IF(AND('AES Indiana Bill Calc.'!$D$17="SS",'AES Indiana Bill Calc.'!$D$18="Yes 10%",'AES Indiana Bill Calc.'!$D$20="Yes 2019"),'AES Indiana Bill Calc.'!$D$19,-1)</f>
        <v>-1</v>
      </c>
      <c r="C140" s="1" t="s">
        <v>154</v>
      </c>
      <c r="F140" s="36" t="s">
        <v>157</v>
      </c>
      <c r="G140" s="17">
        <f>SUM(J140:M140,O140:P140,R140:AA140)</f>
        <v>39.870000000000005</v>
      </c>
      <c r="H140" s="19" t="e">
        <f>IF(ISBLANK(B140),0,+#REF!/B140)</f>
        <v>#REF!</v>
      </c>
      <c r="I140" s="19"/>
      <c r="J140" s="82">
        <f>IF(ISBLANK(B140),0,IF(B140&gt;J$100,+J$99,+F$99))</f>
        <v>40</v>
      </c>
      <c r="K140" s="82">
        <f>IF($B140&gt;K$100,ROUND(K$100*K$99,2),ROUND($B140*K$99,2))</f>
        <v>-0.12</v>
      </c>
      <c r="L140" s="82">
        <f>IF($B140&gt;K$100,ROUND(($B140-K$100)*L$99,2),0)</f>
        <v>0</v>
      </c>
      <c r="M140" s="41"/>
      <c r="N140" s="17">
        <f>SUM(K140:L140)</f>
        <v>-0.12</v>
      </c>
      <c r="O140" s="41"/>
      <c r="P140" s="41"/>
      <c r="Q140" s="41"/>
      <c r="R140" s="41"/>
      <c r="S140" s="42">
        <f>ROUND($B140*S$99*S139,2)</f>
        <v>0</v>
      </c>
      <c r="T140" s="42">
        <f>ROUND($B140*T$99,2)</f>
        <v>0</v>
      </c>
      <c r="U140" s="42">
        <f>ROUND($B140*U$99,2)</f>
        <v>0</v>
      </c>
      <c r="V140" s="41">
        <f>ROUND($B140*V$91,2)</f>
        <v>0</v>
      </c>
      <c r="W140" s="42">
        <f>ROUND($B140*W$99,2)</f>
        <v>0</v>
      </c>
      <c r="X140" s="42">
        <f>ROUND($B140*X$99,2)</f>
        <v>-0.01</v>
      </c>
      <c r="Y140" s="42">
        <f>ROUND($B140*Y$99,2)</f>
        <v>0</v>
      </c>
      <c r="Z140" s="42">
        <f>ROUND($B140*Z$99,2)</f>
        <v>0</v>
      </c>
      <c r="AA140" s="42">
        <f>ROUND($B140*AA$99,2)</f>
        <v>0</v>
      </c>
      <c r="AB140" s="19">
        <f>SUM(U$99:AA$99)+(-V$99+V110)</f>
        <v>6.4570000000000009E-3</v>
      </c>
      <c r="AC140" s="94" t="str">
        <f>+F140</f>
        <v>SS9</v>
      </c>
    </row>
    <row r="141" spans="1:29" x14ac:dyDescent="0.2">
      <c r="B141" s="2">
        <v>-1</v>
      </c>
      <c r="G141" s="17"/>
      <c r="H141" s="19"/>
      <c r="I141" s="19"/>
      <c r="J141" s="16"/>
      <c r="K141" s="16"/>
      <c r="L141" s="16"/>
      <c r="M141" s="8"/>
      <c r="N141" s="8"/>
      <c r="O141" s="8"/>
      <c r="P141" s="8"/>
      <c r="Q141" s="8"/>
      <c r="R141" s="8"/>
      <c r="S141" s="50">
        <v>0</v>
      </c>
      <c r="T141" s="17"/>
      <c r="U141" s="17"/>
      <c r="V141" s="8"/>
      <c r="W141" s="17"/>
      <c r="X141" s="17"/>
      <c r="Y141" s="17"/>
      <c r="Z141" s="17"/>
      <c r="AA141" s="17"/>
      <c r="AB141" s="19"/>
      <c r="AC141" s="67"/>
    </row>
    <row r="142" spans="1:29" x14ac:dyDescent="0.2">
      <c r="B142" s="103">
        <f>IF(AND('AES Indiana Bill Calc.'!$D$17="SS",'AES Indiana Bill Calc.'!$D$18="No",'AES Indiana Bill Calc.'!$D$20="Yes 2019"),'AES Indiana Bill Calc.'!$D$19,-1)</f>
        <v>-1</v>
      </c>
      <c r="C142" s="1" t="s">
        <v>137</v>
      </c>
      <c r="F142" s="36" t="s">
        <v>157</v>
      </c>
      <c r="G142" s="17">
        <f>SUM(J142:M142,O142:P142,R142:AA142)</f>
        <v>39.870000000000005</v>
      </c>
      <c r="H142" s="19" t="e">
        <f>IF(ISBLANK(B142),0,+#REF!/B142)</f>
        <v>#REF!</v>
      </c>
      <c r="I142" s="19"/>
      <c r="J142" s="82">
        <f>IF(ISBLANK(B142),0,IF(B142&gt;J$100,+J$99,+F$99))</f>
        <v>40</v>
      </c>
      <c r="K142" s="82">
        <f>IF($B142&gt;K$100,ROUND(K$100*K$99,2),ROUND($B142*K$99,2))</f>
        <v>-0.12</v>
      </c>
      <c r="L142" s="82">
        <f>IF($B142&gt;K$100,ROUND(($B142-K$100)*L$99,2),0)</f>
        <v>0</v>
      </c>
      <c r="M142" s="41"/>
      <c r="N142" s="17">
        <f>SUM(K142:L142)</f>
        <v>-0.12</v>
      </c>
      <c r="O142" s="41"/>
      <c r="P142" s="41"/>
      <c r="Q142" s="41"/>
      <c r="R142" s="41"/>
      <c r="S142" s="42">
        <f>ROUND($B142*S$99*S141,2)</f>
        <v>0</v>
      </c>
      <c r="T142" s="42">
        <f>ROUND($B142*T$99,2)</f>
        <v>0</v>
      </c>
      <c r="U142" s="42">
        <f>ROUND($B142*U$99,2)</f>
        <v>0</v>
      </c>
      <c r="V142" s="41">
        <f>ROUND($B142*V$91,2)</f>
        <v>0</v>
      </c>
      <c r="W142" s="42">
        <f>ROUND($B142*W$99,2)</f>
        <v>0</v>
      </c>
      <c r="X142" s="42">
        <f>ROUND($B142*X$99,2)</f>
        <v>-0.01</v>
      </c>
      <c r="Y142" s="42">
        <f>ROUND($B142*Y$99,2)</f>
        <v>0</v>
      </c>
      <c r="Z142" s="42">
        <f>ROUND($B142*Z$99,2)</f>
        <v>0</v>
      </c>
      <c r="AA142" s="42">
        <f>ROUND($B142*AA$99,2)</f>
        <v>0</v>
      </c>
      <c r="AB142" s="19">
        <f>SUM(U$99:AA$99)+(-V$99+V104)</f>
        <v>6.4570000000000009E-3</v>
      </c>
      <c r="AC142" s="94" t="str">
        <f>+F142</f>
        <v>SS9</v>
      </c>
    </row>
    <row r="143" spans="1:29" x14ac:dyDescent="0.2">
      <c r="B143" s="103">
        <v>-1</v>
      </c>
      <c r="C143" s="9"/>
      <c r="F143" s="36"/>
      <c r="S143" s="50">
        <v>1</v>
      </c>
    </row>
    <row r="144" spans="1:29" x14ac:dyDescent="0.2">
      <c r="B144" s="103">
        <f>IF(AND('AES Indiana Bill Calc.'!$D$17="SS",'AES Indiana Bill Calc.'!$D$18="Yes 100%",'AES Indiana Bill Calc.'!$D$20="Yes 2020"),'AES Indiana Bill Calc.'!$D$19,-1)</f>
        <v>-1</v>
      </c>
      <c r="C144" s="1" t="s">
        <v>138</v>
      </c>
      <c r="F144" s="36" t="s">
        <v>158</v>
      </c>
      <c r="G144" s="17">
        <f>SUM(J144:M144,O144:P144,R144:AA144)</f>
        <v>39.870000000000005</v>
      </c>
      <c r="H144" s="19" t="e">
        <f>IF(ISBLANK(B144),0,+#REF!/B144)</f>
        <v>#REF!</v>
      </c>
      <c r="I144" s="19"/>
      <c r="J144" s="82">
        <f>IF(ISBLANK(B144),0,IF(B144&gt;J$100,+J$99,+F$99))</f>
        <v>40</v>
      </c>
      <c r="K144" s="82">
        <f>IF($B144&gt;K$100,ROUND(K$100*K$99,2),ROUND($B144*K$99,2))</f>
        <v>-0.12</v>
      </c>
      <c r="L144" s="82">
        <f>IF($B144&gt;K$100,ROUND(($B144-K$100)*L$99,2),0)</f>
        <v>0</v>
      </c>
      <c r="M144" s="41"/>
      <c r="N144" s="17">
        <f>SUM(K144:L144)</f>
        <v>-0.12</v>
      </c>
      <c r="O144" s="41"/>
      <c r="P144" s="41"/>
      <c r="Q144" s="41"/>
      <c r="R144" s="41"/>
      <c r="S144" s="42">
        <f>ROUND($B144*S$99*S143,2)</f>
        <v>0</v>
      </c>
      <c r="T144" s="42">
        <f>ROUND($B144*T$99,2)</f>
        <v>0</v>
      </c>
      <c r="U144" s="42">
        <f>ROUND($B144*U$99,2)</f>
        <v>0</v>
      </c>
      <c r="V144" s="41">
        <f>ROUND($B144*V$92,2)</f>
        <v>0</v>
      </c>
      <c r="W144" s="42">
        <f>ROUND($B144*W$99,2)</f>
        <v>0</v>
      </c>
      <c r="X144" s="42">
        <f>ROUND($B144*X$99,2)</f>
        <v>-0.01</v>
      </c>
      <c r="Y144" s="42">
        <f>ROUND($B144*Y$99,2)</f>
        <v>0</v>
      </c>
      <c r="Z144" s="42">
        <f>ROUND($B144*Z$99,2)</f>
        <v>0</v>
      </c>
      <c r="AA144" s="42">
        <f>ROUND($B144*AA$99,2)</f>
        <v>0</v>
      </c>
      <c r="AB144" s="19">
        <f>SUM(U$99:AA$99)+(-V$99+V104)</f>
        <v>6.4570000000000009E-3</v>
      </c>
      <c r="AC144" s="94" t="str">
        <f>+F144</f>
        <v>SS0</v>
      </c>
    </row>
    <row r="145" spans="2:29" x14ac:dyDescent="0.2">
      <c r="B145" s="103">
        <v>-1</v>
      </c>
      <c r="C145" s="9"/>
      <c r="F145" s="36"/>
      <c r="S145" s="50">
        <v>0.5</v>
      </c>
    </row>
    <row r="146" spans="2:29" x14ac:dyDescent="0.2">
      <c r="B146" s="103">
        <f>IF(AND('AES Indiana Bill Calc.'!$D$17="SS",'AES Indiana Bill Calc.'!$D$18="Yes 50%",'AES Indiana Bill Calc.'!$D$20="Yes 2020"),'AES Indiana Bill Calc.'!$D$19,-1)</f>
        <v>-1</v>
      </c>
      <c r="C146" s="1" t="s">
        <v>139</v>
      </c>
      <c r="F146" s="36" t="s">
        <v>158</v>
      </c>
      <c r="G146" s="17">
        <f>SUM(J146:M146,O146:P146,R146:AA146)</f>
        <v>39.870000000000005</v>
      </c>
      <c r="H146" s="19" t="e">
        <f>IF(ISBLANK(B146),0,+#REF!/B146)</f>
        <v>#REF!</v>
      </c>
      <c r="I146" s="19"/>
      <c r="J146" s="82">
        <f>IF(ISBLANK(B146),0,IF(B146&gt;J$100,+J$99,+F$99))</f>
        <v>40</v>
      </c>
      <c r="K146" s="82">
        <f>IF($B146&gt;K$100,ROUND(K$100*K$99,2),ROUND($B146*K$99,2))</f>
        <v>-0.12</v>
      </c>
      <c r="L146" s="82">
        <f>IF($B146&gt;K$100,ROUND(($B146-K$100)*L$99,2),0)</f>
        <v>0</v>
      </c>
      <c r="M146" s="41"/>
      <c r="N146" s="17">
        <f>SUM(K146:L146)</f>
        <v>-0.12</v>
      </c>
      <c r="O146" s="41"/>
      <c r="P146" s="41"/>
      <c r="Q146" s="41"/>
      <c r="R146" s="41"/>
      <c r="S146" s="42">
        <f>ROUND($B146*S$99*S145,2)</f>
        <v>0</v>
      </c>
      <c r="T146" s="42">
        <f>ROUND($B146*T$99,2)</f>
        <v>0</v>
      </c>
      <c r="U146" s="42">
        <f>ROUND($B146*U$99,2)</f>
        <v>0</v>
      </c>
      <c r="V146" s="41">
        <f>ROUND($B146*V$92,2)</f>
        <v>0</v>
      </c>
      <c r="W146" s="42">
        <f>ROUND($B146*W$99,2)</f>
        <v>0</v>
      </c>
      <c r="X146" s="42">
        <f>ROUND($B146*X$99,2)</f>
        <v>-0.01</v>
      </c>
      <c r="Y146" s="42">
        <f>ROUND($B146*Y$99,2)</f>
        <v>0</v>
      </c>
      <c r="Z146" s="42">
        <f>ROUND($B146*Z$99,2)</f>
        <v>0</v>
      </c>
      <c r="AA146" s="42">
        <f>ROUND($B146*AA$99,2)</f>
        <v>0</v>
      </c>
      <c r="AB146" s="19">
        <f>SUM(U$99:AA$99)+(-V$99+V106)</f>
        <v>6.4570000000000009E-3</v>
      </c>
      <c r="AC146" s="94" t="str">
        <f>+F146</f>
        <v>SS0</v>
      </c>
    </row>
    <row r="147" spans="2:29" x14ac:dyDescent="0.2">
      <c r="B147" s="103">
        <v>-1</v>
      </c>
      <c r="C147" s="9"/>
      <c r="F147" s="36"/>
      <c r="S147" s="50">
        <v>0.25</v>
      </c>
    </row>
    <row r="148" spans="2:29" x14ac:dyDescent="0.2">
      <c r="B148" s="103">
        <f>IF(AND('AES Indiana Bill Calc.'!$D$17="SS",'AES Indiana Bill Calc.'!$D$18="Yes 25%",'AES Indiana Bill Calc.'!$D$20="Yes 2020"),'AES Indiana Bill Calc.'!$D$19,-1)</f>
        <v>-1</v>
      </c>
      <c r="C148" s="1" t="s">
        <v>140</v>
      </c>
      <c r="F148" s="36" t="s">
        <v>158</v>
      </c>
      <c r="G148" s="17">
        <f>SUM(J148:M148,O148:P148,R148:AA148)</f>
        <v>39.870000000000005</v>
      </c>
      <c r="H148" s="19" t="e">
        <f>IF(ISBLANK(B148),0,+#REF!/B148)</f>
        <v>#REF!</v>
      </c>
      <c r="I148" s="19"/>
      <c r="J148" s="82">
        <f>IF(ISBLANK(B148),0,IF(B148&gt;J$100,+J$99,+F$99))</f>
        <v>40</v>
      </c>
      <c r="K148" s="82">
        <f>IF($B148&gt;K$100,ROUND(K$100*K$99,2),ROUND($B148*K$99,2))</f>
        <v>-0.12</v>
      </c>
      <c r="L148" s="82">
        <f>IF($B148&gt;K$100,ROUND(($B148-K$100)*L$99,2),0)</f>
        <v>0</v>
      </c>
      <c r="M148" s="41"/>
      <c r="N148" s="17">
        <f>SUM(K148:L148)</f>
        <v>-0.12</v>
      </c>
      <c r="O148" s="41"/>
      <c r="P148" s="41"/>
      <c r="Q148" s="41"/>
      <c r="R148" s="41"/>
      <c r="S148" s="42">
        <f>ROUND($B148*S$99*S147,2)</f>
        <v>0</v>
      </c>
      <c r="T148" s="42">
        <f>ROUND($B148*T$99,2)</f>
        <v>0</v>
      </c>
      <c r="U148" s="42">
        <f>ROUND($B148*U$99,2)</f>
        <v>0</v>
      </c>
      <c r="V148" s="41">
        <f>ROUND($B148*V$92,2)</f>
        <v>0</v>
      </c>
      <c r="W148" s="42">
        <f>ROUND($B148*W$99,2)</f>
        <v>0</v>
      </c>
      <c r="X148" s="42">
        <f>ROUND($B148*X$99,2)</f>
        <v>-0.01</v>
      </c>
      <c r="Y148" s="42">
        <f>ROUND($B148*Y$99,2)</f>
        <v>0</v>
      </c>
      <c r="Z148" s="42">
        <f>ROUND($B148*Z$99,2)</f>
        <v>0</v>
      </c>
      <c r="AA148" s="42">
        <f>ROUND($B148*AA$99,2)</f>
        <v>0</v>
      </c>
      <c r="AB148" s="19">
        <f>SUM(U$99:AA$99)+(-V$99+V108)</f>
        <v>6.4570000000000009E-3</v>
      </c>
      <c r="AC148" s="94" t="str">
        <f>+F148</f>
        <v>SS0</v>
      </c>
    </row>
    <row r="149" spans="2:29" x14ac:dyDescent="0.2">
      <c r="B149" s="103">
        <v>-1</v>
      </c>
      <c r="C149" s="9"/>
      <c r="F149" s="36"/>
      <c r="S149" s="50">
        <v>0.1</v>
      </c>
    </row>
    <row r="150" spans="2:29" x14ac:dyDescent="0.2">
      <c r="B150" s="103">
        <f>IF(AND('AES Indiana Bill Calc.'!$D$17="SS",'AES Indiana Bill Calc.'!$D$18="Yes 10%",'AES Indiana Bill Calc.'!$D$20="Yes 2020"),'AES Indiana Bill Calc.'!$D$19,-1)</f>
        <v>-1</v>
      </c>
      <c r="C150" s="1" t="s">
        <v>154</v>
      </c>
      <c r="F150" s="36" t="s">
        <v>158</v>
      </c>
      <c r="G150" s="17">
        <f>SUM(J150:M150,O150:P150,R150:AA150)</f>
        <v>39.870000000000005</v>
      </c>
      <c r="H150" s="19" t="e">
        <f>IF(ISBLANK(B150),0,+#REF!/B150)</f>
        <v>#REF!</v>
      </c>
      <c r="I150" s="19"/>
      <c r="J150" s="82">
        <f>IF(ISBLANK(B150),0,IF(B150&gt;J$100,+J$99,+F$99))</f>
        <v>40</v>
      </c>
      <c r="K150" s="82">
        <f>IF($B150&gt;K$100,ROUND(K$100*K$99,2),ROUND($B150*K$99,2))</f>
        <v>-0.12</v>
      </c>
      <c r="L150" s="82">
        <f>IF($B150&gt;K$100,ROUND(($B150-K$100)*L$99,2),0)</f>
        <v>0</v>
      </c>
      <c r="M150" s="41"/>
      <c r="N150" s="17">
        <f>SUM(K150:L150)</f>
        <v>-0.12</v>
      </c>
      <c r="O150" s="41"/>
      <c r="P150" s="41"/>
      <c r="Q150" s="41"/>
      <c r="R150" s="41"/>
      <c r="S150" s="42">
        <f>ROUND($B150*S$99*S149,2)</f>
        <v>0</v>
      </c>
      <c r="T150" s="42">
        <f>ROUND($B150*T$99,2)</f>
        <v>0</v>
      </c>
      <c r="U150" s="42">
        <f>ROUND($B150*U$99,2)</f>
        <v>0</v>
      </c>
      <c r="V150" s="41">
        <f>ROUND($B150*V$92,2)</f>
        <v>0</v>
      </c>
      <c r="W150" s="42">
        <f>ROUND($B150*W$99,2)</f>
        <v>0</v>
      </c>
      <c r="X150" s="42">
        <f>ROUND($B150*X$99,2)</f>
        <v>-0.01</v>
      </c>
      <c r="Y150" s="42">
        <f>ROUND($B150*Y$99,2)</f>
        <v>0</v>
      </c>
      <c r="Z150" s="42">
        <f>ROUND($B150*Z$99,2)</f>
        <v>0</v>
      </c>
      <c r="AA150" s="42">
        <f>ROUND($B150*AA$99,2)</f>
        <v>0</v>
      </c>
      <c r="AB150" s="19">
        <f>SUM(U$99:AA$99)+(-V$99+V110)</f>
        <v>6.4570000000000009E-3</v>
      </c>
      <c r="AC150" s="94" t="str">
        <f>+F150</f>
        <v>SS0</v>
      </c>
    </row>
    <row r="151" spans="2:29" x14ac:dyDescent="0.2">
      <c r="B151" s="103">
        <v>-1</v>
      </c>
      <c r="F151" s="36"/>
      <c r="S151" s="50">
        <v>0</v>
      </c>
    </row>
    <row r="152" spans="2:29" x14ac:dyDescent="0.2">
      <c r="B152" s="103">
        <f>IF(AND('AES Indiana Bill Calc.'!$D$17="SS",'AES Indiana Bill Calc.'!$D$18="No",'AES Indiana Bill Calc.'!$D$20="Yes 2020"),'AES Indiana Bill Calc.'!$D$19,-1)</f>
        <v>-1</v>
      </c>
      <c r="C152" s="1" t="s">
        <v>137</v>
      </c>
      <c r="F152" s="36" t="s">
        <v>158</v>
      </c>
      <c r="G152" s="17">
        <f>SUM(J152:M152,O152:P152,R152:AA152)</f>
        <v>39.870000000000005</v>
      </c>
      <c r="H152" s="19" t="e">
        <f>IF(ISBLANK(B152),0,+#REF!/B152)</f>
        <v>#REF!</v>
      </c>
      <c r="I152" s="19"/>
      <c r="J152" s="82">
        <f>IF(ISBLANK(B152),0,IF(B152&gt;J$100,+J$99,+F$99))</f>
        <v>40</v>
      </c>
      <c r="K152" s="82">
        <f>IF($B152&gt;K$100,ROUND(K$100*K$99,2),ROUND($B152*K$99,2))</f>
        <v>-0.12</v>
      </c>
      <c r="L152" s="82">
        <f>IF($B152&gt;K$100,ROUND(($B152-K$100)*L$99,2),0)</f>
        <v>0</v>
      </c>
      <c r="M152" s="41"/>
      <c r="N152" s="17">
        <f>SUM(K152:L152)</f>
        <v>-0.12</v>
      </c>
      <c r="O152" s="41"/>
      <c r="P152" s="41"/>
      <c r="Q152" s="41"/>
      <c r="R152" s="41"/>
      <c r="S152" s="42">
        <f>ROUND($B152*S$99*S151,2)</f>
        <v>0</v>
      </c>
      <c r="T152" s="42">
        <f>ROUND($B152*T$99,2)</f>
        <v>0</v>
      </c>
      <c r="U152" s="42">
        <f>ROUND($B152*U$99,2)</f>
        <v>0</v>
      </c>
      <c r="V152" s="41">
        <f>ROUND($B152*V$92,2)</f>
        <v>0</v>
      </c>
      <c r="W152" s="42">
        <f>ROUND($B152*W$99,2)</f>
        <v>0</v>
      </c>
      <c r="X152" s="42">
        <f>ROUND($B152*X$99,2)</f>
        <v>-0.01</v>
      </c>
      <c r="Y152" s="42">
        <f>ROUND($B152*Y$99,2)</f>
        <v>0</v>
      </c>
      <c r="Z152" s="42">
        <f>ROUND($B152*Z$99,2)</f>
        <v>0</v>
      </c>
      <c r="AA152" s="42">
        <f>ROUND($B152*AA$99,2)</f>
        <v>0</v>
      </c>
      <c r="AB152" s="19">
        <f>SUM(U$99:AA$99)+(-V$99+V112)</f>
        <v>6.4570000000000009E-3</v>
      </c>
      <c r="AC152" s="94" t="str">
        <f>+F152</f>
        <v>SS0</v>
      </c>
    </row>
    <row r="153" spans="2:29" x14ac:dyDescent="0.2">
      <c r="B153" s="97">
        <v>-1</v>
      </c>
      <c r="C153" s="80"/>
      <c r="F153" s="36"/>
      <c r="G153" s="42"/>
      <c r="H153" s="19"/>
      <c r="I153" s="19"/>
      <c r="J153" s="82"/>
      <c r="K153" s="82"/>
      <c r="L153" s="82"/>
      <c r="M153" s="41"/>
      <c r="N153" s="41"/>
      <c r="O153" s="41"/>
      <c r="P153" s="41"/>
      <c r="Q153" s="41"/>
      <c r="R153" s="41"/>
      <c r="S153" s="50">
        <v>1</v>
      </c>
      <c r="T153" s="42"/>
      <c r="U153" s="42"/>
      <c r="V153" s="41"/>
      <c r="W153" s="42"/>
      <c r="X153" s="42"/>
      <c r="Y153" s="42"/>
      <c r="Z153" s="42"/>
      <c r="AA153" s="42"/>
      <c r="AB153" s="19"/>
      <c r="AC153" s="94"/>
    </row>
    <row r="154" spans="2:29" x14ac:dyDescent="0.2">
      <c r="B154" s="103">
        <f>IF(AND('AES Indiana Bill Calc.'!$D$17="SS",'AES Indiana Bill Calc.'!$D$18="Yes 100%",'AES Indiana Bill Calc.'!$D$20="Yes 2021"),'AES Indiana Bill Calc.'!$D$19,-1)</f>
        <v>-1</v>
      </c>
      <c r="C154" s="1" t="s">
        <v>138</v>
      </c>
      <c r="D154" s="144"/>
      <c r="F154" s="36" t="s">
        <v>159</v>
      </c>
      <c r="G154" s="42">
        <f>SUM(J154:M154,O154:P154,R154:AA154)</f>
        <v>39.870000000000005</v>
      </c>
      <c r="H154" s="19" t="e">
        <f>IF(ISBLANK(B154),0,+#REF!/B154)</f>
        <v>#REF!</v>
      </c>
      <c r="I154" s="144"/>
      <c r="J154" s="82">
        <f>IF(ISBLANK(B154),0,IF(B154&gt;J$100,+J$99,+F$99))</f>
        <v>40</v>
      </c>
      <c r="K154" s="82">
        <f>IF($B154&gt;K$100,ROUND(K$100*K$99,2),ROUND($B154*K$99,2))</f>
        <v>-0.12</v>
      </c>
      <c r="L154" s="82">
        <f>IF($B154&gt;K$100,ROUND(($B154-K$100)*L$99,2),0)</f>
        <v>0</v>
      </c>
      <c r="M154" s="144"/>
      <c r="N154" s="42">
        <f>SUM(K154:L154)</f>
        <v>-0.12</v>
      </c>
      <c r="O154" s="144"/>
      <c r="P154" s="144"/>
      <c r="Q154" s="144"/>
      <c r="S154" s="42">
        <f>ROUND($B154*S$99*S153,2)</f>
        <v>0</v>
      </c>
      <c r="T154" s="42">
        <f>ROUND($B154*T$99,2)</f>
        <v>0</v>
      </c>
      <c r="U154" s="42">
        <f>ROUND($B154*U$99,2)</f>
        <v>0</v>
      </c>
      <c r="V154" s="41">
        <f>ROUND($B154*V$93,2)</f>
        <v>0</v>
      </c>
      <c r="W154" s="144"/>
      <c r="X154" s="42">
        <f>ROUND($B154*X$99,2)</f>
        <v>-0.01</v>
      </c>
      <c r="Y154" s="42">
        <f>ROUND($B154*Y$99,2)</f>
        <v>0</v>
      </c>
      <c r="Z154" s="42">
        <f>ROUND($B154*Z$99,2)</f>
        <v>0</v>
      </c>
      <c r="AA154" s="42">
        <f>ROUND($B154*AA$99,2)</f>
        <v>0</v>
      </c>
      <c r="AB154" s="19">
        <f>SUM(U$99:AA$99)+(-V$99+V116)</f>
        <v>1.6456999999999999E-2</v>
      </c>
      <c r="AC154" s="144"/>
    </row>
    <row r="155" spans="2:29" x14ac:dyDescent="0.2">
      <c r="B155" s="97">
        <v>-1</v>
      </c>
      <c r="C155" s="9"/>
      <c r="F155" s="36"/>
      <c r="G155" s="42"/>
      <c r="H155" s="19"/>
      <c r="I155" s="19"/>
      <c r="J155" s="82"/>
      <c r="K155" s="82"/>
      <c r="L155" s="82"/>
      <c r="M155" s="41"/>
      <c r="N155" s="41"/>
      <c r="O155" s="41"/>
      <c r="P155" s="41"/>
      <c r="Q155" s="41"/>
      <c r="R155" s="41"/>
      <c r="S155" s="50">
        <v>0.5</v>
      </c>
      <c r="T155" s="42"/>
      <c r="U155" s="42"/>
      <c r="V155" s="41"/>
      <c r="W155" s="42"/>
      <c r="X155" s="42"/>
      <c r="Y155" s="42"/>
      <c r="Z155" s="42"/>
      <c r="AA155" s="42"/>
      <c r="AB155" s="19"/>
      <c r="AC155" s="94"/>
    </row>
    <row r="156" spans="2:29" x14ac:dyDescent="0.2">
      <c r="B156" s="103">
        <f>IF(AND('AES Indiana Bill Calc.'!$D$17="SS",'AES Indiana Bill Calc.'!$D$18="Yes 50%",'AES Indiana Bill Calc.'!$D$20="Yes 2021"),'AES Indiana Bill Calc.'!$D$19,-1)</f>
        <v>-1</v>
      </c>
      <c r="C156" s="1" t="s">
        <v>139</v>
      </c>
      <c r="D156" s="144"/>
      <c r="F156" s="36" t="s">
        <v>159</v>
      </c>
      <c r="G156" s="42">
        <f>SUM(J156:M156,O156:P156,R156:AA156)</f>
        <v>39.870000000000005</v>
      </c>
      <c r="H156" s="19" t="e">
        <f>IF(ISBLANK(B156),0,+#REF!/B156)</f>
        <v>#REF!</v>
      </c>
      <c r="I156" s="144"/>
      <c r="J156" s="82">
        <f>IF(ISBLANK(B156),0,IF(B156&gt;J$100,+J$99,+F$99))</f>
        <v>40</v>
      </c>
      <c r="K156" s="82">
        <f>IF($B156&gt;K$100,ROUND(K$100*K$99,2),ROUND($B156*K$99,2))</f>
        <v>-0.12</v>
      </c>
      <c r="L156" s="82">
        <f>IF($B156&gt;K$100,ROUND(($B156-K$100)*L$99,2),0)</f>
        <v>0</v>
      </c>
      <c r="M156" s="144"/>
      <c r="N156" s="42">
        <f>SUM(K156:L156)</f>
        <v>-0.12</v>
      </c>
      <c r="O156" s="144"/>
      <c r="P156" s="144"/>
      <c r="Q156" s="144"/>
      <c r="S156" s="42">
        <f>ROUND($B156*S$99*S155,2)</f>
        <v>0</v>
      </c>
      <c r="T156" s="42">
        <f>ROUND($B156*T$99,2)</f>
        <v>0</v>
      </c>
      <c r="U156" s="42">
        <f>ROUND($B156*U$99,2)</f>
        <v>0</v>
      </c>
      <c r="V156" s="41">
        <f>ROUND($B156*V$93,2)</f>
        <v>0</v>
      </c>
      <c r="W156" s="144"/>
      <c r="X156" s="42">
        <f>ROUND($B156*X$99,2)</f>
        <v>-0.01</v>
      </c>
      <c r="Y156" s="42">
        <f>ROUND($B156*Y$99,2)</f>
        <v>0</v>
      </c>
      <c r="Z156" s="42">
        <f>ROUND($B156*Z$99,2)</f>
        <v>0</v>
      </c>
      <c r="AA156" s="42">
        <f>ROUND($B156*AA$99,2)</f>
        <v>0</v>
      </c>
      <c r="AB156" s="19">
        <f>SUM(U$99:AA$99)+(-V$99+V118)</f>
        <v>1.6456999999999999E-2</v>
      </c>
      <c r="AC156" s="144"/>
    </row>
    <row r="157" spans="2:29" x14ac:dyDescent="0.2">
      <c r="B157" s="97">
        <v>-1</v>
      </c>
      <c r="C157" s="9"/>
      <c r="F157" s="36"/>
      <c r="G157" s="42"/>
      <c r="H157" s="19"/>
      <c r="I157" s="19"/>
      <c r="J157" s="82"/>
      <c r="K157" s="82"/>
      <c r="L157" s="82"/>
      <c r="M157" s="41"/>
      <c r="N157" s="41"/>
      <c r="O157" s="41"/>
      <c r="P157" s="41"/>
      <c r="Q157" s="41"/>
      <c r="R157" s="41"/>
      <c r="S157" s="50">
        <v>0.25</v>
      </c>
      <c r="T157" s="42"/>
      <c r="U157" s="42"/>
      <c r="V157" s="41"/>
      <c r="W157" s="42"/>
      <c r="X157" s="42"/>
      <c r="Y157" s="42"/>
      <c r="Z157" s="42"/>
      <c r="AA157" s="42"/>
      <c r="AB157" s="19"/>
      <c r="AC157" s="94"/>
    </row>
    <row r="158" spans="2:29" x14ac:dyDescent="0.2">
      <c r="B158" s="103">
        <f>IF(AND('AES Indiana Bill Calc.'!$D$17="SS",'AES Indiana Bill Calc.'!$D$18="Yes 25%",'AES Indiana Bill Calc.'!$D$20="Yes 2021"),'AES Indiana Bill Calc.'!$D$19,-1)</f>
        <v>-1</v>
      </c>
      <c r="C158" s="1" t="s">
        <v>140</v>
      </c>
      <c r="D158" s="144"/>
      <c r="F158" s="36" t="s">
        <v>159</v>
      </c>
      <c r="G158" s="42">
        <f>SUM(J158:M158,O158:P158,R158:AA158)</f>
        <v>39.870000000000005</v>
      </c>
      <c r="H158" s="19" t="e">
        <f>IF(ISBLANK(B158),0,+#REF!/B158)</f>
        <v>#REF!</v>
      </c>
      <c r="I158" s="144"/>
      <c r="J158" s="82">
        <f>IF(ISBLANK(B158),0,IF(B158&gt;J$100,+J$99,+F$99))</f>
        <v>40</v>
      </c>
      <c r="K158" s="82">
        <f>IF($B158&gt;K$100,ROUND(K$100*K$99,2),ROUND($B158*K$99,2))</f>
        <v>-0.12</v>
      </c>
      <c r="L158" s="82">
        <f>IF($B158&gt;K$100,ROUND(($B158-K$100)*L$99,2),0)</f>
        <v>0</v>
      </c>
      <c r="M158" s="144"/>
      <c r="N158" s="42">
        <f>SUM(K158:L158)</f>
        <v>-0.12</v>
      </c>
      <c r="O158" s="144"/>
      <c r="P158" s="144"/>
      <c r="Q158" s="144"/>
      <c r="S158" s="42">
        <f>ROUND($B158*S$99*S157,2)</f>
        <v>0</v>
      </c>
      <c r="T158" s="42">
        <f>ROUND($B158*T$99,2)</f>
        <v>0</v>
      </c>
      <c r="U158" s="42">
        <f>ROUND($B158*U$99,2)</f>
        <v>0</v>
      </c>
      <c r="V158" s="41">
        <f>ROUND($B158*V$93,2)</f>
        <v>0</v>
      </c>
      <c r="W158" s="144"/>
      <c r="X158" s="42">
        <f>ROUND($B158*X$99,2)</f>
        <v>-0.01</v>
      </c>
      <c r="Y158" s="42">
        <f>ROUND($B158*Y$99,2)</f>
        <v>0</v>
      </c>
      <c r="Z158" s="42">
        <f>ROUND($B158*Z$99,2)</f>
        <v>0</v>
      </c>
      <c r="AA158" s="42">
        <f>ROUND($B158*AA$99,2)</f>
        <v>0</v>
      </c>
      <c r="AB158" s="19">
        <f>SUM(U$99:AA$99)+(-V$99+V120)</f>
        <v>1.6456999999999999E-2</v>
      </c>
      <c r="AC158" s="144"/>
    </row>
    <row r="159" spans="2:29" x14ac:dyDescent="0.2">
      <c r="B159" s="97">
        <v>-1</v>
      </c>
      <c r="C159" s="9"/>
      <c r="F159" s="36"/>
      <c r="G159" s="42"/>
      <c r="H159" s="19"/>
      <c r="I159" s="19"/>
      <c r="J159" s="82"/>
      <c r="K159" s="82"/>
      <c r="L159" s="82"/>
      <c r="M159" s="41"/>
      <c r="N159" s="41"/>
      <c r="O159" s="41"/>
      <c r="P159" s="41"/>
      <c r="Q159" s="41"/>
      <c r="R159" s="41"/>
      <c r="S159" s="50">
        <v>0.1</v>
      </c>
      <c r="T159" s="42"/>
      <c r="U159" s="42"/>
      <c r="V159" s="41"/>
      <c r="W159" s="42"/>
      <c r="X159" s="42"/>
      <c r="Y159" s="42"/>
      <c r="Z159" s="42"/>
      <c r="AA159" s="42"/>
      <c r="AB159" s="19"/>
      <c r="AC159" s="94"/>
    </row>
    <row r="160" spans="2:29" x14ac:dyDescent="0.2">
      <c r="B160" s="103">
        <f>IF(AND('AES Indiana Bill Calc.'!$D$17="SS",'AES Indiana Bill Calc.'!$D$18="Yes 10%",'AES Indiana Bill Calc.'!$D$20="Yes 2021"),'AES Indiana Bill Calc.'!$D$19,-1)</f>
        <v>-1</v>
      </c>
      <c r="C160" s="1" t="s">
        <v>154</v>
      </c>
      <c r="D160" s="144"/>
      <c r="F160" s="36" t="s">
        <v>159</v>
      </c>
      <c r="G160" s="42">
        <f>SUM(J160:M160,O160:P160,R160:AA160)</f>
        <v>39.870000000000005</v>
      </c>
      <c r="H160" s="19" t="e">
        <f>IF(ISBLANK(B160),0,+#REF!/B160)</f>
        <v>#REF!</v>
      </c>
      <c r="I160" s="144"/>
      <c r="J160" s="82">
        <f>IF(ISBLANK(B160),0,IF(B160&gt;J$100,+J$99,+F$99))</f>
        <v>40</v>
      </c>
      <c r="K160" s="82">
        <f>IF($B160&gt;K$100,ROUND(K$100*K$99,2),ROUND($B160*K$99,2))</f>
        <v>-0.12</v>
      </c>
      <c r="L160" s="82">
        <f>IF($B160&gt;K$100,ROUND(($B160-K$100)*L$99,2),0)</f>
        <v>0</v>
      </c>
      <c r="M160" s="144"/>
      <c r="N160" s="42">
        <f>SUM(K160:L160)</f>
        <v>-0.12</v>
      </c>
      <c r="O160" s="144"/>
      <c r="P160" s="144"/>
      <c r="Q160" s="144"/>
      <c r="S160" s="42">
        <f>ROUND($B160*S$99*S159,2)</f>
        <v>0</v>
      </c>
      <c r="T160" s="42">
        <f>ROUND($B160*T$99,2)</f>
        <v>0</v>
      </c>
      <c r="U160" s="42">
        <f>ROUND($B160*U$99,2)</f>
        <v>0</v>
      </c>
      <c r="V160" s="41">
        <f>ROUND($B160*V$93,2)</f>
        <v>0</v>
      </c>
      <c r="W160" s="144"/>
      <c r="X160" s="42">
        <f>ROUND($B160*X$99,2)</f>
        <v>-0.01</v>
      </c>
      <c r="Y160" s="42">
        <f>ROUND($B160*Y$99,2)</f>
        <v>0</v>
      </c>
      <c r="Z160" s="42">
        <f>ROUND($B160*Z$99,2)</f>
        <v>0</v>
      </c>
      <c r="AA160" s="42">
        <f>ROUND($B160*AA$99,2)</f>
        <v>0</v>
      </c>
      <c r="AB160" s="19">
        <f>SUM(U$99:AA$99)+(-V$99+V122)</f>
        <v>1.6456999999999999E-2</v>
      </c>
      <c r="AC160" s="144"/>
    </row>
    <row r="161" spans="2:123" x14ac:dyDescent="0.2">
      <c r="B161" s="97">
        <v>-1</v>
      </c>
      <c r="F161" s="36"/>
      <c r="G161" s="42"/>
      <c r="H161" s="19"/>
      <c r="I161" s="19"/>
      <c r="J161" s="82"/>
      <c r="K161" s="82"/>
      <c r="L161" s="82"/>
      <c r="M161" s="41"/>
      <c r="N161" s="41"/>
      <c r="O161" s="41"/>
      <c r="P161" s="41"/>
      <c r="Q161" s="41"/>
      <c r="R161" s="41"/>
      <c r="S161" s="50">
        <v>0</v>
      </c>
      <c r="T161" s="42"/>
      <c r="U161" s="42"/>
      <c r="V161" s="41"/>
      <c r="W161" s="42"/>
      <c r="X161" s="42"/>
      <c r="Y161" s="42"/>
      <c r="Z161" s="42"/>
      <c r="AA161" s="42"/>
      <c r="AB161" s="19"/>
      <c r="AC161" s="94"/>
    </row>
    <row r="162" spans="2:123" ht="13.5" thickBot="1" x14ac:dyDescent="0.25">
      <c r="B162" s="97">
        <f>IF(AND('AES Indiana Bill Calc.'!$D$17="SS",'AES Indiana Bill Calc.'!$D$18="No",'AES Indiana Bill Calc.'!$D$20="Yes 2021"),'AES Indiana Bill Calc.'!$D$19,-1)</f>
        <v>-1</v>
      </c>
      <c r="C162" s="145" t="s">
        <v>137</v>
      </c>
      <c r="D162" s="144"/>
      <c r="F162" s="36" t="s">
        <v>159</v>
      </c>
      <c r="G162" s="42">
        <f>SUM(J162:M162,O162:P162,R162:AA162)</f>
        <v>39.870000000000005</v>
      </c>
      <c r="H162" s="19" t="e">
        <f>IF(ISBLANK(B162),0,+#REF!/B162)</f>
        <v>#REF!</v>
      </c>
      <c r="I162" s="144"/>
      <c r="J162" s="82">
        <f>IF(ISBLANK(B162),0,IF(B162&gt;J$100,+J$99,+F$99))</f>
        <v>40</v>
      </c>
      <c r="K162" s="82">
        <f>IF($B162&gt;K$100,ROUND(K$100*K$99,2),ROUND($B162*K$99,2))</f>
        <v>-0.12</v>
      </c>
      <c r="L162" s="82">
        <f>IF($B162&gt;K$100,ROUND(($B162-K$100)*L$99,2),0)</f>
        <v>0</v>
      </c>
      <c r="M162" s="144"/>
      <c r="N162" s="42">
        <f>SUM(K162:L162)</f>
        <v>-0.12</v>
      </c>
      <c r="O162" s="144"/>
      <c r="P162" s="144"/>
      <c r="Q162" s="144"/>
      <c r="S162" s="42">
        <f>ROUND($B162*S$99*S161,2)</f>
        <v>0</v>
      </c>
      <c r="T162" s="42">
        <f>ROUND($B162*T$99,2)</f>
        <v>0</v>
      </c>
      <c r="U162" s="42">
        <f>ROUND($B162*U$99,2)</f>
        <v>0</v>
      </c>
      <c r="V162" s="41">
        <f>ROUND($B162*V$93,2)</f>
        <v>0</v>
      </c>
      <c r="W162" s="144"/>
      <c r="X162" s="42">
        <f>ROUND($B162*X$99,2)</f>
        <v>-0.01</v>
      </c>
      <c r="Y162" s="42">
        <f>ROUND($B162*Y$99,2)</f>
        <v>0</v>
      </c>
      <c r="Z162" s="42">
        <f>ROUND($B162*Z$99,2)</f>
        <v>0</v>
      </c>
      <c r="AA162" s="42">
        <f>ROUND($B162*AA$99,2)</f>
        <v>0</v>
      </c>
      <c r="AB162" s="19">
        <f>SUM(U$99:AA$99)+(-V$99+V124)</f>
        <v>1.6456999999999999E-2</v>
      </c>
      <c r="AC162" s="144"/>
      <c r="AE162" s="144"/>
      <c r="AG162" s="144"/>
      <c r="AI162" s="144"/>
      <c r="AK162" s="144"/>
      <c r="AM162" s="144"/>
      <c r="AO162" s="144"/>
      <c r="AQ162" s="144"/>
      <c r="AS162" s="144"/>
      <c r="AU162" s="144"/>
      <c r="AW162" s="144"/>
      <c r="AY162" s="144"/>
      <c r="BA162" s="144"/>
      <c r="BC162" s="144"/>
      <c r="BE162" s="144"/>
      <c r="BG162" s="144"/>
      <c r="BI162" s="125"/>
      <c r="BJ162" s="21"/>
      <c r="BK162" s="125"/>
      <c r="BL162" s="21"/>
      <c r="BM162" s="125"/>
      <c r="BN162" s="21"/>
      <c r="BO162" s="125"/>
      <c r="BP162" s="21"/>
      <c r="BQ162" s="125"/>
      <c r="BR162" s="21"/>
      <c r="BS162" s="125"/>
      <c r="BT162" s="21"/>
      <c r="BU162" s="125"/>
      <c r="BV162" s="21"/>
      <c r="BW162" s="125"/>
      <c r="BX162" s="21"/>
      <c r="BY162" s="125"/>
      <c r="BZ162" s="21"/>
      <c r="CA162" s="125"/>
      <c r="CB162" s="21"/>
      <c r="CC162" s="125"/>
      <c r="CD162" s="21"/>
      <c r="CE162" s="125"/>
      <c r="CF162" s="21"/>
      <c r="CG162" s="125"/>
      <c r="CH162" s="21"/>
      <c r="CI162" s="125"/>
      <c r="CJ162" s="21"/>
      <c r="CK162" s="125"/>
      <c r="CL162" s="21"/>
      <c r="CM162" s="125"/>
      <c r="CN162" s="21"/>
      <c r="CO162" s="125"/>
      <c r="CP162" s="21"/>
      <c r="CQ162" s="125"/>
      <c r="CR162" s="21"/>
      <c r="CS162" s="125"/>
      <c r="CT162" s="21"/>
      <c r="CU162" s="125"/>
      <c r="CV162" s="21"/>
      <c r="CW162" s="125"/>
      <c r="CX162" s="21"/>
      <c r="CY162" s="125"/>
      <c r="CZ162" s="21"/>
      <c r="DA162" s="125"/>
      <c r="DB162" s="21"/>
      <c r="DC162" s="125"/>
      <c r="DD162" s="21"/>
      <c r="DE162" s="125"/>
      <c r="DF162" s="21"/>
      <c r="DG162" s="125"/>
      <c r="DH162" s="21"/>
      <c r="DI162" s="125"/>
      <c r="DJ162" s="21"/>
      <c r="DK162" s="125"/>
      <c r="DL162" s="21"/>
      <c r="DM162" s="125"/>
      <c r="DN162" s="21"/>
      <c r="DO162" s="125"/>
      <c r="DP162" s="21"/>
      <c r="DQ162" s="125"/>
      <c r="DR162" s="21"/>
      <c r="DS162" s="125"/>
    </row>
    <row r="163" spans="2:123" x14ac:dyDescent="0.2">
      <c r="B163" s="97">
        <v>-1</v>
      </c>
      <c r="C163" s="80"/>
      <c r="F163" s="36"/>
      <c r="G163" s="42"/>
      <c r="H163" s="19"/>
      <c r="I163" s="19"/>
      <c r="J163" s="82"/>
      <c r="K163" s="82"/>
      <c r="L163" s="82"/>
      <c r="M163" s="41"/>
      <c r="N163" s="41"/>
      <c r="O163" s="41"/>
      <c r="P163" s="41"/>
      <c r="Q163" s="41"/>
      <c r="R163" s="41"/>
      <c r="S163" s="50">
        <v>1</v>
      </c>
      <c r="T163" s="42"/>
      <c r="U163" s="42"/>
      <c r="V163" s="41"/>
      <c r="W163" s="42"/>
      <c r="X163" s="42"/>
      <c r="Y163" s="42"/>
      <c r="Z163" s="42"/>
      <c r="AA163" s="42"/>
      <c r="AB163" s="19"/>
      <c r="AC163" s="94"/>
      <c r="AE163" s="144"/>
      <c r="AG163" s="144"/>
      <c r="AI163" s="144"/>
      <c r="AK163" s="144"/>
      <c r="AM163" s="144"/>
      <c r="AO163" s="144"/>
      <c r="AQ163" s="144"/>
      <c r="AS163" s="144"/>
      <c r="AU163" s="144"/>
      <c r="AW163" s="144"/>
      <c r="AY163" s="144"/>
      <c r="BA163" s="144"/>
      <c r="BC163" s="144"/>
      <c r="BE163" s="144"/>
      <c r="BG163" s="144"/>
      <c r="BI163" s="144"/>
      <c r="BK163" s="144"/>
      <c r="BM163" s="144"/>
      <c r="BO163" s="144"/>
      <c r="BQ163" s="144"/>
      <c r="BS163" s="144"/>
      <c r="BU163" s="144"/>
      <c r="BW163" s="144"/>
      <c r="BY163" s="144"/>
      <c r="CA163" s="144"/>
      <c r="CC163" s="144"/>
      <c r="CE163" s="144"/>
      <c r="CG163" s="144"/>
      <c r="CI163" s="144"/>
      <c r="CK163" s="144"/>
      <c r="CM163" s="144"/>
      <c r="CO163" s="144"/>
      <c r="CQ163" s="144"/>
      <c r="CS163" s="144"/>
      <c r="CU163" s="144"/>
      <c r="CW163" s="144"/>
      <c r="CY163" s="144"/>
      <c r="DA163" s="144"/>
      <c r="DC163" s="144"/>
      <c r="DE163" s="144"/>
      <c r="DG163" s="144"/>
      <c r="DI163" s="144"/>
      <c r="DK163" s="144"/>
      <c r="DM163" s="144"/>
      <c r="DO163" s="144"/>
      <c r="DQ163" s="144"/>
      <c r="DS163" s="144"/>
    </row>
    <row r="164" spans="2:123" x14ac:dyDescent="0.2">
      <c r="B164" s="97">
        <f>IF(AND('AES Indiana Bill Calc.'!$D$17="SS",'AES Indiana Bill Calc.'!$D$18="Yes 100%",'AES Indiana Bill Calc.'!$D$20="Yes 2022"),'AES Indiana Bill Calc.'!$D$19,-1)</f>
        <v>-1</v>
      </c>
      <c r="C164" s="145" t="s">
        <v>138</v>
      </c>
      <c r="D164" s="144"/>
      <c r="F164" s="36" t="s">
        <v>160</v>
      </c>
      <c r="G164" s="42">
        <f>SUM(J164:M164,O164:P164,R164:AA164)</f>
        <v>39.870000000000005</v>
      </c>
      <c r="H164" s="19" t="e">
        <f>IF(ISBLANK(B164),0,+#REF!/B164)</f>
        <v>#REF!</v>
      </c>
      <c r="I164" s="144"/>
      <c r="J164" s="82">
        <f>IF(ISBLANK(B164),0,IF(B164&gt;J$100,+J$99,+F$99))</f>
        <v>40</v>
      </c>
      <c r="K164" s="82">
        <f>IF($B164&gt;K$100,ROUND(K$100*K$99,2),ROUND($B164*K$99,2))</f>
        <v>-0.12</v>
      </c>
      <c r="L164" s="82">
        <f>IF($B164&gt;K$100,ROUND(($B164-K$100)*L$99,2),0)</f>
        <v>0</v>
      </c>
      <c r="M164" s="144"/>
      <c r="N164" s="42">
        <f>SUM(K164:L164)</f>
        <v>-0.12</v>
      </c>
      <c r="O164" s="144"/>
      <c r="P164" s="144"/>
      <c r="Q164" s="144"/>
      <c r="S164" s="42">
        <f>ROUND($B164*S$99*S163,2)</f>
        <v>0</v>
      </c>
      <c r="T164" s="42">
        <f>ROUND($B164*T$99,2)</f>
        <v>0</v>
      </c>
      <c r="U164" s="42">
        <f>ROUND($B164*U$99,2)</f>
        <v>0</v>
      </c>
      <c r="V164" s="41">
        <f>ROUND($B164*V$94,2)</f>
        <v>0</v>
      </c>
      <c r="W164" s="144"/>
      <c r="X164" s="42">
        <f>ROUND($B164*X$99,2)</f>
        <v>-0.01</v>
      </c>
      <c r="Y164" s="42">
        <f>ROUND($B164*Y$99,2)</f>
        <v>0</v>
      </c>
      <c r="Z164" s="42">
        <f>ROUND($B164*Z$99,2)</f>
        <v>0</v>
      </c>
      <c r="AA164" s="42">
        <f>ROUND($B164*AA$99,2)</f>
        <v>0</v>
      </c>
      <c r="AB164" s="19">
        <f>SUM(U$99:AA$99)+(-V$99+V126)</f>
        <v>1.6456999999999999E-2</v>
      </c>
      <c r="AC164" s="144"/>
      <c r="AE164" s="144"/>
      <c r="AG164" s="144"/>
      <c r="AI164" s="144"/>
      <c r="AK164" s="144"/>
      <c r="AM164" s="144"/>
      <c r="AO164" s="144"/>
      <c r="AQ164" s="144"/>
      <c r="AS164" s="144"/>
      <c r="AU164" s="144"/>
      <c r="AW164" s="144"/>
      <c r="AY164" s="144"/>
      <c r="BA164" s="144"/>
      <c r="BC164" s="144"/>
      <c r="BE164" s="144"/>
      <c r="BG164" s="144"/>
      <c r="BI164" s="144"/>
      <c r="BK164" s="144"/>
      <c r="BM164" s="144"/>
      <c r="BO164" s="144"/>
      <c r="BQ164" s="144"/>
      <c r="BS164" s="144"/>
      <c r="BU164" s="144"/>
      <c r="BW164" s="144"/>
      <c r="BY164" s="144"/>
      <c r="CA164" s="144"/>
      <c r="CC164" s="144"/>
      <c r="CE164" s="144"/>
      <c r="CG164" s="144"/>
      <c r="CI164" s="144"/>
      <c r="CK164" s="144"/>
      <c r="CM164" s="144"/>
      <c r="CO164" s="144"/>
      <c r="CQ164" s="144"/>
      <c r="CS164" s="144"/>
      <c r="CU164" s="144"/>
      <c r="CW164" s="144"/>
      <c r="CY164" s="144"/>
      <c r="DA164" s="144"/>
      <c r="DC164" s="144"/>
      <c r="DE164" s="144"/>
      <c r="DG164" s="144"/>
      <c r="DI164" s="144"/>
      <c r="DK164" s="144"/>
      <c r="DM164" s="144"/>
      <c r="DO164" s="144"/>
      <c r="DQ164" s="144"/>
      <c r="DS164" s="144"/>
    </row>
    <row r="165" spans="2:123" x14ac:dyDescent="0.2">
      <c r="B165" s="97">
        <v>-1</v>
      </c>
      <c r="C165" s="80"/>
      <c r="F165" s="36"/>
      <c r="G165" s="42"/>
      <c r="H165" s="19"/>
      <c r="I165" s="19"/>
      <c r="J165" s="82"/>
      <c r="K165" s="82"/>
      <c r="L165" s="82"/>
      <c r="M165" s="41"/>
      <c r="N165" s="41"/>
      <c r="O165" s="41"/>
      <c r="P165" s="41"/>
      <c r="Q165" s="41"/>
      <c r="R165" s="41"/>
      <c r="S165" s="50">
        <v>0.5</v>
      </c>
      <c r="T165" s="42"/>
      <c r="U165" s="42"/>
      <c r="V165" s="41"/>
      <c r="W165" s="42"/>
      <c r="X165" s="42"/>
      <c r="Y165" s="42"/>
      <c r="Z165" s="42"/>
      <c r="AA165" s="42"/>
      <c r="AB165" s="19"/>
      <c r="AC165" s="94"/>
      <c r="AE165" s="144"/>
      <c r="AG165" s="144"/>
      <c r="AI165" s="144"/>
      <c r="AK165" s="144"/>
      <c r="AM165" s="144"/>
      <c r="AO165" s="144"/>
      <c r="AQ165" s="144"/>
      <c r="AS165" s="144"/>
      <c r="AU165" s="144"/>
      <c r="AW165" s="144"/>
      <c r="AY165" s="144"/>
      <c r="BA165" s="144"/>
      <c r="BC165" s="144"/>
      <c r="BE165" s="144"/>
      <c r="BG165" s="144"/>
      <c r="BI165" s="144"/>
      <c r="BK165" s="144"/>
      <c r="BM165" s="144"/>
      <c r="BO165" s="144"/>
      <c r="BQ165" s="144"/>
      <c r="BS165" s="144"/>
      <c r="BU165" s="144"/>
      <c r="BW165" s="144"/>
      <c r="BY165" s="144"/>
      <c r="CA165" s="144"/>
      <c r="CC165" s="144"/>
      <c r="CE165" s="144"/>
      <c r="CG165" s="144"/>
      <c r="CI165" s="144"/>
      <c r="CK165" s="144"/>
      <c r="CM165" s="144"/>
      <c r="CO165" s="144"/>
      <c r="CQ165" s="144"/>
      <c r="CS165" s="144"/>
      <c r="CU165" s="144"/>
      <c r="CW165" s="144"/>
      <c r="CY165" s="144"/>
      <c r="DA165" s="144"/>
      <c r="DC165" s="144"/>
      <c r="DE165" s="144"/>
      <c r="DG165" s="144"/>
      <c r="DI165" s="144"/>
      <c r="DK165" s="144"/>
      <c r="DM165" s="144"/>
      <c r="DO165" s="144"/>
      <c r="DQ165" s="144"/>
      <c r="DS165" s="144"/>
    </row>
    <row r="166" spans="2:123" x14ac:dyDescent="0.2">
      <c r="B166" s="97">
        <f>IF(AND('AES Indiana Bill Calc.'!$D$17="SS",'AES Indiana Bill Calc.'!$D$18="Yes 50%",'AES Indiana Bill Calc.'!$D$20="Yes 2022"),'AES Indiana Bill Calc.'!$D$19,-1)</f>
        <v>-1</v>
      </c>
      <c r="C166" s="145" t="s">
        <v>139</v>
      </c>
      <c r="D166" s="144"/>
      <c r="F166" s="36" t="s">
        <v>160</v>
      </c>
      <c r="G166" s="42">
        <f>SUM(J166:M166,O166:P166,R166:AA166)</f>
        <v>39.870000000000005</v>
      </c>
      <c r="H166" s="19" t="e">
        <f>IF(ISBLANK(B166),0,+#REF!/B166)</f>
        <v>#REF!</v>
      </c>
      <c r="I166" s="144"/>
      <c r="J166" s="82">
        <f>IF(ISBLANK(B166),0,IF(B166&gt;J$100,+J$99,+F$99))</f>
        <v>40</v>
      </c>
      <c r="K166" s="82">
        <f>IF($B166&gt;K$100,ROUND(K$100*K$99,2),ROUND($B166*K$99,2))</f>
        <v>-0.12</v>
      </c>
      <c r="L166" s="82">
        <f>IF($B166&gt;K$100,ROUND(($B166-K$100)*L$99,2),0)</f>
        <v>0</v>
      </c>
      <c r="M166" s="144"/>
      <c r="N166" s="42">
        <f>SUM(K166:L166)</f>
        <v>-0.12</v>
      </c>
      <c r="O166" s="144"/>
      <c r="P166" s="144"/>
      <c r="Q166" s="144"/>
      <c r="S166" s="42">
        <f>ROUND($B166*S$99*S165,2)</f>
        <v>0</v>
      </c>
      <c r="T166" s="42">
        <f>ROUND($B166*T$99,2)</f>
        <v>0</v>
      </c>
      <c r="U166" s="42">
        <f>ROUND($B166*U$99,2)</f>
        <v>0</v>
      </c>
      <c r="V166" s="41">
        <f>ROUND($B166*V$94,2)</f>
        <v>0</v>
      </c>
      <c r="W166" s="144"/>
      <c r="X166" s="42">
        <f>ROUND($B166*X$99,2)</f>
        <v>-0.01</v>
      </c>
      <c r="Y166" s="42">
        <f>ROUND($B166*Y$99,2)</f>
        <v>0</v>
      </c>
      <c r="Z166" s="42">
        <f>ROUND($B166*Z$99,2)</f>
        <v>0</v>
      </c>
      <c r="AA166" s="42">
        <f>ROUND($B166*AA$99,2)</f>
        <v>0</v>
      </c>
      <c r="AB166" s="19">
        <f>SUM(U$99:AA$99)+(-V$99+V128)</f>
        <v>1.6456999999999999E-2</v>
      </c>
      <c r="AC166" s="144"/>
      <c r="AE166" s="144"/>
      <c r="AG166" s="144"/>
      <c r="AI166" s="144"/>
      <c r="AK166" s="144"/>
      <c r="AM166" s="144"/>
      <c r="AO166" s="144"/>
      <c r="AQ166" s="144"/>
      <c r="AS166" s="144"/>
      <c r="AU166" s="144"/>
      <c r="AW166" s="144"/>
      <c r="AY166" s="144"/>
      <c r="BA166" s="144"/>
      <c r="BC166" s="144"/>
      <c r="BE166" s="144"/>
      <c r="BG166" s="144"/>
      <c r="BI166" s="144"/>
      <c r="BK166" s="144"/>
      <c r="BM166" s="144"/>
      <c r="BO166" s="144"/>
      <c r="BQ166" s="144"/>
      <c r="BS166" s="144"/>
      <c r="BU166" s="144"/>
      <c r="BW166" s="144"/>
      <c r="BY166" s="144"/>
      <c r="CA166" s="144"/>
      <c r="CC166" s="144"/>
      <c r="CE166" s="144"/>
      <c r="CG166" s="144"/>
      <c r="CI166" s="144"/>
      <c r="CK166" s="144"/>
      <c r="CM166" s="144"/>
      <c r="CO166" s="144"/>
      <c r="CQ166" s="144"/>
      <c r="CS166" s="144"/>
      <c r="CU166" s="144"/>
      <c r="CW166" s="144"/>
      <c r="CY166" s="144"/>
      <c r="DA166" s="144"/>
      <c r="DC166" s="144"/>
      <c r="DE166" s="144"/>
      <c r="DG166" s="144"/>
      <c r="DI166" s="144"/>
      <c r="DK166" s="144"/>
      <c r="DM166" s="144"/>
      <c r="DO166" s="144"/>
      <c r="DQ166" s="144"/>
      <c r="DS166" s="144"/>
    </row>
    <row r="167" spans="2:123" x14ac:dyDescent="0.2">
      <c r="B167" s="97">
        <v>-1</v>
      </c>
      <c r="C167" s="80"/>
      <c r="F167" s="36"/>
      <c r="G167" s="42"/>
      <c r="H167" s="19"/>
      <c r="I167" s="19"/>
      <c r="J167" s="82"/>
      <c r="K167" s="82"/>
      <c r="L167" s="82"/>
      <c r="M167" s="41"/>
      <c r="N167" s="41"/>
      <c r="O167" s="41"/>
      <c r="P167" s="41"/>
      <c r="Q167" s="41"/>
      <c r="R167" s="41"/>
      <c r="S167" s="50">
        <v>0.25</v>
      </c>
      <c r="T167" s="42"/>
      <c r="U167" s="42"/>
      <c r="V167" s="41"/>
      <c r="W167" s="42"/>
      <c r="X167" s="42"/>
      <c r="Y167" s="42"/>
      <c r="Z167" s="42"/>
      <c r="AA167" s="42"/>
      <c r="AB167" s="19"/>
      <c r="AC167" s="94"/>
      <c r="AE167" s="144"/>
      <c r="AG167" s="144"/>
      <c r="AI167" s="144"/>
      <c r="AK167" s="144"/>
      <c r="AM167" s="144"/>
      <c r="AO167" s="144"/>
      <c r="AQ167" s="144"/>
      <c r="AS167" s="144"/>
      <c r="AU167" s="144"/>
      <c r="AW167" s="144"/>
      <c r="AY167" s="144"/>
      <c r="BA167" s="144"/>
      <c r="BC167" s="144"/>
      <c r="BE167" s="144"/>
      <c r="BG167" s="144"/>
      <c r="BI167" s="144"/>
      <c r="BK167" s="144"/>
      <c r="BM167" s="144"/>
      <c r="BO167" s="144"/>
      <c r="BQ167" s="144"/>
      <c r="BS167" s="144"/>
      <c r="BU167" s="144"/>
      <c r="BW167" s="144"/>
      <c r="BY167" s="144"/>
      <c r="CA167" s="144"/>
      <c r="CC167" s="144"/>
      <c r="CE167" s="144"/>
      <c r="CG167" s="144"/>
      <c r="CI167" s="144"/>
      <c r="CK167" s="144"/>
      <c r="CM167" s="144"/>
      <c r="CO167" s="144"/>
      <c r="CQ167" s="144"/>
      <c r="CS167" s="144"/>
      <c r="CU167" s="144"/>
      <c r="CW167" s="144"/>
      <c r="CY167" s="144"/>
      <c r="DA167" s="144"/>
      <c r="DC167" s="144"/>
      <c r="DE167" s="144"/>
      <c r="DG167" s="144"/>
      <c r="DI167" s="144"/>
      <c r="DK167" s="144"/>
      <c r="DM167" s="144"/>
      <c r="DO167" s="144"/>
      <c r="DQ167" s="144"/>
      <c r="DS167" s="144"/>
    </row>
    <row r="168" spans="2:123" x14ac:dyDescent="0.2">
      <c r="B168" s="97">
        <f>IF(AND('AES Indiana Bill Calc.'!$D$17="SS",'AES Indiana Bill Calc.'!$D$18="Yes 25%",'AES Indiana Bill Calc.'!$D$20="Yes 2022"),'AES Indiana Bill Calc.'!$D$19,-1)</f>
        <v>-1</v>
      </c>
      <c r="C168" s="145" t="s">
        <v>140</v>
      </c>
      <c r="D168" s="144"/>
      <c r="F168" s="36" t="s">
        <v>160</v>
      </c>
      <c r="G168" s="42">
        <f>SUM(J168:M168,O168:P168,R168:AA168)</f>
        <v>39.870000000000005</v>
      </c>
      <c r="H168" s="19" t="e">
        <f>IF(ISBLANK(B168),0,+#REF!/B168)</f>
        <v>#REF!</v>
      </c>
      <c r="I168" s="144"/>
      <c r="J168" s="82">
        <f>IF(ISBLANK(B168),0,IF(B168&gt;J$100,+J$99,+F$99))</f>
        <v>40</v>
      </c>
      <c r="K168" s="82">
        <f>IF($B168&gt;K$100,ROUND(K$100*K$99,2),ROUND($B168*K$99,2))</f>
        <v>-0.12</v>
      </c>
      <c r="L168" s="82">
        <f>IF($B168&gt;K$100,ROUND(($B168-K$100)*L$99,2),0)</f>
        <v>0</v>
      </c>
      <c r="M168" s="144"/>
      <c r="N168" s="42">
        <f>SUM(K168:L168)</f>
        <v>-0.12</v>
      </c>
      <c r="O168" s="144"/>
      <c r="P168" s="144"/>
      <c r="Q168" s="144"/>
      <c r="S168" s="42">
        <f>ROUND($B168*S$99*S167,2)</f>
        <v>0</v>
      </c>
      <c r="T168" s="42">
        <f>ROUND($B168*T$99,2)</f>
        <v>0</v>
      </c>
      <c r="U168" s="42">
        <f>ROUND($B168*U$99,2)</f>
        <v>0</v>
      </c>
      <c r="V168" s="41">
        <f>ROUND($B168*V$94,2)</f>
        <v>0</v>
      </c>
      <c r="W168" s="144"/>
      <c r="X168" s="42">
        <f>ROUND($B168*X$99,2)</f>
        <v>-0.01</v>
      </c>
      <c r="Y168" s="42">
        <f>ROUND($B168*Y$99,2)</f>
        <v>0</v>
      </c>
      <c r="Z168" s="42">
        <f>ROUND($B168*Z$99,2)</f>
        <v>0</v>
      </c>
      <c r="AA168" s="42">
        <f>ROUND($B168*AA$99,2)</f>
        <v>0</v>
      </c>
      <c r="AB168" s="19">
        <f>SUM(U$99:AA$99)+(-V$99+V130)</f>
        <v>1.6456999999999999E-2</v>
      </c>
      <c r="AC168" s="144"/>
      <c r="AE168" s="144"/>
      <c r="AG168" s="144"/>
      <c r="AI168" s="144"/>
      <c r="AK168" s="144"/>
      <c r="AM168" s="144"/>
      <c r="AO168" s="144"/>
      <c r="AQ168" s="144"/>
      <c r="AS168" s="144"/>
      <c r="AU168" s="144"/>
      <c r="AW168" s="144"/>
      <c r="AY168" s="144"/>
      <c r="BA168" s="144"/>
      <c r="BC168" s="144"/>
      <c r="BE168" s="144"/>
      <c r="BG168" s="144"/>
      <c r="BI168" s="144"/>
      <c r="BK168" s="144"/>
      <c r="BM168" s="144"/>
      <c r="BO168" s="144"/>
      <c r="BQ168" s="144"/>
      <c r="BS168" s="144"/>
      <c r="BU168" s="144"/>
      <c r="BW168" s="144"/>
      <c r="BY168" s="144"/>
      <c r="CA168" s="144"/>
      <c r="CC168" s="144"/>
      <c r="CE168" s="144"/>
      <c r="CG168" s="144"/>
      <c r="CI168" s="144"/>
      <c r="CK168" s="144"/>
      <c r="CM168" s="144"/>
      <c r="CO168" s="144"/>
      <c r="CQ168" s="144"/>
      <c r="CS168" s="144"/>
      <c r="CU168" s="144"/>
      <c r="CW168" s="144"/>
      <c r="CY168" s="144"/>
      <c r="DA168" s="144"/>
      <c r="DC168" s="144"/>
      <c r="DE168" s="144"/>
      <c r="DG168" s="144"/>
      <c r="DI168" s="144"/>
      <c r="DK168" s="144"/>
      <c r="DM168" s="144"/>
      <c r="DO168" s="144"/>
      <c r="DQ168" s="144"/>
      <c r="DS168" s="144"/>
    </row>
    <row r="169" spans="2:123" x14ac:dyDescent="0.2">
      <c r="B169" s="97">
        <v>-1</v>
      </c>
      <c r="C169" s="80"/>
      <c r="F169" s="36"/>
      <c r="G169" s="42"/>
      <c r="H169" s="19"/>
      <c r="I169" s="19"/>
      <c r="J169" s="82"/>
      <c r="K169" s="82"/>
      <c r="L169" s="82"/>
      <c r="M169" s="41"/>
      <c r="N169" s="41"/>
      <c r="O169" s="41"/>
      <c r="P169" s="41"/>
      <c r="Q169" s="41"/>
      <c r="R169" s="41"/>
      <c r="S169" s="50">
        <v>0.1</v>
      </c>
      <c r="T169" s="42"/>
      <c r="U169" s="42"/>
      <c r="V169" s="41"/>
      <c r="W169" s="42"/>
      <c r="X169" s="42"/>
      <c r="Y169" s="42"/>
      <c r="Z169" s="42"/>
      <c r="AA169" s="42"/>
      <c r="AB169" s="19"/>
      <c r="AC169" s="94"/>
      <c r="AE169" s="144"/>
      <c r="AG169" s="144"/>
      <c r="AI169" s="144"/>
      <c r="AK169" s="144"/>
      <c r="AM169" s="144"/>
      <c r="AO169" s="144"/>
      <c r="AQ169" s="144"/>
      <c r="AS169" s="144"/>
      <c r="AU169" s="144"/>
      <c r="AW169" s="144"/>
      <c r="AY169" s="144"/>
      <c r="BA169" s="144"/>
      <c r="BC169" s="144"/>
      <c r="BE169" s="144"/>
      <c r="BG169" s="144"/>
      <c r="BI169" s="144"/>
      <c r="BK169" s="144"/>
      <c r="BM169" s="144"/>
      <c r="BO169" s="144"/>
      <c r="BQ169" s="144"/>
      <c r="BS169" s="144"/>
      <c r="BU169" s="144"/>
      <c r="BW169" s="144"/>
      <c r="BY169" s="144"/>
      <c r="CA169" s="144"/>
      <c r="CC169" s="144"/>
      <c r="CE169" s="144"/>
      <c r="CG169" s="144"/>
      <c r="CI169" s="144"/>
      <c r="CK169" s="144"/>
      <c r="CM169" s="144"/>
      <c r="CO169" s="144"/>
      <c r="CQ169" s="144"/>
      <c r="CS169" s="144"/>
      <c r="CU169" s="144"/>
      <c r="CW169" s="144"/>
      <c r="CY169" s="144"/>
      <c r="DA169" s="144"/>
      <c r="DC169" s="144"/>
      <c r="DE169" s="144"/>
      <c r="DG169" s="144"/>
      <c r="DI169" s="144"/>
      <c r="DK169" s="144"/>
      <c r="DM169" s="144"/>
      <c r="DO169" s="144"/>
      <c r="DQ169" s="144"/>
      <c r="DS169" s="144"/>
    </row>
    <row r="170" spans="2:123" x14ac:dyDescent="0.2">
      <c r="B170" s="97">
        <f>IF(AND('AES Indiana Bill Calc.'!$D$17="SS",'AES Indiana Bill Calc.'!$D$18="Yes 10%",'AES Indiana Bill Calc.'!$D$20="Yes 2022"),'AES Indiana Bill Calc.'!$D$19,-1)</f>
        <v>-1</v>
      </c>
      <c r="C170" s="145" t="s">
        <v>154</v>
      </c>
      <c r="D170" s="144"/>
      <c r="F170" s="36" t="s">
        <v>160</v>
      </c>
      <c r="G170" s="42">
        <f>SUM(J170:M170,O170:P170,R170:AA170)</f>
        <v>39.870000000000005</v>
      </c>
      <c r="H170" s="19" t="e">
        <f>IF(ISBLANK(B170),0,+#REF!/B170)</f>
        <v>#REF!</v>
      </c>
      <c r="I170" s="144"/>
      <c r="J170" s="82">
        <f>IF(ISBLANK(B170),0,IF(B170&gt;J$100,+J$99,+F$99))</f>
        <v>40</v>
      </c>
      <c r="K170" s="82">
        <f>IF($B170&gt;K$100,ROUND(K$100*K$99,2),ROUND($B170*K$99,2))</f>
        <v>-0.12</v>
      </c>
      <c r="L170" s="82">
        <f>IF($B170&gt;K$100,ROUND(($B170-K$100)*L$99,2),0)</f>
        <v>0</v>
      </c>
      <c r="M170" s="144"/>
      <c r="N170" s="42">
        <f>SUM(K170:L170)</f>
        <v>-0.12</v>
      </c>
      <c r="O170" s="144"/>
      <c r="P170" s="144"/>
      <c r="Q170" s="144"/>
      <c r="S170" s="42">
        <f>ROUND($B170*S$99*S169,2)</f>
        <v>0</v>
      </c>
      <c r="T170" s="42">
        <f>ROUND($B170*T$99,2)</f>
        <v>0</v>
      </c>
      <c r="U170" s="42">
        <f>ROUND($B170*U$99,2)</f>
        <v>0</v>
      </c>
      <c r="V170" s="41">
        <f>ROUND($B170*V$94,2)</f>
        <v>0</v>
      </c>
      <c r="W170" s="144"/>
      <c r="X170" s="42">
        <f>ROUND($B170*X$99,2)</f>
        <v>-0.01</v>
      </c>
      <c r="Y170" s="42">
        <f>ROUND($B170*Y$99,2)</f>
        <v>0</v>
      </c>
      <c r="Z170" s="42">
        <f>ROUND($B170*Z$99,2)</f>
        <v>0</v>
      </c>
      <c r="AA170" s="42">
        <f>ROUND($B170*AA$99,2)</f>
        <v>0</v>
      </c>
      <c r="AB170" s="19">
        <f>SUM(U$99:AA$99)+(-V$99+V132)</f>
        <v>1.6456999999999999E-2</v>
      </c>
      <c r="AC170" s="144"/>
      <c r="AE170" s="144"/>
      <c r="AG170" s="144"/>
      <c r="AI170" s="144"/>
      <c r="AK170" s="144"/>
      <c r="AM170" s="144"/>
      <c r="AO170" s="144"/>
      <c r="AQ170" s="144"/>
      <c r="AS170" s="144"/>
      <c r="AU170" s="144"/>
      <c r="AW170" s="144"/>
      <c r="AY170" s="144"/>
      <c r="BA170" s="144"/>
      <c r="BC170" s="144"/>
      <c r="BE170" s="144"/>
      <c r="BG170" s="144"/>
      <c r="BI170" s="144"/>
      <c r="BK170" s="144"/>
      <c r="BM170" s="144"/>
      <c r="BO170" s="144"/>
      <c r="BQ170" s="144"/>
      <c r="BS170" s="144"/>
      <c r="BU170" s="144"/>
      <c r="BW170" s="144"/>
      <c r="BY170" s="144"/>
      <c r="CA170" s="144"/>
      <c r="CC170" s="144"/>
      <c r="CE170" s="144"/>
      <c r="CG170" s="144"/>
      <c r="CI170" s="144"/>
      <c r="CK170" s="144"/>
      <c r="CM170" s="144"/>
      <c r="CO170" s="144"/>
      <c r="CQ170" s="144"/>
      <c r="CS170" s="144"/>
      <c r="CU170" s="144"/>
      <c r="CW170" s="144"/>
      <c r="CY170" s="144"/>
      <c r="DA170" s="144"/>
      <c r="DC170" s="144"/>
      <c r="DE170" s="144"/>
      <c r="DG170" s="144"/>
      <c r="DI170" s="144"/>
      <c r="DK170" s="144"/>
      <c r="DM170" s="144"/>
      <c r="DO170" s="144"/>
      <c r="DQ170" s="144"/>
      <c r="DS170" s="144"/>
    </row>
    <row r="171" spans="2:123" x14ac:dyDescent="0.2">
      <c r="B171" s="97">
        <v>-1</v>
      </c>
      <c r="C171" s="40"/>
      <c r="F171" s="36"/>
      <c r="G171" s="42"/>
      <c r="H171" s="19"/>
      <c r="I171" s="19"/>
      <c r="J171" s="82"/>
      <c r="K171" s="82"/>
      <c r="L171" s="82"/>
      <c r="M171" s="41"/>
      <c r="N171" s="41"/>
      <c r="O171" s="41"/>
      <c r="P171" s="41"/>
      <c r="Q171" s="41"/>
      <c r="R171" s="41"/>
      <c r="S171" s="50">
        <v>0</v>
      </c>
      <c r="T171" s="42"/>
      <c r="U171" s="42"/>
      <c r="V171" s="41"/>
      <c r="W171" s="42"/>
      <c r="X171" s="42"/>
      <c r="Y171" s="42"/>
      <c r="Z171" s="42"/>
      <c r="AA171" s="42"/>
      <c r="AB171" s="19"/>
      <c r="AC171" s="94"/>
      <c r="AE171" s="144"/>
      <c r="AG171" s="144"/>
      <c r="AI171" s="144"/>
      <c r="AK171" s="144"/>
      <c r="AM171" s="144"/>
      <c r="AO171" s="144"/>
      <c r="AQ171" s="144"/>
      <c r="AS171" s="144"/>
      <c r="AU171" s="144"/>
      <c r="AW171" s="144"/>
      <c r="AY171" s="144"/>
      <c r="BA171" s="144"/>
      <c r="BC171" s="144"/>
      <c r="BE171" s="144"/>
      <c r="BG171" s="144"/>
      <c r="BI171" s="144"/>
      <c r="BK171" s="144"/>
      <c r="BM171" s="144"/>
      <c r="BO171" s="144"/>
      <c r="BQ171" s="144"/>
      <c r="BS171" s="144"/>
      <c r="BU171" s="144"/>
      <c r="BW171" s="144"/>
      <c r="BY171" s="144"/>
      <c r="CA171" s="144"/>
      <c r="CC171" s="144"/>
      <c r="CE171" s="144"/>
      <c r="CG171" s="144"/>
      <c r="CI171" s="144"/>
      <c r="CK171" s="144"/>
      <c r="CM171" s="144"/>
      <c r="CO171" s="144"/>
      <c r="CQ171" s="144"/>
      <c r="CS171" s="144"/>
      <c r="CU171" s="144"/>
      <c r="CW171" s="144"/>
      <c r="CY171" s="144"/>
      <c r="DA171" s="144"/>
      <c r="DC171" s="144"/>
      <c r="DE171" s="144"/>
      <c r="DG171" s="144"/>
      <c r="DI171" s="144"/>
      <c r="DK171" s="144"/>
      <c r="DM171" s="144"/>
      <c r="DO171" s="144"/>
      <c r="DQ171" s="144"/>
      <c r="DS171" s="144"/>
    </row>
    <row r="172" spans="2:123" x14ac:dyDescent="0.2">
      <c r="B172" s="97">
        <f>IF(AND('AES Indiana Bill Calc.'!$D$17="SS",'AES Indiana Bill Calc.'!$D$18="No",'AES Indiana Bill Calc.'!$D$20="Yes 2022"),'AES Indiana Bill Calc.'!$D$19,-1)</f>
        <v>-1</v>
      </c>
      <c r="C172" s="145" t="s">
        <v>137</v>
      </c>
      <c r="D172" s="144"/>
      <c r="F172" s="36" t="s">
        <v>160</v>
      </c>
      <c r="G172" s="42">
        <f>SUM(J172:M172,O172:P172,R172:AA172)</f>
        <v>39.870000000000005</v>
      </c>
      <c r="H172" s="19" t="e">
        <f>IF(ISBLANK(B172),0,+#REF!/B172)</f>
        <v>#REF!</v>
      </c>
      <c r="I172" s="144"/>
      <c r="J172" s="82">
        <f>IF(ISBLANK(B172),0,IF(B172&gt;J$100,+J$99,+F$99))</f>
        <v>40</v>
      </c>
      <c r="K172" s="82">
        <f>IF($B172&gt;K$100,ROUND(K$100*K$99,2),ROUND($B172*K$99,2))</f>
        <v>-0.12</v>
      </c>
      <c r="L172" s="82">
        <f>IF($B172&gt;K$100,ROUND(($B172-K$100)*L$99,2),0)</f>
        <v>0</v>
      </c>
      <c r="M172" s="144"/>
      <c r="N172" s="42">
        <f>SUM(K172:L172)</f>
        <v>-0.12</v>
      </c>
      <c r="O172" s="144"/>
      <c r="P172" s="144"/>
      <c r="Q172" s="144"/>
      <c r="S172" s="42">
        <f>ROUND($B172*S$99*S171,2)</f>
        <v>0</v>
      </c>
      <c r="T172" s="42">
        <f>ROUND($B172*T$99,2)</f>
        <v>0</v>
      </c>
      <c r="U172" s="42">
        <f>ROUND($B172*U$99,2)</f>
        <v>0</v>
      </c>
      <c r="V172" s="41">
        <f>ROUND($B172*V$94,2)</f>
        <v>0</v>
      </c>
      <c r="W172" s="144"/>
      <c r="X172" s="42">
        <f>ROUND($B172*X$99,2)</f>
        <v>-0.01</v>
      </c>
      <c r="Y172" s="42">
        <f>ROUND($B172*Y$99,2)</f>
        <v>0</v>
      </c>
      <c r="Z172" s="42">
        <f>ROUND($B172*Z$99,2)</f>
        <v>0</v>
      </c>
      <c r="AA172" s="42">
        <f>ROUND($B172*AA$99,2)</f>
        <v>0</v>
      </c>
      <c r="AB172" s="19">
        <f>SUM(U$99:AA$99)+(-V$99+V134)</f>
        <v>1.6456999999999999E-2</v>
      </c>
      <c r="AC172" s="144"/>
      <c r="AE172" s="144"/>
      <c r="AG172" s="144"/>
      <c r="AI172" s="144"/>
      <c r="AK172" s="144"/>
      <c r="AM172" s="144"/>
      <c r="AO172" s="144"/>
      <c r="AQ172" s="144"/>
      <c r="AS172" s="144"/>
      <c r="AU172" s="144"/>
      <c r="AW172" s="144"/>
      <c r="AY172" s="144"/>
      <c r="BA172" s="144"/>
      <c r="BC172" s="144"/>
      <c r="BE172" s="144"/>
      <c r="BG172" s="144"/>
      <c r="BI172" s="144"/>
      <c r="BK172" s="144"/>
      <c r="BM172" s="144"/>
      <c r="BO172" s="144"/>
      <c r="BQ172" s="144"/>
      <c r="BS172" s="144"/>
      <c r="BU172" s="144"/>
      <c r="BW172" s="144"/>
      <c r="BY172" s="144"/>
      <c r="CA172" s="144"/>
      <c r="CC172" s="144"/>
      <c r="CE172" s="144"/>
      <c r="CG172" s="144"/>
      <c r="CI172" s="144"/>
      <c r="CK172" s="144"/>
      <c r="CM172" s="144"/>
      <c r="CO172" s="144"/>
      <c r="CQ172" s="144"/>
      <c r="CS172" s="144"/>
      <c r="CU172" s="144"/>
      <c r="CW172" s="144"/>
      <c r="CY172" s="144"/>
      <c r="DA172" s="144"/>
      <c r="DC172" s="144"/>
      <c r="DE172" s="144"/>
      <c r="DG172" s="144"/>
      <c r="DI172" s="144"/>
      <c r="DK172" s="144"/>
      <c r="DM172" s="144"/>
      <c r="DO172" s="144"/>
      <c r="DQ172" s="144"/>
      <c r="DS172" s="144"/>
    </row>
    <row r="173" spans="2:123" x14ac:dyDescent="0.2">
      <c r="B173" s="97">
        <v>-1</v>
      </c>
      <c r="C173" s="145"/>
      <c r="D173" s="144"/>
      <c r="F173" s="36"/>
      <c r="G173" s="42"/>
      <c r="H173" s="19"/>
      <c r="I173" s="144"/>
      <c r="J173" s="82"/>
      <c r="K173" s="82"/>
      <c r="L173" s="82"/>
      <c r="M173" s="144"/>
      <c r="N173" s="42"/>
      <c r="O173" s="144"/>
      <c r="P173" s="144"/>
      <c r="Q173" s="144"/>
      <c r="S173" s="50">
        <v>1</v>
      </c>
      <c r="T173" s="42"/>
      <c r="U173" s="42"/>
      <c r="V173" s="41"/>
      <c r="W173" s="144"/>
      <c r="X173" s="42"/>
      <c r="Y173" s="42"/>
      <c r="Z173" s="42"/>
      <c r="AA173" s="42"/>
      <c r="AB173" s="19"/>
      <c r="AC173" s="144"/>
      <c r="AE173" s="144"/>
      <c r="AG173" s="144"/>
      <c r="AI173" s="144"/>
      <c r="AK173" s="144"/>
      <c r="AM173" s="144"/>
      <c r="AO173" s="144"/>
      <c r="AQ173" s="144"/>
      <c r="AS173" s="144"/>
      <c r="AU173" s="144"/>
      <c r="AW173" s="144"/>
      <c r="AY173" s="144"/>
      <c r="BA173" s="144"/>
      <c r="BC173" s="144"/>
      <c r="BE173" s="144"/>
      <c r="BG173" s="144"/>
      <c r="BI173" s="144"/>
      <c r="BK173" s="144"/>
      <c r="BM173" s="144"/>
      <c r="BO173" s="144"/>
      <c r="BQ173" s="144"/>
      <c r="BS173" s="144"/>
      <c r="BU173" s="144"/>
      <c r="BW173" s="144"/>
      <c r="BY173" s="144"/>
      <c r="CA173" s="144"/>
      <c r="CC173" s="144"/>
      <c r="CE173" s="144"/>
      <c r="CG173" s="144"/>
      <c r="CI173" s="144"/>
      <c r="CK173" s="144"/>
      <c r="CM173" s="144"/>
      <c r="CO173" s="144"/>
      <c r="CQ173" s="144"/>
      <c r="CS173" s="144"/>
      <c r="CU173" s="144"/>
      <c r="CW173" s="144"/>
      <c r="CY173" s="144"/>
      <c r="DA173" s="144"/>
      <c r="DC173" s="144"/>
      <c r="DE173" s="144"/>
      <c r="DG173" s="144"/>
      <c r="DI173" s="144"/>
      <c r="DK173" s="144"/>
      <c r="DM173" s="144"/>
      <c r="DO173" s="144"/>
      <c r="DQ173" s="144"/>
      <c r="DS173" s="144"/>
    </row>
    <row r="174" spans="2:123" x14ac:dyDescent="0.2">
      <c r="B174" s="97">
        <f>IF(AND('AES Indiana Bill Calc.'!$D$17="SS",'AES Indiana Bill Calc.'!$D$18="Yes 100%",'AES Indiana Bill Calc.'!$D$20="Yes 2023"),'AES Indiana Bill Calc.'!$D$19,-1)</f>
        <v>-1</v>
      </c>
      <c r="C174" s="145" t="s">
        <v>138</v>
      </c>
      <c r="D174" s="144"/>
      <c r="F174" s="36" t="s">
        <v>161</v>
      </c>
      <c r="G174" s="42">
        <f>SUM(J174:M174,O174:P174,R174:AA174)</f>
        <v>39.870000000000005</v>
      </c>
      <c r="H174" s="19" t="e">
        <f>IF(ISBLANK(B174),0,+#REF!/B174)</f>
        <v>#REF!</v>
      </c>
      <c r="I174" s="144"/>
      <c r="J174" s="82">
        <f>IF(ISBLANK(B174),0,IF(B174&gt;J$100,+J$99,+F$99))</f>
        <v>40</v>
      </c>
      <c r="K174" s="82">
        <f>IF($B174&gt;K$100,ROUND(K$100*K$99,2),ROUND($B174*K$99,2))</f>
        <v>-0.12</v>
      </c>
      <c r="L174" s="82">
        <f>IF($B174&gt;K$100,ROUND(($B174-K$100)*L$99,2),0)</f>
        <v>0</v>
      </c>
      <c r="M174" s="144"/>
      <c r="N174" s="42">
        <f>SUM(K174:L174)</f>
        <v>-0.12</v>
      </c>
      <c r="O174" s="144"/>
      <c r="P174" s="144"/>
      <c r="Q174" s="144"/>
      <c r="S174" s="42">
        <f>ROUND($B174*S$99*S173,2)</f>
        <v>0</v>
      </c>
      <c r="T174" s="42">
        <f>ROUND($B174*T$99,2)</f>
        <v>0</v>
      </c>
      <c r="U174" s="42">
        <f>ROUND($B174*U$99,2)</f>
        <v>0</v>
      </c>
      <c r="V174" s="41">
        <f>ROUND($B174*V$95,2)</f>
        <v>0</v>
      </c>
      <c r="W174" s="144"/>
      <c r="X174" s="42">
        <f>ROUND($B174*X$99,2)</f>
        <v>-0.01</v>
      </c>
      <c r="Y174" s="42">
        <f>ROUND($B174*Y$99,2)</f>
        <v>0</v>
      </c>
      <c r="Z174" s="42">
        <f>ROUND($B174*Z$99,2)</f>
        <v>0</v>
      </c>
      <c r="AA174" s="42">
        <f>ROUND($B174*AA$99,2)</f>
        <v>0</v>
      </c>
      <c r="AB174" s="19">
        <f>SUM(U$99:AA$99)+(-V$99+V136)</f>
        <v>1.6456999999999999E-2</v>
      </c>
      <c r="AC174" s="144"/>
      <c r="AE174" s="144"/>
      <c r="AG174" s="144"/>
      <c r="AI174" s="144"/>
      <c r="AK174" s="144"/>
      <c r="AM174" s="144"/>
      <c r="AO174" s="144"/>
      <c r="AQ174" s="144"/>
      <c r="AS174" s="144"/>
      <c r="AU174" s="144"/>
      <c r="AW174" s="144"/>
      <c r="AY174" s="144"/>
      <c r="BA174" s="144"/>
      <c r="BC174" s="144"/>
      <c r="BE174" s="144"/>
      <c r="BG174" s="144"/>
      <c r="BI174" s="144"/>
      <c r="BK174" s="144"/>
      <c r="BM174" s="144"/>
      <c r="BO174" s="144"/>
      <c r="BQ174" s="144"/>
      <c r="BS174" s="144"/>
      <c r="BU174" s="144"/>
      <c r="BW174" s="144"/>
      <c r="BY174" s="144"/>
      <c r="CA174" s="144"/>
      <c r="CC174" s="144"/>
      <c r="CE174" s="144"/>
      <c r="CG174" s="144"/>
      <c r="CI174" s="144"/>
      <c r="CK174" s="144"/>
      <c r="CM174" s="144"/>
      <c r="CO174" s="144"/>
      <c r="CQ174" s="144"/>
      <c r="CS174" s="144"/>
      <c r="CU174" s="144"/>
      <c r="CW174" s="144"/>
      <c r="CY174" s="144"/>
      <c r="DA174" s="144"/>
      <c r="DC174" s="144"/>
      <c r="DE174" s="144"/>
      <c r="DG174" s="144"/>
      <c r="DI174" s="144"/>
      <c r="DK174" s="144"/>
      <c r="DM174" s="144"/>
      <c r="DO174" s="144"/>
      <c r="DQ174" s="144"/>
      <c r="DS174" s="144"/>
    </row>
    <row r="175" spans="2:123" x14ac:dyDescent="0.2">
      <c r="B175" s="97">
        <v>-1</v>
      </c>
      <c r="C175" s="9"/>
      <c r="F175" s="36"/>
      <c r="G175" s="42"/>
      <c r="H175" s="19"/>
      <c r="I175" s="19"/>
      <c r="J175" s="82"/>
      <c r="K175" s="82"/>
      <c r="L175" s="82"/>
      <c r="M175" s="41"/>
      <c r="N175" s="41"/>
      <c r="O175" s="41"/>
      <c r="P175" s="41"/>
      <c r="Q175" s="41"/>
      <c r="R175" s="41"/>
      <c r="S175" s="50">
        <v>0.5</v>
      </c>
      <c r="T175" s="42"/>
      <c r="U175" s="42"/>
      <c r="V175" s="41"/>
      <c r="W175" s="42"/>
      <c r="X175" s="42"/>
      <c r="Y175" s="42"/>
      <c r="Z175" s="42"/>
      <c r="AA175" s="42"/>
      <c r="AB175" s="19"/>
      <c r="AC175" s="94"/>
      <c r="AE175" s="144"/>
      <c r="AG175" s="144"/>
      <c r="AI175" s="144"/>
      <c r="AK175" s="144"/>
      <c r="AM175" s="144"/>
      <c r="AO175" s="144"/>
      <c r="AQ175" s="144"/>
      <c r="AS175" s="144"/>
      <c r="AU175" s="144"/>
      <c r="AW175" s="144"/>
      <c r="AY175" s="144"/>
      <c r="BA175" s="144"/>
      <c r="BC175" s="144"/>
      <c r="BE175" s="144"/>
      <c r="BG175" s="144"/>
      <c r="BI175" s="144"/>
      <c r="BK175" s="144"/>
      <c r="BM175" s="144"/>
      <c r="BO175" s="144"/>
      <c r="BQ175" s="144"/>
      <c r="BS175" s="144"/>
      <c r="BU175" s="144"/>
      <c r="BW175" s="144"/>
      <c r="BY175" s="144"/>
      <c r="CA175" s="144"/>
      <c r="CC175" s="144"/>
      <c r="CE175" s="144"/>
      <c r="CG175" s="144"/>
      <c r="CI175" s="144"/>
      <c r="CK175" s="144"/>
      <c r="CM175" s="144"/>
      <c r="CO175" s="144"/>
      <c r="CQ175" s="144"/>
      <c r="CS175" s="144"/>
      <c r="CU175" s="144"/>
      <c r="CW175" s="144"/>
      <c r="CY175" s="144"/>
      <c r="DA175" s="144"/>
      <c r="DC175" s="144"/>
      <c r="DE175" s="144"/>
      <c r="DG175" s="144"/>
      <c r="DI175" s="144"/>
      <c r="DK175" s="144"/>
      <c r="DM175" s="144"/>
      <c r="DO175" s="144"/>
      <c r="DQ175" s="144"/>
      <c r="DS175" s="144"/>
    </row>
    <row r="176" spans="2:123" x14ac:dyDescent="0.2">
      <c r="B176" s="103">
        <f>IF(AND('AES Indiana Bill Calc.'!$D$17="SS",'AES Indiana Bill Calc.'!$D$18="Yes 50%",'AES Indiana Bill Calc.'!$D$20="Yes 2023"),'AES Indiana Bill Calc.'!$D$19,-1)</f>
        <v>-1</v>
      </c>
      <c r="C176" s="1" t="s">
        <v>139</v>
      </c>
      <c r="D176" s="144"/>
      <c r="F176" s="36" t="s">
        <v>161</v>
      </c>
      <c r="G176" s="42">
        <f>SUM(J176:M176,O176:P176,R176:AA176)</f>
        <v>39.870000000000005</v>
      </c>
      <c r="H176" s="19" t="e">
        <f>IF(ISBLANK(B176),0,+#REF!/B176)</f>
        <v>#REF!</v>
      </c>
      <c r="I176" s="144"/>
      <c r="J176" s="82">
        <f>IF(ISBLANK(B176),0,IF(B176&gt;J$100,+J$99,+F$99))</f>
        <v>40</v>
      </c>
      <c r="K176" s="82">
        <f>IF($B176&gt;K$100,ROUND(K$100*K$99,2),ROUND($B176*K$99,2))</f>
        <v>-0.12</v>
      </c>
      <c r="L176" s="82">
        <f>IF($B176&gt;K$100,ROUND(($B176-K$100)*L$99,2),0)</f>
        <v>0</v>
      </c>
      <c r="M176" s="144"/>
      <c r="N176" s="42">
        <f>SUM(K176:L176)</f>
        <v>-0.12</v>
      </c>
      <c r="O176" s="144"/>
      <c r="P176" s="144"/>
      <c r="Q176" s="144"/>
      <c r="S176" s="42">
        <f>ROUND($B176*S$99*S175,2)</f>
        <v>0</v>
      </c>
      <c r="T176" s="42">
        <f>ROUND($B176*T$99,2)</f>
        <v>0</v>
      </c>
      <c r="U176" s="42">
        <f>ROUND($B176*U$99,2)</f>
        <v>0</v>
      </c>
      <c r="V176" s="41">
        <f>ROUND($B176*V$95,2)</f>
        <v>0</v>
      </c>
      <c r="W176" s="144"/>
      <c r="X176" s="42">
        <f>ROUND($B176*X$99,2)</f>
        <v>-0.01</v>
      </c>
      <c r="Y176" s="42">
        <f>ROUND($B176*Y$99,2)</f>
        <v>0</v>
      </c>
      <c r="Z176" s="42">
        <f>ROUND($B176*Z$99,2)</f>
        <v>0</v>
      </c>
      <c r="AA176" s="42">
        <f>ROUND($B176*AA$99,2)</f>
        <v>0</v>
      </c>
      <c r="AB176" s="19">
        <f>SUM(U$99:AA$99)+(-V$99+V138)</f>
        <v>1.6456999999999999E-2</v>
      </c>
      <c r="AC176" s="144"/>
      <c r="AE176" s="144"/>
      <c r="AG176" s="144"/>
      <c r="AI176" s="144"/>
      <c r="AK176" s="144"/>
      <c r="AM176" s="144"/>
      <c r="AO176" s="144"/>
      <c r="AQ176" s="144"/>
      <c r="AS176" s="144"/>
      <c r="AU176" s="144"/>
      <c r="AW176" s="144"/>
      <c r="AY176" s="144"/>
      <c r="BA176" s="144"/>
      <c r="BC176" s="144"/>
      <c r="BE176" s="144"/>
      <c r="BG176" s="144"/>
      <c r="BI176" s="144"/>
      <c r="BK176" s="144"/>
      <c r="BM176" s="144"/>
      <c r="BO176" s="144"/>
      <c r="BQ176" s="144"/>
      <c r="BS176" s="144"/>
      <c r="BU176" s="144"/>
      <c r="BW176" s="144"/>
      <c r="BY176" s="144"/>
      <c r="CA176" s="144"/>
      <c r="CC176" s="144"/>
      <c r="CE176" s="144"/>
      <c r="CG176" s="144"/>
      <c r="CI176" s="144"/>
      <c r="CK176" s="144"/>
      <c r="CM176" s="144"/>
      <c r="CO176" s="144"/>
      <c r="CQ176" s="144"/>
      <c r="CS176" s="144"/>
      <c r="CU176" s="144"/>
      <c r="CW176" s="144"/>
      <c r="CY176" s="144"/>
      <c r="DA176" s="144"/>
      <c r="DC176" s="144"/>
      <c r="DE176" s="144"/>
      <c r="DG176" s="144"/>
      <c r="DI176" s="144"/>
      <c r="DK176" s="144"/>
      <c r="DM176" s="144"/>
      <c r="DO176" s="144"/>
      <c r="DQ176" s="144"/>
      <c r="DS176" s="144"/>
    </row>
    <row r="177" spans="1:123" x14ac:dyDescent="0.2">
      <c r="B177" s="97">
        <v>-1</v>
      </c>
      <c r="C177" s="9"/>
      <c r="F177" s="36"/>
      <c r="G177" s="42"/>
      <c r="H177" s="19"/>
      <c r="I177" s="19"/>
      <c r="J177" s="82"/>
      <c r="K177" s="82"/>
      <c r="L177" s="82"/>
      <c r="M177" s="41"/>
      <c r="N177" s="41"/>
      <c r="O177" s="41"/>
      <c r="P177" s="41"/>
      <c r="Q177" s="41"/>
      <c r="R177" s="41"/>
      <c r="S177" s="50">
        <v>0.25</v>
      </c>
      <c r="T177" s="42"/>
      <c r="U177" s="42"/>
      <c r="V177" s="41"/>
      <c r="W177" s="42"/>
      <c r="X177" s="42"/>
      <c r="Y177" s="42"/>
      <c r="Z177" s="42"/>
      <c r="AA177" s="42"/>
      <c r="AB177" s="19"/>
      <c r="AC177" s="94"/>
      <c r="AE177" s="144"/>
      <c r="AG177" s="144"/>
      <c r="AI177" s="144"/>
      <c r="AK177" s="144"/>
      <c r="AM177" s="144"/>
      <c r="AO177" s="144"/>
      <c r="AQ177" s="144"/>
      <c r="AS177" s="144"/>
      <c r="AU177" s="144"/>
      <c r="AW177" s="144"/>
      <c r="AY177" s="144"/>
      <c r="BA177" s="144"/>
      <c r="BC177" s="144"/>
      <c r="BE177" s="144"/>
      <c r="BG177" s="144"/>
      <c r="BI177" s="144"/>
      <c r="BK177" s="144"/>
      <c r="BM177" s="144"/>
      <c r="BO177" s="144"/>
      <c r="BQ177" s="144"/>
      <c r="BS177" s="144"/>
      <c r="BU177" s="144"/>
      <c r="BW177" s="144"/>
      <c r="BY177" s="144"/>
      <c r="CA177" s="144"/>
      <c r="CC177" s="144"/>
      <c r="CE177" s="144"/>
      <c r="CG177" s="144"/>
      <c r="CI177" s="144"/>
      <c r="CK177" s="144"/>
      <c r="CM177" s="144"/>
      <c r="CO177" s="144"/>
      <c r="CQ177" s="144"/>
      <c r="CS177" s="144"/>
      <c r="CU177" s="144"/>
      <c r="CW177" s="144"/>
      <c r="CY177" s="144"/>
      <c r="DA177" s="144"/>
      <c r="DC177" s="144"/>
      <c r="DE177" s="144"/>
      <c r="DG177" s="144"/>
      <c r="DI177" s="144"/>
      <c r="DK177" s="144"/>
      <c r="DM177" s="144"/>
      <c r="DO177" s="144"/>
      <c r="DQ177" s="144"/>
      <c r="DS177" s="144"/>
    </row>
    <row r="178" spans="1:123" x14ac:dyDescent="0.2">
      <c r="B178" s="103">
        <f>IF(AND('AES Indiana Bill Calc.'!$D$17="SS",'AES Indiana Bill Calc.'!$D$18="Yes 25%",'AES Indiana Bill Calc.'!$D$20="Yes 2023"),'AES Indiana Bill Calc.'!$D$19,-1)</f>
        <v>-1</v>
      </c>
      <c r="C178" s="1" t="s">
        <v>140</v>
      </c>
      <c r="D178" s="144"/>
      <c r="F178" s="36" t="s">
        <v>161</v>
      </c>
      <c r="G178" s="42">
        <f>SUM(J178:M178,O178:P178,R178:AA178)</f>
        <v>39.870000000000005</v>
      </c>
      <c r="H178" s="19" t="e">
        <f>IF(ISBLANK(B178),0,+#REF!/B178)</f>
        <v>#REF!</v>
      </c>
      <c r="I178" s="144"/>
      <c r="J178" s="82">
        <f>IF(ISBLANK(B178),0,IF(B178&gt;J$100,+J$99,+F$99))</f>
        <v>40</v>
      </c>
      <c r="K178" s="82">
        <f>IF($B178&gt;K$100,ROUND(K$100*K$99,2),ROUND($B178*K$99,2))</f>
        <v>-0.12</v>
      </c>
      <c r="L178" s="82">
        <f>IF($B178&gt;K$100,ROUND(($B178-K$100)*L$99,2),0)</f>
        <v>0</v>
      </c>
      <c r="M178" s="144"/>
      <c r="N178" s="42">
        <f>SUM(K178:L178)</f>
        <v>-0.12</v>
      </c>
      <c r="O178" s="144"/>
      <c r="P178" s="144"/>
      <c r="Q178" s="144"/>
      <c r="S178" s="42">
        <f>ROUND($B178*S$99*S177,2)</f>
        <v>0</v>
      </c>
      <c r="T178" s="42">
        <f>ROUND($B178*T$99,2)</f>
        <v>0</v>
      </c>
      <c r="U178" s="42">
        <f>ROUND($B178*U$99,2)</f>
        <v>0</v>
      </c>
      <c r="V178" s="41">
        <f>ROUND($B178*V$95,2)</f>
        <v>0</v>
      </c>
      <c r="W178" s="144"/>
      <c r="X178" s="42">
        <f>ROUND($B178*X$99,2)</f>
        <v>-0.01</v>
      </c>
      <c r="Y178" s="42">
        <f>ROUND($B178*Y$99,2)</f>
        <v>0</v>
      </c>
      <c r="Z178" s="42">
        <f>ROUND($B178*Z$99,2)</f>
        <v>0</v>
      </c>
      <c r="AA178" s="42">
        <f>ROUND($B178*AA$99,2)</f>
        <v>0</v>
      </c>
      <c r="AB178" s="19">
        <f>SUM(U$99:AA$99)+(-V$99+V140)</f>
        <v>1.6456999999999999E-2</v>
      </c>
      <c r="AC178" s="144"/>
      <c r="AE178" s="144"/>
      <c r="AG178" s="144"/>
      <c r="AI178" s="144"/>
      <c r="AK178" s="144"/>
      <c r="AM178" s="144"/>
      <c r="AO178" s="144"/>
      <c r="AQ178" s="144"/>
      <c r="AS178" s="144"/>
      <c r="AU178" s="144"/>
      <c r="AW178" s="144"/>
      <c r="AY178" s="144"/>
      <c r="BA178" s="144"/>
      <c r="BC178" s="144"/>
      <c r="BE178" s="144"/>
      <c r="BG178" s="144"/>
      <c r="BI178" s="144"/>
      <c r="BK178" s="144"/>
      <c r="BM178" s="144"/>
      <c r="BO178" s="144"/>
      <c r="BQ178" s="144"/>
      <c r="BS178" s="144"/>
      <c r="BU178" s="144"/>
      <c r="BW178" s="144"/>
      <c r="BY178" s="144"/>
      <c r="CA178" s="144"/>
      <c r="CC178" s="144"/>
      <c r="CE178" s="144"/>
      <c r="CG178" s="144"/>
      <c r="CI178" s="144"/>
      <c r="CK178" s="144"/>
      <c r="CM178" s="144"/>
      <c r="CO178" s="144"/>
      <c r="CQ178" s="144"/>
      <c r="CS178" s="144"/>
      <c r="CU178" s="144"/>
      <c r="CW178" s="144"/>
      <c r="CY178" s="144"/>
      <c r="DA178" s="144"/>
      <c r="DC178" s="144"/>
      <c r="DE178" s="144"/>
      <c r="DG178" s="144"/>
      <c r="DI178" s="144"/>
      <c r="DK178" s="144"/>
      <c r="DM178" s="144"/>
      <c r="DO178" s="144"/>
      <c r="DQ178" s="144"/>
      <c r="DS178" s="144"/>
    </row>
    <row r="179" spans="1:123" x14ac:dyDescent="0.2">
      <c r="B179" s="97">
        <v>-1</v>
      </c>
      <c r="C179" s="9"/>
      <c r="F179" s="36"/>
      <c r="G179" s="42"/>
      <c r="H179" s="19"/>
      <c r="I179" s="19"/>
      <c r="J179" s="82"/>
      <c r="K179" s="82"/>
      <c r="L179" s="82"/>
      <c r="M179" s="41"/>
      <c r="N179" s="41"/>
      <c r="O179" s="41"/>
      <c r="P179" s="41"/>
      <c r="Q179" s="41"/>
      <c r="R179" s="41"/>
      <c r="S179" s="50">
        <v>0.1</v>
      </c>
      <c r="T179" s="42"/>
      <c r="U179" s="42"/>
      <c r="V179" s="41"/>
      <c r="W179" s="42"/>
      <c r="X179" s="42"/>
      <c r="Y179" s="42"/>
      <c r="Z179" s="42"/>
      <c r="AA179" s="42"/>
      <c r="AB179" s="19"/>
      <c r="AC179" s="94"/>
      <c r="AE179" s="144"/>
      <c r="AG179" s="144"/>
      <c r="AI179" s="144"/>
      <c r="AK179" s="144"/>
      <c r="AM179" s="144"/>
      <c r="AO179" s="144"/>
      <c r="AQ179" s="144"/>
      <c r="AS179" s="144"/>
      <c r="AU179" s="144"/>
      <c r="AW179" s="144"/>
      <c r="AY179" s="144"/>
      <c r="BA179" s="144"/>
      <c r="BC179" s="144"/>
      <c r="BE179" s="144"/>
      <c r="BG179" s="144"/>
      <c r="BI179" s="144"/>
      <c r="BK179" s="144"/>
      <c r="BM179" s="144"/>
      <c r="BO179" s="144"/>
      <c r="BQ179" s="144"/>
      <c r="BS179" s="144"/>
      <c r="BU179" s="144"/>
      <c r="BW179" s="144"/>
      <c r="BY179" s="144"/>
      <c r="CA179" s="144"/>
      <c r="CC179" s="144"/>
      <c r="CE179" s="144"/>
      <c r="CG179" s="144"/>
      <c r="CI179" s="144"/>
      <c r="CK179" s="144"/>
      <c r="CM179" s="144"/>
      <c r="CO179" s="144"/>
      <c r="CQ179" s="144"/>
      <c r="CS179" s="144"/>
      <c r="CU179" s="144"/>
      <c r="CW179" s="144"/>
      <c r="CY179" s="144"/>
      <c r="DA179" s="144"/>
      <c r="DC179" s="144"/>
      <c r="DE179" s="144"/>
      <c r="DG179" s="144"/>
      <c r="DI179" s="144"/>
      <c r="DK179" s="144"/>
      <c r="DM179" s="144"/>
      <c r="DO179" s="144"/>
      <c r="DQ179" s="144"/>
      <c r="DS179" s="144"/>
    </row>
    <row r="180" spans="1:123" x14ac:dyDescent="0.2">
      <c r="B180" s="103">
        <f>IF(AND('AES Indiana Bill Calc.'!$D$17="SS",'AES Indiana Bill Calc.'!$D$18="Yes 10%",'AES Indiana Bill Calc.'!$D$20="Yes 2023"),'AES Indiana Bill Calc.'!$D$19,-1)</f>
        <v>-1</v>
      </c>
      <c r="C180" s="1" t="s">
        <v>154</v>
      </c>
      <c r="D180" s="144"/>
      <c r="F180" s="36" t="s">
        <v>161</v>
      </c>
      <c r="G180" s="42">
        <f>SUM(J180:M180,O180:P180,R180:AA180)</f>
        <v>39.870000000000005</v>
      </c>
      <c r="H180" s="19" t="e">
        <f>IF(ISBLANK(B180),0,+#REF!/B180)</f>
        <v>#REF!</v>
      </c>
      <c r="I180" s="144"/>
      <c r="J180" s="82">
        <f>IF(ISBLANK(B180),0,IF(B180&gt;J$100,+J$99,+F$99))</f>
        <v>40</v>
      </c>
      <c r="K180" s="82">
        <f>IF($B180&gt;K$100,ROUND(K$100*K$99,2),ROUND($B180*K$99,2))</f>
        <v>-0.12</v>
      </c>
      <c r="L180" s="82">
        <f>IF($B180&gt;K$100,ROUND(($B180-K$100)*L$99,2),0)</f>
        <v>0</v>
      </c>
      <c r="M180" s="144"/>
      <c r="N180" s="42">
        <f>SUM(K180:L180)</f>
        <v>-0.12</v>
      </c>
      <c r="O180" s="144"/>
      <c r="P180" s="144"/>
      <c r="Q180" s="144"/>
      <c r="S180" s="42">
        <f>ROUND($B180*S$99*S179,2)</f>
        <v>0</v>
      </c>
      <c r="T180" s="42">
        <f>ROUND($B180*T$99,2)</f>
        <v>0</v>
      </c>
      <c r="U180" s="42">
        <f>ROUND($B180*U$99,2)</f>
        <v>0</v>
      </c>
      <c r="V180" s="41">
        <f>ROUND($B180*V$95,2)</f>
        <v>0</v>
      </c>
      <c r="W180" s="144"/>
      <c r="X180" s="42">
        <f>ROUND($B180*X$99,2)</f>
        <v>-0.01</v>
      </c>
      <c r="Y180" s="42">
        <f>ROUND($B180*Y$99,2)</f>
        <v>0</v>
      </c>
      <c r="Z180" s="42">
        <f>ROUND($B180*Z$99,2)</f>
        <v>0</v>
      </c>
      <c r="AA180" s="42">
        <f>ROUND($B180*AA$99,2)</f>
        <v>0</v>
      </c>
      <c r="AB180" s="19">
        <f>SUM(U$99:AA$99)+(-V$99+V142)</f>
        <v>1.6456999999999999E-2</v>
      </c>
      <c r="AC180" s="144"/>
      <c r="AE180" s="144"/>
      <c r="AG180" s="144"/>
      <c r="AI180" s="144"/>
      <c r="AK180" s="144"/>
      <c r="AM180" s="144"/>
      <c r="AO180" s="144"/>
      <c r="AQ180" s="144"/>
      <c r="AS180" s="144"/>
      <c r="AU180" s="144"/>
      <c r="AW180" s="144"/>
      <c r="AY180" s="144"/>
      <c r="BA180" s="144"/>
      <c r="BC180" s="144"/>
      <c r="BE180" s="144"/>
      <c r="BG180" s="144"/>
      <c r="BI180" s="144"/>
      <c r="BK180" s="144"/>
      <c r="BM180" s="144"/>
      <c r="BO180" s="144"/>
      <c r="BQ180" s="144"/>
      <c r="BS180" s="144"/>
      <c r="BU180" s="144"/>
      <c r="BW180" s="144"/>
      <c r="BY180" s="144"/>
      <c r="CA180" s="144"/>
      <c r="CC180" s="144"/>
      <c r="CE180" s="144"/>
      <c r="CG180" s="144"/>
      <c r="CI180" s="144"/>
      <c r="CK180" s="144"/>
      <c r="CM180" s="144"/>
      <c r="CO180" s="144"/>
      <c r="CQ180" s="144"/>
      <c r="CS180" s="144"/>
      <c r="CU180" s="144"/>
      <c r="CW180" s="144"/>
      <c r="CY180" s="144"/>
      <c r="DA180" s="144"/>
      <c r="DC180" s="144"/>
      <c r="DE180" s="144"/>
      <c r="DG180" s="144"/>
      <c r="DI180" s="144"/>
      <c r="DK180" s="144"/>
      <c r="DM180" s="144"/>
      <c r="DO180" s="144"/>
      <c r="DQ180" s="144"/>
      <c r="DS180" s="144"/>
    </row>
    <row r="181" spans="1:123" x14ac:dyDescent="0.2">
      <c r="B181" s="97">
        <v>-1</v>
      </c>
      <c r="F181" s="36"/>
      <c r="G181" s="42"/>
      <c r="H181" s="19"/>
      <c r="I181" s="19"/>
      <c r="J181" s="82"/>
      <c r="K181" s="82"/>
      <c r="L181" s="82"/>
      <c r="M181" s="41"/>
      <c r="N181" s="41"/>
      <c r="O181" s="41"/>
      <c r="P181" s="41"/>
      <c r="Q181" s="41"/>
      <c r="R181" s="41"/>
      <c r="S181" s="50">
        <v>0</v>
      </c>
      <c r="T181" s="42"/>
      <c r="U181" s="42"/>
      <c r="V181" s="41"/>
      <c r="W181" s="42"/>
      <c r="X181" s="42"/>
      <c r="Y181" s="42"/>
      <c r="Z181" s="42"/>
      <c r="AA181" s="42"/>
      <c r="AB181" s="19"/>
      <c r="AC181" s="94"/>
      <c r="AE181" s="144"/>
      <c r="AG181" s="144"/>
      <c r="AI181" s="144"/>
      <c r="AK181" s="144"/>
      <c r="AM181" s="144"/>
      <c r="AO181" s="144"/>
      <c r="AQ181" s="144"/>
      <c r="AS181" s="144"/>
      <c r="AU181" s="144"/>
      <c r="AW181" s="144"/>
      <c r="AY181" s="144"/>
      <c r="BA181" s="144"/>
      <c r="BC181" s="144"/>
      <c r="BE181" s="144"/>
      <c r="BG181" s="144"/>
      <c r="BI181" s="144"/>
      <c r="BK181" s="144"/>
      <c r="BM181" s="144"/>
      <c r="BO181" s="144"/>
      <c r="BQ181" s="144"/>
      <c r="BS181" s="144"/>
      <c r="BU181" s="144"/>
      <c r="BW181" s="144"/>
      <c r="BY181" s="144"/>
      <c r="CA181" s="144"/>
      <c r="CC181" s="144"/>
      <c r="CE181" s="144"/>
      <c r="CG181" s="144"/>
      <c r="CI181" s="144"/>
      <c r="CK181" s="144"/>
      <c r="CM181" s="144"/>
      <c r="CO181" s="144"/>
      <c r="CQ181" s="144"/>
      <c r="CS181" s="144"/>
      <c r="CU181" s="144"/>
      <c r="CW181" s="144"/>
      <c r="CY181" s="144"/>
      <c r="DA181" s="144"/>
      <c r="DC181" s="144"/>
      <c r="DE181" s="144"/>
      <c r="DG181" s="144"/>
      <c r="DI181" s="144"/>
      <c r="DK181" s="144"/>
      <c r="DM181" s="144"/>
      <c r="DO181" s="144"/>
      <c r="DQ181" s="144"/>
      <c r="DS181" s="144"/>
    </row>
    <row r="182" spans="1:123" ht="13.5" thickBot="1" x14ac:dyDescent="0.25">
      <c r="A182" s="21"/>
      <c r="B182" s="106">
        <f>IF(AND('AES Indiana Bill Calc.'!$D$17="SS",'AES Indiana Bill Calc.'!$D$18="No",'AES Indiana Bill Calc.'!$D$20="Yes 2023"),'AES Indiana Bill Calc.'!$D$19,-1)</f>
        <v>-1</v>
      </c>
      <c r="C182" s="146" t="s">
        <v>137</v>
      </c>
      <c r="D182" s="125"/>
      <c r="E182" s="21"/>
      <c r="F182" s="79" t="s">
        <v>161</v>
      </c>
      <c r="G182" s="23">
        <f>SUM(J182:M182,O182:P182,R182:AA182)</f>
        <v>39.870000000000005</v>
      </c>
      <c r="H182" s="25" t="e">
        <f>IF(ISBLANK(B182),0,+#REF!/B182)</f>
        <v>#REF!</v>
      </c>
      <c r="I182" s="125"/>
      <c r="J182" s="22">
        <f>IF(ISBLANK(B182),0,IF(B182&gt;J$100,+J$99,+F$99))</f>
        <v>40</v>
      </c>
      <c r="K182" s="22">
        <f>IF($B182&gt;K$100,ROUND(K$100*K$99,2),ROUND($B182*K$99,2))</f>
        <v>-0.12</v>
      </c>
      <c r="L182" s="22">
        <f>IF($B182&gt;K$100,ROUND(($B182-K$100)*L$99,2),0)</f>
        <v>0</v>
      </c>
      <c r="M182" s="125"/>
      <c r="N182" s="23">
        <f>SUM(K182:L182)</f>
        <v>-0.12</v>
      </c>
      <c r="O182" s="125"/>
      <c r="P182" s="125"/>
      <c r="Q182" s="125"/>
      <c r="R182" s="21"/>
      <c r="S182" s="23">
        <f>ROUND($B182*S$99*S181,2)</f>
        <v>0</v>
      </c>
      <c r="T182" s="23">
        <f>ROUND($B182*T$99,2)</f>
        <v>0</v>
      </c>
      <c r="U182" s="23">
        <f>ROUND($B182*U$99,2)</f>
        <v>0</v>
      </c>
      <c r="V182" s="24">
        <f>ROUND($B182*V$95,2)</f>
        <v>0</v>
      </c>
      <c r="W182" s="125"/>
      <c r="X182" s="23">
        <f>ROUND($B182*X$99,2)</f>
        <v>-0.01</v>
      </c>
      <c r="Y182" s="23">
        <f>ROUND($B182*Y$99,2)</f>
        <v>0</v>
      </c>
      <c r="Z182" s="23">
        <f>ROUND($B182*Z$99,2)</f>
        <v>0</v>
      </c>
      <c r="AA182" s="23">
        <f>ROUND($B182*AA$99,2)</f>
        <v>0</v>
      </c>
      <c r="AB182" s="25">
        <f>SUM(U$99:AA$99)+(-V$99+V144)</f>
        <v>1.6456999999999999E-2</v>
      </c>
      <c r="AC182" s="125"/>
      <c r="AE182" s="144"/>
      <c r="AG182" s="144"/>
      <c r="AI182" s="144"/>
      <c r="AK182" s="144"/>
      <c r="AM182" s="144"/>
      <c r="AO182" s="144"/>
      <c r="AQ182" s="144"/>
      <c r="AS182" s="144"/>
      <c r="AU182" s="144"/>
      <c r="AW182" s="144"/>
      <c r="AY182" s="144"/>
      <c r="BA182" s="144"/>
      <c r="BC182" s="144"/>
      <c r="BE182" s="144"/>
      <c r="BG182" s="144"/>
      <c r="BI182" s="144"/>
      <c r="BK182" s="144"/>
      <c r="BM182" s="144"/>
      <c r="BO182" s="144"/>
      <c r="BQ182" s="144"/>
      <c r="BS182" s="144"/>
      <c r="BU182" s="144"/>
      <c r="BW182" s="144"/>
      <c r="BY182" s="144"/>
      <c r="CA182" s="144"/>
      <c r="CC182" s="144"/>
      <c r="CE182" s="144"/>
      <c r="CG182" s="144"/>
      <c r="CI182" s="144"/>
      <c r="CK182" s="144"/>
      <c r="CM182" s="144"/>
      <c r="CO182" s="144"/>
      <c r="CQ182" s="144"/>
      <c r="CS182" s="144"/>
      <c r="CU182" s="144"/>
      <c r="CW182" s="144"/>
      <c r="CY182" s="144"/>
      <c r="DA182" s="144"/>
      <c r="DC182" s="144"/>
      <c r="DE182" s="144"/>
      <c r="DG182" s="144"/>
      <c r="DI182" s="144"/>
      <c r="DK182" s="144"/>
      <c r="DM182" s="144"/>
      <c r="DO182" s="144"/>
      <c r="DQ182" s="144"/>
      <c r="DS182" s="144"/>
    </row>
    <row r="183" spans="1:123" x14ac:dyDescent="0.2">
      <c r="B183" s="97">
        <v>-1</v>
      </c>
      <c r="C183" s="145"/>
      <c r="D183" s="144"/>
      <c r="F183" s="36"/>
      <c r="G183" s="42"/>
      <c r="H183" s="19"/>
      <c r="I183" s="144"/>
      <c r="J183" s="82"/>
      <c r="K183" s="82"/>
      <c r="L183" s="82"/>
      <c r="M183" s="144"/>
      <c r="N183" s="42"/>
      <c r="O183" s="144"/>
      <c r="P183" s="144"/>
      <c r="Q183" s="144"/>
      <c r="S183" s="50">
        <v>1</v>
      </c>
      <c r="T183" s="42"/>
      <c r="U183" s="42"/>
      <c r="V183" s="41"/>
      <c r="W183" s="144"/>
      <c r="X183" s="42"/>
      <c r="Y183" s="42"/>
      <c r="Z183" s="42"/>
      <c r="AA183" s="42"/>
      <c r="AB183" s="19"/>
      <c r="AC183" s="144"/>
      <c r="AE183" s="144"/>
      <c r="AG183" s="144"/>
      <c r="AI183" s="144"/>
      <c r="AK183" s="144"/>
      <c r="AM183" s="144"/>
      <c r="AO183" s="144"/>
      <c r="AQ183" s="144"/>
      <c r="AS183" s="144"/>
      <c r="AU183" s="144"/>
      <c r="AW183" s="144"/>
      <c r="AY183" s="144"/>
      <c r="BA183" s="144"/>
      <c r="BC183" s="144"/>
      <c r="BE183" s="144"/>
      <c r="BG183" s="144"/>
      <c r="BI183" s="144"/>
      <c r="BK183" s="144"/>
      <c r="BM183" s="144"/>
      <c r="BO183" s="144"/>
      <c r="BQ183" s="144"/>
      <c r="BS183" s="144"/>
      <c r="BU183" s="144"/>
      <c r="BW183" s="144"/>
      <c r="BY183" s="144"/>
      <c r="CA183" s="144"/>
      <c r="CC183" s="144"/>
      <c r="CE183" s="144"/>
      <c r="CG183" s="144"/>
      <c r="CI183" s="144"/>
      <c r="CK183" s="144"/>
      <c r="CM183" s="144"/>
      <c r="CO183" s="144"/>
      <c r="CQ183" s="144"/>
      <c r="CS183" s="144"/>
      <c r="CU183" s="144"/>
      <c r="CW183" s="144"/>
      <c r="CY183" s="144"/>
      <c r="DA183" s="144"/>
      <c r="DC183" s="144"/>
      <c r="DE183" s="144"/>
      <c r="DG183" s="144"/>
      <c r="DI183" s="144"/>
      <c r="DK183" s="144"/>
      <c r="DM183" s="144"/>
      <c r="DO183" s="144"/>
      <c r="DQ183" s="144"/>
      <c r="DS183" s="144"/>
    </row>
    <row r="184" spans="1:123" x14ac:dyDescent="0.2">
      <c r="B184" s="97">
        <f>IF(AND('AES Indiana Bill Calc.'!$D$17="SS",'AES Indiana Bill Calc.'!$D$18="Yes 100%",'AES Indiana Bill Calc.'!$D$20="Yes 2024"),'AES Indiana Bill Calc.'!$D$19,-1)</f>
        <v>-1</v>
      </c>
      <c r="C184" s="145" t="s">
        <v>138</v>
      </c>
      <c r="D184" s="144"/>
      <c r="F184" s="36" t="s">
        <v>293</v>
      </c>
      <c r="G184" s="42">
        <f>SUM(J184:M184,O184:P184,R184:AA184)</f>
        <v>39.870000000000005</v>
      </c>
      <c r="H184" s="19" t="e">
        <f>IF(ISBLANK(B184),0,+#REF!/B184)</f>
        <v>#REF!</v>
      </c>
      <c r="I184" s="144"/>
      <c r="J184" s="82">
        <f>IF(ISBLANK(B184),0,IF(B184&gt;J$100,+J$99,+F$99))</f>
        <v>40</v>
      </c>
      <c r="K184" s="82">
        <f>IF($B184&gt;K$100,ROUND(K$100*K$99,2),ROUND($B184*K$99,2))</f>
        <v>-0.12</v>
      </c>
      <c r="L184" s="82">
        <f>IF($B184&gt;K$100,ROUND(($B184-K$100)*L$99,2),0)</f>
        <v>0</v>
      </c>
      <c r="M184" s="144"/>
      <c r="N184" s="42">
        <f>SUM(K184:L184)</f>
        <v>-0.12</v>
      </c>
      <c r="O184" s="144"/>
      <c r="P184" s="144"/>
      <c r="Q184" s="144"/>
      <c r="S184" s="42">
        <f>ROUND($B184*S$99*S183,2)</f>
        <v>0</v>
      </c>
      <c r="T184" s="42">
        <f>ROUND($B184*T$99,2)</f>
        <v>0</v>
      </c>
      <c r="U184" s="42">
        <f>ROUND($B184*U$99,2)</f>
        <v>0</v>
      </c>
      <c r="V184" s="41">
        <f>ROUND($B184*V$96,2)</f>
        <v>0</v>
      </c>
      <c r="W184" s="144"/>
      <c r="X184" s="42">
        <f>ROUND($B184*X$99,2)</f>
        <v>-0.01</v>
      </c>
      <c r="Y184" s="42">
        <f>ROUND($B184*Y$99,2)</f>
        <v>0</v>
      </c>
      <c r="Z184" s="42">
        <f>ROUND($B184*Z$99,2)</f>
        <v>0</v>
      </c>
      <c r="AA184" s="42">
        <f>ROUND($B184*AA$99,2)</f>
        <v>0</v>
      </c>
      <c r="AB184" s="19">
        <f>SUM(U$99:AA$99)+(-V$99+V146)</f>
        <v>1.6456999999999999E-2</v>
      </c>
      <c r="AC184" s="144"/>
      <c r="AE184" s="144"/>
      <c r="AG184" s="144"/>
      <c r="AI184" s="144"/>
      <c r="AK184" s="144"/>
      <c r="AM184" s="144"/>
      <c r="AO184" s="144"/>
      <c r="AQ184" s="144"/>
      <c r="AS184" s="144"/>
      <c r="AU184" s="144"/>
      <c r="AW184" s="144"/>
      <c r="AY184" s="144"/>
      <c r="BA184" s="144"/>
      <c r="BC184" s="144"/>
      <c r="BE184" s="144"/>
      <c r="BG184" s="144"/>
      <c r="BI184" s="144"/>
      <c r="BK184" s="144"/>
      <c r="BM184" s="144"/>
      <c r="BO184" s="144"/>
      <c r="BQ184" s="144"/>
      <c r="BS184" s="144"/>
      <c r="BU184" s="144"/>
      <c r="BW184" s="144"/>
      <c r="BY184" s="144"/>
      <c r="CA184" s="144"/>
      <c r="CC184" s="144"/>
      <c r="CE184" s="144"/>
      <c r="CG184" s="144"/>
      <c r="CI184" s="144"/>
      <c r="CK184" s="144"/>
      <c r="CM184" s="144"/>
      <c r="CO184" s="144"/>
      <c r="CQ184" s="144"/>
      <c r="CS184" s="144"/>
      <c r="CU184" s="144"/>
      <c r="CW184" s="144"/>
      <c r="CY184" s="144"/>
      <c r="DA184" s="144"/>
      <c r="DC184" s="144"/>
      <c r="DE184" s="144"/>
      <c r="DG184" s="144"/>
      <c r="DI184" s="144"/>
      <c r="DK184" s="144"/>
      <c r="DM184" s="144"/>
      <c r="DO184" s="144"/>
      <c r="DQ184" s="144"/>
      <c r="DS184" s="144"/>
    </row>
    <row r="185" spans="1:123" x14ac:dyDescent="0.2">
      <c r="B185" s="97">
        <v>-1</v>
      </c>
      <c r="C185" s="9"/>
      <c r="F185" s="36"/>
      <c r="G185" s="42"/>
      <c r="H185" s="19"/>
      <c r="I185" s="19"/>
      <c r="J185" s="82"/>
      <c r="K185" s="82"/>
      <c r="L185" s="82"/>
      <c r="M185" s="41"/>
      <c r="N185" s="41"/>
      <c r="O185" s="41"/>
      <c r="P185" s="41"/>
      <c r="Q185" s="41"/>
      <c r="R185" s="41"/>
      <c r="S185" s="50">
        <v>0.5</v>
      </c>
      <c r="T185" s="42"/>
      <c r="U185" s="42"/>
      <c r="V185" s="41"/>
      <c r="W185" s="42"/>
      <c r="X185" s="42"/>
      <c r="Y185" s="42"/>
      <c r="Z185" s="42"/>
      <c r="AA185" s="42"/>
      <c r="AB185" s="19"/>
      <c r="AC185" s="94"/>
      <c r="AE185" s="144"/>
      <c r="AG185" s="144"/>
      <c r="AI185" s="144"/>
      <c r="AK185" s="144"/>
      <c r="AM185" s="144"/>
      <c r="AO185" s="144"/>
      <c r="AQ185" s="144"/>
      <c r="AS185" s="144"/>
      <c r="AU185" s="144"/>
      <c r="AW185" s="144"/>
      <c r="AY185" s="144"/>
      <c r="BA185" s="144"/>
      <c r="BC185" s="144"/>
      <c r="BE185" s="144"/>
      <c r="BG185" s="144"/>
      <c r="BI185" s="144"/>
      <c r="BK185" s="144"/>
      <c r="BM185" s="144"/>
      <c r="BO185" s="144"/>
      <c r="BQ185" s="144"/>
      <c r="BS185" s="144"/>
      <c r="BU185" s="144"/>
      <c r="BW185" s="144"/>
      <c r="BY185" s="144"/>
      <c r="CA185" s="144"/>
      <c r="CC185" s="144"/>
      <c r="CE185" s="144"/>
      <c r="CG185" s="144"/>
      <c r="CI185" s="144"/>
      <c r="CK185" s="144"/>
      <c r="CM185" s="144"/>
      <c r="CO185" s="144"/>
      <c r="CQ185" s="144"/>
      <c r="CS185" s="144"/>
      <c r="CU185" s="144"/>
      <c r="CW185" s="144"/>
      <c r="CY185" s="144"/>
      <c r="DA185" s="144"/>
      <c r="DC185" s="144"/>
      <c r="DE185" s="144"/>
      <c r="DG185" s="144"/>
      <c r="DI185" s="144"/>
      <c r="DK185" s="144"/>
      <c r="DM185" s="144"/>
      <c r="DO185" s="144"/>
      <c r="DQ185" s="144"/>
      <c r="DS185" s="144"/>
    </row>
    <row r="186" spans="1:123" x14ac:dyDescent="0.2">
      <c r="B186" s="103">
        <f>IF(AND('AES Indiana Bill Calc.'!$D$17="SS",'AES Indiana Bill Calc.'!$D$18="Yes 50%",'AES Indiana Bill Calc.'!$D$20="Yes 2024"),'AES Indiana Bill Calc.'!$D$19,-1)</f>
        <v>-1</v>
      </c>
      <c r="C186" s="1" t="s">
        <v>139</v>
      </c>
      <c r="D186" s="144"/>
      <c r="F186" s="36" t="s">
        <v>293</v>
      </c>
      <c r="G186" s="42">
        <f>SUM(J186:M186,O186:P186,R186:AA186)</f>
        <v>39.870000000000005</v>
      </c>
      <c r="H186" s="19" t="e">
        <f>IF(ISBLANK(B186),0,+#REF!/B186)</f>
        <v>#REF!</v>
      </c>
      <c r="I186" s="144"/>
      <c r="J186" s="82">
        <f>IF(ISBLANK(B186),0,IF(B186&gt;J$100,+J$99,+F$99))</f>
        <v>40</v>
      </c>
      <c r="K186" s="82">
        <f>IF($B186&gt;K$100,ROUND(K$100*K$99,2),ROUND($B186*K$99,2))</f>
        <v>-0.12</v>
      </c>
      <c r="L186" s="82">
        <f>IF($B186&gt;K$100,ROUND(($B186-K$100)*L$99,2),0)</f>
        <v>0</v>
      </c>
      <c r="M186" s="144"/>
      <c r="N186" s="42">
        <f>SUM(K186:L186)</f>
        <v>-0.12</v>
      </c>
      <c r="O186" s="144"/>
      <c r="P186" s="144"/>
      <c r="Q186" s="144"/>
      <c r="S186" s="42">
        <f>ROUND($B186*S$99*S185,2)</f>
        <v>0</v>
      </c>
      <c r="T186" s="42">
        <f>ROUND($B186*T$99,2)</f>
        <v>0</v>
      </c>
      <c r="U186" s="42">
        <f>ROUND($B186*U$99,2)</f>
        <v>0</v>
      </c>
      <c r="V186" s="41">
        <f>ROUND($B186*V$96,2)</f>
        <v>0</v>
      </c>
      <c r="W186" s="144"/>
      <c r="X186" s="42">
        <f>ROUND($B186*X$99,2)</f>
        <v>-0.01</v>
      </c>
      <c r="Y186" s="42">
        <f>ROUND($B186*Y$99,2)</f>
        <v>0</v>
      </c>
      <c r="Z186" s="42">
        <f>ROUND($B186*Z$99,2)</f>
        <v>0</v>
      </c>
      <c r="AA186" s="42">
        <f>ROUND($B186*AA$99,2)</f>
        <v>0</v>
      </c>
      <c r="AB186" s="19">
        <f>SUM(U$99:AA$99)+(-V$99+V148)</f>
        <v>1.6456999999999999E-2</v>
      </c>
      <c r="AC186" s="144"/>
      <c r="AE186" s="144"/>
      <c r="AG186" s="144"/>
      <c r="AI186" s="144"/>
      <c r="AK186" s="144"/>
      <c r="AM186" s="144"/>
      <c r="AO186" s="144"/>
      <c r="AQ186" s="144"/>
      <c r="AS186" s="144"/>
      <c r="AU186" s="144"/>
      <c r="AW186" s="144"/>
      <c r="AY186" s="144"/>
      <c r="BA186" s="144"/>
      <c r="BC186" s="144"/>
      <c r="BE186" s="144"/>
      <c r="BG186" s="144"/>
      <c r="BI186" s="144"/>
      <c r="BK186" s="144"/>
      <c r="BM186" s="144"/>
      <c r="BO186" s="144"/>
      <c r="BQ186" s="144"/>
      <c r="BS186" s="144"/>
      <c r="BU186" s="144"/>
      <c r="BW186" s="144"/>
      <c r="BY186" s="144"/>
      <c r="CA186" s="144"/>
      <c r="CC186" s="144"/>
      <c r="CE186" s="144"/>
      <c r="CG186" s="144"/>
      <c r="CI186" s="144"/>
      <c r="CK186" s="144"/>
      <c r="CM186" s="144"/>
      <c r="CO186" s="144"/>
      <c r="CQ186" s="144"/>
      <c r="CS186" s="144"/>
      <c r="CU186" s="144"/>
      <c r="CW186" s="144"/>
      <c r="CY186" s="144"/>
      <c r="DA186" s="144"/>
      <c r="DC186" s="144"/>
      <c r="DE186" s="144"/>
      <c r="DG186" s="144"/>
      <c r="DI186" s="144"/>
      <c r="DK186" s="144"/>
      <c r="DM186" s="144"/>
      <c r="DO186" s="144"/>
      <c r="DQ186" s="144"/>
      <c r="DS186" s="144"/>
    </row>
    <row r="187" spans="1:123" x14ac:dyDescent="0.2">
      <c r="B187" s="97">
        <v>-1</v>
      </c>
      <c r="C187" s="9"/>
      <c r="F187" s="36"/>
      <c r="G187" s="42"/>
      <c r="H187" s="19"/>
      <c r="I187" s="19"/>
      <c r="J187" s="82"/>
      <c r="K187" s="82"/>
      <c r="L187" s="82"/>
      <c r="M187" s="41"/>
      <c r="N187" s="41"/>
      <c r="O187" s="41"/>
      <c r="P187" s="41"/>
      <c r="Q187" s="41"/>
      <c r="R187" s="41"/>
      <c r="S187" s="50">
        <v>0.25</v>
      </c>
      <c r="T187" s="42"/>
      <c r="U187" s="42"/>
      <c r="V187" s="41"/>
      <c r="W187" s="42"/>
      <c r="X187" s="42"/>
      <c r="Y187" s="42"/>
      <c r="Z187" s="42"/>
      <c r="AA187" s="42"/>
      <c r="AB187" s="19"/>
      <c r="AC187" s="94"/>
      <c r="AE187" s="144"/>
      <c r="AG187" s="144"/>
      <c r="AI187" s="144"/>
      <c r="AK187" s="144"/>
      <c r="AM187" s="144"/>
      <c r="AO187" s="144"/>
      <c r="AQ187" s="144"/>
      <c r="AS187" s="144"/>
      <c r="AU187" s="144"/>
      <c r="AW187" s="144"/>
      <c r="AY187" s="144"/>
      <c r="BA187" s="144"/>
      <c r="BC187" s="144"/>
      <c r="BE187" s="144"/>
      <c r="BG187" s="144"/>
      <c r="BI187" s="144"/>
      <c r="BK187" s="144"/>
      <c r="BM187" s="144"/>
      <c r="BO187" s="144"/>
      <c r="BQ187" s="144"/>
      <c r="BS187" s="144"/>
      <c r="BU187" s="144"/>
      <c r="BW187" s="144"/>
      <c r="BY187" s="144"/>
      <c r="CA187" s="144"/>
      <c r="CC187" s="144"/>
      <c r="CE187" s="144"/>
      <c r="CG187" s="144"/>
      <c r="CI187" s="144"/>
      <c r="CK187" s="144"/>
      <c r="CM187" s="144"/>
      <c r="CO187" s="144"/>
      <c r="CQ187" s="144"/>
      <c r="CS187" s="144"/>
      <c r="CU187" s="144"/>
      <c r="CW187" s="144"/>
      <c r="CY187" s="144"/>
      <c r="DA187" s="144"/>
      <c r="DC187" s="144"/>
      <c r="DE187" s="144"/>
      <c r="DG187" s="144"/>
      <c r="DI187" s="144"/>
      <c r="DK187" s="144"/>
      <c r="DM187" s="144"/>
      <c r="DO187" s="144"/>
      <c r="DQ187" s="144"/>
      <c r="DS187" s="144"/>
    </row>
    <row r="188" spans="1:123" x14ac:dyDescent="0.2">
      <c r="B188" s="103">
        <f>IF(AND('AES Indiana Bill Calc.'!$D$17="SS",'AES Indiana Bill Calc.'!$D$18="Yes 25%",'AES Indiana Bill Calc.'!$D$20="Yes 2024"),'AES Indiana Bill Calc.'!$D$19,-1)</f>
        <v>-1</v>
      </c>
      <c r="C188" s="1" t="s">
        <v>140</v>
      </c>
      <c r="D188" s="144"/>
      <c r="F188" s="36" t="s">
        <v>293</v>
      </c>
      <c r="G188" s="42">
        <f>SUM(J188:M188,O188:P188,R188:AA188)</f>
        <v>39.870000000000005</v>
      </c>
      <c r="H188" s="19" t="e">
        <f>IF(ISBLANK(B188),0,+#REF!/B188)</f>
        <v>#REF!</v>
      </c>
      <c r="I188" s="144"/>
      <c r="J188" s="82">
        <f>IF(ISBLANK(B188),0,IF(B188&gt;J$100,+J$99,+F$99))</f>
        <v>40</v>
      </c>
      <c r="K188" s="82">
        <f>IF($B188&gt;K$100,ROUND(K$100*K$99,2),ROUND($B188*K$99,2))</f>
        <v>-0.12</v>
      </c>
      <c r="L188" s="82">
        <f>IF($B188&gt;K$100,ROUND(($B188-K$100)*L$99,2),0)</f>
        <v>0</v>
      </c>
      <c r="M188" s="144"/>
      <c r="N188" s="42">
        <f>SUM(K188:L188)</f>
        <v>-0.12</v>
      </c>
      <c r="O188" s="144"/>
      <c r="P188" s="144"/>
      <c r="Q188" s="144"/>
      <c r="S188" s="42">
        <f>ROUND($B188*S$99*S187,2)</f>
        <v>0</v>
      </c>
      <c r="T188" s="42">
        <f>ROUND($B188*T$99,2)</f>
        <v>0</v>
      </c>
      <c r="U188" s="42">
        <f>ROUND($B188*U$99,2)</f>
        <v>0</v>
      </c>
      <c r="V188" s="41">
        <f>ROUND($B188*V$96,2)</f>
        <v>0</v>
      </c>
      <c r="W188" s="144"/>
      <c r="X188" s="42">
        <f>ROUND($B188*X$99,2)</f>
        <v>-0.01</v>
      </c>
      <c r="Y188" s="42">
        <f>ROUND($B188*Y$99,2)</f>
        <v>0</v>
      </c>
      <c r="Z188" s="42">
        <f>ROUND($B188*Z$99,2)</f>
        <v>0</v>
      </c>
      <c r="AA188" s="42">
        <f>ROUND($B188*AA$99,2)</f>
        <v>0</v>
      </c>
      <c r="AB188" s="19">
        <f>SUM(U$99:AA$99)+(-V$99+V150)</f>
        <v>1.6456999999999999E-2</v>
      </c>
      <c r="AC188" s="144"/>
      <c r="AE188" s="144"/>
      <c r="AG188" s="144"/>
      <c r="AI188" s="144"/>
      <c r="AK188" s="144"/>
      <c r="AM188" s="144"/>
      <c r="AO188" s="144"/>
      <c r="AQ188" s="144"/>
      <c r="AS188" s="144"/>
      <c r="AU188" s="144"/>
      <c r="AW188" s="144"/>
      <c r="AY188" s="144"/>
      <c r="BA188" s="144"/>
      <c r="BC188" s="144"/>
      <c r="BE188" s="144"/>
      <c r="BG188" s="144"/>
      <c r="BI188" s="144"/>
      <c r="BK188" s="144"/>
      <c r="BM188" s="144"/>
      <c r="BO188" s="144"/>
      <c r="BQ188" s="144"/>
      <c r="BS188" s="144"/>
      <c r="BU188" s="144"/>
      <c r="BW188" s="144"/>
      <c r="BY188" s="144"/>
      <c r="CA188" s="144"/>
      <c r="CC188" s="144"/>
      <c r="CE188" s="144"/>
      <c r="CG188" s="144"/>
      <c r="CI188" s="144"/>
      <c r="CK188" s="144"/>
      <c r="CM188" s="144"/>
      <c r="CO188" s="144"/>
      <c r="CQ188" s="144"/>
      <c r="CS188" s="144"/>
      <c r="CU188" s="144"/>
      <c r="CW188" s="144"/>
      <c r="CY188" s="144"/>
      <c r="DA188" s="144"/>
      <c r="DC188" s="144"/>
      <c r="DE188" s="144"/>
      <c r="DG188" s="144"/>
      <c r="DI188" s="144"/>
      <c r="DK188" s="144"/>
      <c r="DM188" s="144"/>
      <c r="DO188" s="144"/>
      <c r="DQ188" s="144"/>
      <c r="DS188" s="144"/>
    </row>
    <row r="189" spans="1:123" x14ac:dyDescent="0.2">
      <c r="B189" s="97">
        <v>-1</v>
      </c>
      <c r="C189" s="9"/>
      <c r="F189" s="36"/>
      <c r="G189" s="42"/>
      <c r="H189" s="19"/>
      <c r="I189" s="19"/>
      <c r="J189" s="82"/>
      <c r="K189" s="82"/>
      <c r="L189" s="82"/>
      <c r="M189" s="41"/>
      <c r="N189" s="41"/>
      <c r="O189" s="41"/>
      <c r="P189" s="41"/>
      <c r="Q189" s="41"/>
      <c r="R189" s="41"/>
      <c r="S189" s="50">
        <v>0.1</v>
      </c>
      <c r="T189" s="42"/>
      <c r="U189" s="42"/>
      <c r="V189" s="41"/>
      <c r="W189" s="42"/>
      <c r="X189" s="42"/>
      <c r="Y189" s="42"/>
      <c r="Z189" s="42"/>
      <c r="AA189" s="42"/>
      <c r="AB189" s="19"/>
      <c r="AC189" s="94"/>
      <c r="AE189" s="144"/>
      <c r="AG189" s="144"/>
      <c r="AI189" s="144"/>
      <c r="AK189" s="144"/>
      <c r="AM189" s="144"/>
      <c r="AO189" s="144"/>
      <c r="AQ189" s="144"/>
      <c r="AS189" s="144"/>
      <c r="AU189" s="144"/>
      <c r="AW189" s="144"/>
      <c r="AY189" s="144"/>
      <c r="BA189" s="144"/>
      <c r="BC189" s="144"/>
      <c r="BE189" s="144"/>
      <c r="BG189" s="144"/>
      <c r="BI189" s="144"/>
      <c r="BK189" s="144"/>
      <c r="BM189" s="144"/>
      <c r="BO189" s="144"/>
      <c r="BQ189" s="144"/>
      <c r="BS189" s="144"/>
      <c r="BU189" s="144"/>
      <c r="BW189" s="144"/>
      <c r="BY189" s="144"/>
      <c r="CA189" s="144"/>
      <c r="CC189" s="144"/>
      <c r="CE189" s="144"/>
      <c r="CG189" s="144"/>
      <c r="CI189" s="144"/>
      <c r="CK189" s="144"/>
      <c r="CM189" s="144"/>
      <c r="CO189" s="144"/>
      <c r="CQ189" s="144"/>
      <c r="CS189" s="144"/>
      <c r="CU189" s="144"/>
      <c r="CW189" s="144"/>
      <c r="CY189" s="144"/>
      <c r="DA189" s="144"/>
      <c r="DC189" s="144"/>
      <c r="DE189" s="144"/>
      <c r="DG189" s="144"/>
      <c r="DI189" s="144"/>
      <c r="DK189" s="144"/>
      <c r="DM189" s="144"/>
      <c r="DO189" s="144"/>
      <c r="DQ189" s="144"/>
      <c r="DS189" s="144"/>
    </row>
    <row r="190" spans="1:123" x14ac:dyDescent="0.2">
      <c r="B190" s="103">
        <f>IF(AND('AES Indiana Bill Calc.'!$D$17="SS",'AES Indiana Bill Calc.'!$D$18="Yes 10%",'AES Indiana Bill Calc.'!$D$20="Yes 2024"),'AES Indiana Bill Calc.'!$D$19,-1)</f>
        <v>-1</v>
      </c>
      <c r="C190" s="1" t="s">
        <v>154</v>
      </c>
      <c r="D190" s="144"/>
      <c r="F190" s="36" t="s">
        <v>293</v>
      </c>
      <c r="G190" s="42">
        <f>SUM(J190:M190,O190:P190,R190:AA190)</f>
        <v>39.870000000000005</v>
      </c>
      <c r="H190" s="19" t="e">
        <f>IF(ISBLANK(B190),0,+#REF!/B190)</f>
        <v>#REF!</v>
      </c>
      <c r="I190" s="144"/>
      <c r="J190" s="82">
        <f>IF(ISBLANK(B190),0,IF(B190&gt;J$100,+J$99,+F$99))</f>
        <v>40</v>
      </c>
      <c r="K190" s="82">
        <f>IF($B190&gt;K$100,ROUND(K$100*K$99,2),ROUND($B190*K$99,2))</f>
        <v>-0.12</v>
      </c>
      <c r="L190" s="82">
        <f>IF($B190&gt;K$100,ROUND(($B190-K$100)*L$99,2),0)</f>
        <v>0</v>
      </c>
      <c r="M190" s="144"/>
      <c r="N190" s="42">
        <f>SUM(K190:L190)</f>
        <v>-0.12</v>
      </c>
      <c r="O190" s="144"/>
      <c r="P190" s="144"/>
      <c r="Q190" s="144"/>
      <c r="S190" s="42">
        <f>ROUND($B190*S$99*S189,2)</f>
        <v>0</v>
      </c>
      <c r="T190" s="42">
        <f>ROUND($B190*T$99,2)</f>
        <v>0</v>
      </c>
      <c r="U190" s="42">
        <f>ROUND($B190*U$99,2)</f>
        <v>0</v>
      </c>
      <c r="V190" s="41">
        <f>ROUND($B190*V$96,2)</f>
        <v>0</v>
      </c>
      <c r="W190" s="144"/>
      <c r="X190" s="42">
        <f>ROUND($B190*X$99,2)</f>
        <v>-0.01</v>
      </c>
      <c r="Y190" s="42">
        <f>ROUND($B190*Y$99,2)</f>
        <v>0</v>
      </c>
      <c r="Z190" s="42">
        <f>ROUND($B190*Z$99,2)</f>
        <v>0</v>
      </c>
      <c r="AA190" s="42">
        <f>ROUND($B190*AA$99,2)</f>
        <v>0</v>
      </c>
      <c r="AB190" s="19">
        <f>SUM(U$99:AA$99)+(-V$99+V152)</f>
        <v>1.6456999999999999E-2</v>
      </c>
      <c r="AC190" s="144"/>
      <c r="AE190" s="144"/>
      <c r="AG190" s="144"/>
      <c r="AI190" s="144"/>
      <c r="AK190" s="144"/>
      <c r="AM190" s="144"/>
      <c r="AO190" s="144"/>
      <c r="AQ190" s="144"/>
      <c r="AS190" s="144"/>
      <c r="AU190" s="144"/>
      <c r="AW190" s="144"/>
      <c r="AY190" s="144"/>
      <c r="BA190" s="144"/>
      <c r="BC190" s="144"/>
      <c r="BE190" s="144"/>
      <c r="BG190" s="144"/>
      <c r="BI190" s="144"/>
      <c r="BK190" s="144"/>
      <c r="BM190" s="144"/>
      <c r="BO190" s="144"/>
      <c r="BQ190" s="144"/>
      <c r="BS190" s="144"/>
      <c r="BU190" s="144"/>
      <c r="BW190" s="144"/>
      <c r="BY190" s="144"/>
      <c r="CA190" s="144"/>
      <c r="CC190" s="144"/>
      <c r="CE190" s="144"/>
      <c r="CG190" s="144"/>
      <c r="CI190" s="144"/>
      <c r="CK190" s="144"/>
      <c r="CM190" s="144"/>
      <c r="CO190" s="144"/>
      <c r="CQ190" s="144"/>
      <c r="CS190" s="144"/>
      <c r="CU190" s="144"/>
      <c r="CW190" s="144"/>
      <c r="CY190" s="144"/>
      <c r="DA190" s="144"/>
      <c r="DC190" s="144"/>
      <c r="DE190" s="144"/>
      <c r="DG190" s="144"/>
      <c r="DI190" s="144"/>
      <c r="DK190" s="144"/>
      <c r="DM190" s="144"/>
      <c r="DO190" s="144"/>
      <c r="DQ190" s="144"/>
      <c r="DS190" s="144"/>
    </row>
    <row r="191" spans="1:123" x14ac:dyDescent="0.2">
      <c r="B191" s="97">
        <v>-1</v>
      </c>
      <c r="F191" s="36"/>
      <c r="G191" s="42"/>
      <c r="H191" s="19"/>
      <c r="I191" s="19"/>
      <c r="J191" s="82"/>
      <c r="K191" s="82"/>
      <c r="L191" s="82"/>
      <c r="M191" s="41"/>
      <c r="N191" s="41"/>
      <c r="O191" s="41"/>
      <c r="P191" s="41"/>
      <c r="Q191" s="41"/>
      <c r="R191" s="41"/>
      <c r="S191" s="50">
        <v>0</v>
      </c>
      <c r="T191" s="42"/>
      <c r="U191" s="42"/>
      <c r="V191" s="41"/>
      <c r="W191" s="42"/>
      <c r="X191" s="42"/>
      <c r="Y191" s="42"/>
      <c r="Z191" s="42"/>
      <c r="AA191" s="42"/>
      <c r="AB191" s="19"/>
      <c r="AC191" s="94"/>
      <c r="AE191" s="144"/>
      <c r="AG191" s="144"/>
      <c r="AI191" s="144"/>
      <c r="AK191" s="144"/>
      <c r="AM191" s="144"/>
      <c r="AO191" s="144"/>
      <c r="AQ191" s="144"/>
      <c r="AS191" s="144"/>
      <c r="AU191" s="144"/>
      <c r="AW191" s="144"/>
      <c r="AY191" s="144"/>
      <c r="BA191" s="144"/>
      <c r="BC191" s="144"/>
      <c r="BE191" s="144"/>
      <c r="BG191" s="144"/>
      <c r="BI191" s="144"/>
      <c r="BK191" s="144"/>
      <c r="BM191" s="144"/>
      <c r="BO191" s="144"/>
      <c r="BQ191" s="144"/>
      <c r="BS191" s="144"/>
      <c r="BU191" s="144"/>
      <c r="BW191" s="144"/>
      <c r="BY191" s="144"/>
      <c r="CA191" s="144"/>
      <c r="CC191" s="144"/>
      <c r="CE191" s="144"/>
      <c r="CG191" s="144"/>
      <c r="CI191" s="144"/>
      <c r="CK191" s="144"/>
      <c r="CM191" s="144"/>
      <c r="CO191" s="144"/>
      <c r="CQ191" s="144"/>
      <c r="CS191" s="144"/>
      <c r="CU191" s="144"/>
      <c r="CW191" s="144"/>
      <c r="CY191" s="144"/>
      <c r="DA191" s="144"/>
      <c r="DC191" s="144"/>
      <c r="DE191" s="144"/>
      <c r="DG191" s="144"/>
      <c r="DI191" s="144"/>
      <c r="DK191" s="144"/>
      <c r="DM191" s="144"/>
      <c r="DO191" s="144"/>
      <c r="DQ191" s="144"/>
      <c r="DS191" s="144"/>
    </row>
    <row r="192" spans="1:123" ht="13.5" thickBot="1" x14ac:dyDescent="0.25">
      <c r="A192" s="21"/>
      <c r="B192" s="106">
        <f>IF(AND('AES Indiana Bill Calc.'!$D$17="SS",'AES Indiana Bill Calc.'!$D$18="No",'AES Indiana Bill Calc.'!$D$20="Yes 2024"),'AES Indiana Bill Calc.'!$D$19,-1)</f>
        <v>-1</v>
      </c>
      <c r="C192" s="146" t="s">
        <v>137</v>
      </c>
      <c r="D192" s="125"/>
      <c r="E192" s="21"/>
      <c r="F192" s="36" t="s">
        <v>293</v>
      </c>
      <c r="G192" s="23">
        <f>SUM(J192:M192,O192:P192,R192:AA192)</f>
        <v>39.870000000000005</v>
      </c>
      <c r="H192" s="25" t="e">
        <f>IF(ISBLANK(B192),0,+#REF!/B192)</f>
        <v>#REF!</v>
      </c>
      <c r="I192" s="125"/>
      <c r="J192" s="22">
        <f>IF(ISBLANK(B192),0,IF(B192&gt;J$100,+J$99,+F$99))</f>
        <v>40</v>
      </c>
      <c r="K192" s="22">
        <f>IF($B192&gt;K$100,ROUND(K$100*K$99,2),ROUND($B192*K$99,2))</f>
        <v>-0.12</v>
      </c>
      <c r="L192" s="22">
        <f>IF($B192&gt;K$100,ROUND(($B192-K$100)*L$99,2),0)</f>
        <v>0</v>
      </c>
      <c r="M192" s="125"/>
      <c r="N192" s="23">
        <f>SUM(K192:L192)</f>
        <v>-0.12</v>
      </c>
      <c r="O192" s="125"/>
      <c r="P192" s="125"/>
      <c r="Q192" s="125"/>
      <c r="R192" s="21"/>
      <c r="S192" s="23">
        <f>ROUND($B192*S$99*S191,2)</f>
        <v>0</v>
      </c>
      <c r="T192" s="23">
        <f>ROUND($B192*T$99,2)</f>
        <v>0</v>
      </c>
      <c r="U192" s="23">
        <f>ROUND($B192*U$99,2)</f>
        <v>0</v>
      </c>
      <c r="V192" s="24">
        <f>ROUND($B192*V$96,2)</f>
        <v>0</v>
      </c>
      <c r="W192" s="125"/>
      <c r="X192" s="23">
        <f>ROUND($B192*X$99,2)</f>
        <v>-0.01</v>
      </c>
      <c r="Y192" s="23">
        <f>ROUND($B192*Y$99,2)</f>
        <v>0</v>
      </c>
      <c r="Z192" s="23">
        <f>ROUND($B192*Z$99,2)</f>
        <v>0</v>
      </c>
      <c r="AA192" s="23">
        <f>ROUND($B192*AA$99,2)</f>
        <v>0</v>
      </c>
      <c r="AB192" s="25">
        <f>SUM(U$99:AA$99)+(-V$99+V154)</f>
        <v>1.6456999999999999E-2</v>
      </c>
      <c r="AC192" s="125"/>
      <c r="AE192" s="144"/>
      <c r="AG192" s="144"/>
      <c r="AI192" s="144"/>
      <c r="AK192" s="144"/>
      <c r="AM192" s="144"/>
      <c r="AO192" s="144"/>
      <c r="AQ192" s="144"/>
      <c r="AS192" s="144"/>
      <c r="AU192" s="144"/>
      <c r="AW192" s="144"/>
      <c r="AY192" s="144"/>
      <c r="BA192" s="144"/>
      <c r="BC192" s="144"/>
      <c r="BE192" s="144"/>
      <c r="BG192" s="144"/>
      <c r="BI192" s="144"/>
      <c r="BK192" s="144"/>
      <c r="BM192" s="144"/>
      <c r="BO192" s="144"/>
      <c r="BQ192" s="144"/>
      <c r="BS192" s="144"/>
      <c r="BU192" s="144"/>
      <c r="BW192" s="144"/>
      <c r="BY192" s="144"/>
      <c r="CA192" s="144"/>
      <c r="CC192" s="144"/>
      <c r="CE192" s="144"/>
      <c r="CG192" s="144"/>
      <c r="CI192" s="144"/>
      <c r="CK192" s="144"/>
      <c r="CM192" s="144"/>
      <c r="CO192" s="144"/>
      <c r="CQ192" s="144"/>
      <c r="CS192" s="144"/>
      <c r="CU192" s="144"/>
      <c r="CW192" s="144"/>
      <c r="CY192" s="144"/>
      <c r="DA192" s="144"/>
      <c r="DC192" s="144"/>
      <c r="DE192" s="144"/>
      <c r="DG192" s="144"/>
      <c r="DI192" s="144"/>
      <c r="DK192" s="144"/>
      <c r="DM192" s="144"/>
      <c r="DO192" s="144"/>
      <c r="DQ192" s="144"/>
      <c r="DS192" s="144"/>
    </row>
    <row r="193" spans="1:123" x14ac:dyDescent="0.2">
      <c r="B193" s="97">
        <v>-1</v>
      </c>
      <c r="C193" s="145"/>
      <c r="D193" s="144"/>
      <c r="F193" s="36"/>
      <c r="G193" s="42"/>
      <c r="H193" s="19"/>
      <c r="I193" s="144"/>
      <c r="J193" s="82"/>
      <c r="K193" s="82"/>
      <c r="L193" s="82"/>
      <c r="M193" s="144"/>
      <c r="N193" s="42"/>
      <c r="O193" s="144"/>
      <c r="P193" s="144"/>
      <c r="Q193" s="144"/>
      <c r="S193" s="50">
        <v>1</v>
      </c>
      <c r="T193" s="42"/>
      <c r="U193" s="42"/>
      <c r="V193" s="41"/>
      <c r="W193" s="144"/>
      <c r="X193" s="42"/>
      <c r="Y193" s="42"/>
      <c r="Z193" s="42"/>
      <c r="AA193" s="42"/>
      <c r="AB193" s="19"/>
      <c r="AC193" s="144"/>
      <c r="AE193" s="144"/>
      <c r="AG193" s="144"/>
      <c r="AI193" s="144"/>
      <c r="AK193" s="144"/>
      <c r="AM193" s="144"/>
      <c r="AO193" s="144"/>
      <c r="AQ193" s="144"/>
      <c r="AS193" s="144"/>
      <c r="AU193" s="144"/>
      <c r="AW193" s="144"/>
      <c r="AY193" s="144"/>
      <c r="BA193" s="144"/>
      <c r="BC193" s="144"/>
      <c r="BE193" s="144"/>
      <c r="BG193" s="144"/>
      <c r="BI193" s="144"/>
      <c r="BK193" s="144"/>
      <c r="BM193" s="144"/>
      <c r="BO193" s="144"/>
      <c r="BQ193" s="144"/>
      <c r="BS193" s="144"/>
      <c r="BU193" s="144"/>
      <c r="BW193" s="144"/>
      <c r="BY193" s="144"/>
      <c r="CA193" s="144"/>
      <c r="CC193" s="144"/>
      <c r="CE193" s="144"/>
      <c r="CG193" s="144"/>
      <c r="CI193" s="144"/>
      <c r="CK193" s="144"/>
      <c r="CM193" s="144"/>
      <c r="CO193" s="144"/>
      <c r="CQ193" s="144"/>
      <c r="CS193" s="144"/>
      <c r="CU193" s="144"/>
      <c r="CW193" s="144"/>
      <c r="CY193" s="144"/>
      <c r="DA193" s="144"/>
      <c r="DC193" s="144"/>
      <c r="DE193" s="144"/>
      <c r="DG193" s="144"/>
      <c r="DI193" s="144"/>
      <c r="DK193" s="144"/>
      <c r="DM193" s="144"/>
      <c r="DO193" s="144"/>
      <c r="DQ193" s="144"/>
      <c r="DS193" s="144"/>
    </row>
    <row r="194" spans="1:123" x14ac:dyDescent="0.2">
      <c r="B194" s="97">
        <f>IF(AND('AES Indiana Bill Calc.'!$D$17="SS",'AES Indiana Bill Calc.'!$D$18="Yes 100%",'AES Indiana Bill Calc.'!$D$20="Yes 2025"),'AES Indiana Bill Calc.'!$D$19,-1)</f>
        <v>-1</v>
      </c>
      <c r="C194" s="145" t="s">
        <v>138</v>
      </c>
      <c r="D194" s="144"/>
      <c r="F194" s="36" t="s">
        <v>315</v>
      </c>
      <c r="G194" s="42">
        <f>SUM(J194:M194,O194:P194,R194:AA194)</f>
        <v>39.870000000000005</v>
      </c>
      <c r="H194" s="19" t="e">
        <f>IF(ISBLANK(B194),0,+#REF!/B194)</f>
        <v>#REF!</v>
      </c>
      <c r="I194" s="144"/>
      <c r="J194" s="82">
        <f>IF(ISBLANK(B194),0,IF(B194&gt;J$100,+J$99,+F$99))</f>
        <v>40</v>
      </c>
      <c r="K194" s="82">
        <f>IF($B194&gt;K$100,ROUND(K$100*K$99,2),ROUND($B194*K$99,2))</f>
        <v>-0.12</v>
      </c>
      <c r="L194" s="82">
        <f>IF($B194&gt;K$100,ROUND(($B194-K$100)*L$99,2),0)</f>
        <v>0</v>
      </c>
      <c r="M194" s="144"/>
      <c r="N194" s="42">
        <f>SUM(K194:L194)</f>
        <v>-0.12</v>
      </c>
      <c r="O194" s="144"/>
      <c r="P194" s="144"/>
      <c r="Q194" s="144"/>
      <c r="S194" s="42">
        <f>ROUND($B194*S$99*S193,2)</f>
        <v>0</v>
      </c>
      <c r="T194" s="42">
        <f>ROUND($B194*T$99,2)</f>
        <v>0</v>
      </c>
      <c r="U194" s="42">
        <f>ROUND($B194*U$99,2)</f>
        <v>0</v>
      </c>
      <c r="V194" s="41">
        <f>ROUND($B194*V$97,2)</f>
        <v>0</v>
      </c>
      <c r="W194" s="144"/>
      <c r="X194" s="42">
        <f>ROUND($B194*X$99,2)</f>
        <v>-0.01</v>
      </c>
      <c r="Y194" s="42">
        <f>ROUND($B194*Y$99,2)</f>
        <v>0</v>
      </c>
      <c r="Z194" s="42">
        <f>ROUND($B194*Z$99,2)</f>
        <v>0</v>
      </c>
      <c r="AA194" s="42">
        <f>ROUND($B194*AA$99,2)</f>
        <v>0</v>
      </c>
      <c r="AB194" s="19">
        <f>SUM(U$99:AA$99)+(-V$99+V156)</f>
        <v>1.6456999999999999E-2</v>
      </c>
      <c r="AC194" s="144"/>
      <c r="AE194" s="144"/>
      <c r="AG194" s="144"/>
      <c r="AI194" s="144"/>
      <c r="AK194" s="144"/>
      <c r="AM194" s="144"/>
      <c r="AO194" s="144"/>
      <c r="AQ194" s="144"/>
      <c r="AS194" s="144"/>
      <c r="AU194" s="144"/>
      <c r="AW194" s="144"/>
      <c r="AY194" s="144"/>
      <c r="BA194" s="144"/>
      <c r="BC194" s="144"/>
      <c r="BE194" s="144"/>
      <c r="BG194" s="144"/>
      <c r="BI194" s="144"/>
      <c r="BK194" s="144"/>
      <c r="BM194" s="144"/>
      <c r="BO194" s="144"/>
      <c r="BQ194" s="144"/>
      <c r="BS194" s="144"/>
      <c r="BU194" s="144"/>
      <c r="BW194" s="144"/>
      <c r="BY194" s="144"/>
      <c r="CA194" s="144"/>
      <c r="CC194" s="144"/>
      <c r="CE194" s="144"/>
      <c r="CG194" s="144"/>
      <c r="CI194" s="144"/>
      <c r="CK194" s="144"/>
      <c r="CM194" s="144"/>
      <c r="CO194" s="144"/>
      <c r="CQ194" s="144"/>
      <c r="CS194" s="144"/>
      <c r="CU194" s="144"/>
      <c r="CW194" s="144"/>
      <c r="CY194" s="144"/>
      <c r="DA194" s="144"/>
      <c r="DC194" s="144"/>
      <c r="DE194" s="144"/>
      <c r="DG194" s="144"/>
      <c r="DI194" s="144"/>
      <c r="DK194" s="144"/>
      <c r="DM194" s="144"/>
      <c r="DO194" s="144"/>
      <c r="DQ194" s="144"/>
      <c r="DS194" s="144"/>
    </row>
    <row r="195" spans="1:123" x14ac:dyDescent="0.2">
      <c r="B195" s="97">
        <v>-1</v>
      </c>
      <c r="C195" s="9"/>
      <c r="F195" s="36"/>
      <c r="G195" s="42"/>
      <c r="H195" s="19"/>
      <c r="I195" s="19"/>
      <c r="J195" s="82"/>
      <c r="K195" s="82"/>
      <c r="L195" s="82"/>
      <c r="M195" s="41"/>
      <c r="N195" s="41"/>
      <c r="O195" s="41"/>
      <c r="P195" s="41"/>
      <c r="Q195" s="41"/>
      <c r="R195" s="41"/>
      <c r="S195" s="50">
        <v>0.5</v>
      </c>
      <c r="T195" s="42"/>
      <c r="U195" s="42"/>
      <c r="V195" s="41"/>
      <c r="W195" s="42"/>
      <c r="X195" s="42"/>
      <c r="Y195" s="42"/>
      <c r="Z195" s="42"/>
      <c r="AA195" s="42"/>
      <c r="AB195" s="19"/>
      <c r="AC195" s="94"/>
      <c r="AE195" s="144"/>
      <c r="AG195" s="144"/>
      <c r="AI195" s="144"/>
      <c r="AK195" s="144"/>
      <c r="AM195" s="144"/>
      <c r="AO195" s="144"/>
      <c r="AQ195" s="144"/>
      <c r="AS195" s="144"/>
      <c r="AU195" s="144"/>
      <c r="AW195" s="144"/>
      <c r="AY195" s="144"/>
      <c r="BA195" s="144"/>
      <c r="BC195" s="144"/>
      <c r="BE195" s="144"/>
      <c r="BG195" s="144"/>
      <c r="BI195" s="144"/>
      <c r="BK195" s="144"/>
      <c r="BM195" s="144"/>
      <c r="BO195" s="144"/>
      <c r="BQ195" s="144"/>
      <c r="BS195" s="144"/>
      <c r="BU195" s="144"/>
      <c r="BW195" s="144"/>
      <c r="BY195" s="144"/>
      <c r="CA195" s="144"/>
      <c r="CC195" s="144"/>
      <c r="CE195" s="144"/>
      <c r="CG195" s="144"/>
      <c r="CI195" s="144"/>
      <c r="CK195" s="144"/>
      <c r="CM195" s="144"/>
      <c r="CO195" s="144"/>
      <c r="CQ195" s="144"/>
      <c r="CS195" s="144"/>
      <c r="CU195" s="144"/>
      <c r="CW195" s="144"/>
      <c r="CY195" s="144"/>
      <c r="DA195" s="144"/>
      <c r="DC195" s="144"/>
      <c r="DE195" s="144"/>
      <c r="DG195" s="144"/>
      <c r="DI195" s="144"/>
      <c r="DK195" s="144"/>
      <c r="DM195" s="144"/>
      <c r="DO195" s="144"/>
      <c r="DQ195" s="144"/>
      <c r="DS195" s="144"/>
    </row>
    <row r="196" spans="1:123" x14ac:dyDescent="0.2">
      <c r="B196" s="103">
        <f>IF(AND('AES Indiana Bill Calc.'!$D$17="SS",'AES Indiana Bill Calc.'!$D$18="Yes 50%",'AES Indiana Bill Calc.'!$D$20="Yes 2025"),'AES Indiana Bill Calc.'!$D$19,-1)</f>
        <v>-1</v>
      </c>
      <c r="C196" s="1" t="s">
        <v>139</v>
      </c>
      <c r="D196" s="144"/>
      <c r="F196" s="36" t="s">
        <v>315</v>
      </c>
      <c r="G196" s="42">
        <f>SUM(J196:M196,O196:P196,R196:AA196)</f>
        <v>39.870000000000005</v>
      </c>
      <c r="H196" s="19" t="e">
        <f>IF(ISBLANK(B196),0,+#REF!/B196)</f>
        <v>#REF!</v>
      </c>
      <c r="I196" s="144"/>
      <c r="J196" s="82">
        <f>IF(ISBLANK(B196),0,IF(B196&gt;J$100,+J$99,+F$99))</f>
        <v>40</v>
      </c>
      <c r="K196" s="82">
        <f>IF($B196&gt;K$100,ROUND(K$100*K$99,2),ROUND($B196*K$99,2))</f>
        <v>-0.12</v>
      </c>
      <c r="L196" s="82">
        <f>IF($B196&gt;K$100,ROUND(($B196-K$100)*L$99,2),0)</f>
        <v>0</v>
      </c>
      <c r="M196" s="144"/>
      <c r="N196" s="42">
        <f>SUM(K196:L196)</f>
        <v>-0.12</v>
      </c>
      <c r="O196" s="144"/>
      <c r="P196" s="144"/>
      <c r="Q196" s="144"/>
      <c r="S196" s="42">
        <f>ROUND($B196*S$99*S195,2)</f>
        <v>0</v>
      </c>
      <c r="T196" s="42">
        <f>ROUND($B196*T$99,2)</f>
        <v>0</v>
      </c>
      <c r="U196" s="42">
        <f>ROUND($B196*U$99,2)</f>
        <v>0</v>
      </c>
      <c r="V196" s="41">
        <f>ROUND($B196*V$97,2)</f>
        <v>0</v>
      </c>
      <c r="W196" s="144"/>
      <c r="X196" s="42">
        <f>ROUND($B196*X$99,2)</f>
        <v>-0.01</v>
      </c>
      <c r="Y196" s="42">
        <f>ROUND($B196*Y$99,2)</f>
        <v>0</v>
      </c>
      <c r="Z196" s="42">
        <f>ROUND($B196*Z$99,2)</f>
        <v>0</v>
      </c>
      <c r="AA196" s="42">
        <f>ROUND($B196*AA$99,2)</f>
        <v>0</v>
      </c>
      <c r="AB196" s="19">
        <f>SUM(U$99:AA$99)+(-V$99+V158)</f>
        <v>1.6456999999999999E-2</v>
      </c>
      <c r="AC196" s="144"/>
      <c r="AE196" s="144"/>
      <c r="AG196" s="144"/>
      <c r="AI196" s="144"/>
      <c r="AK196" s="144"/>
      <c r="AM196" s="144"/>
      <c r="AO196" s="144"/>
      <c r="AQ196" s="144"/>
      <c r="AS196" s="144"/>
      <c r="AU196" s="144"/>
      <c r="AW196" s="144"/>
      <c r="AY196" s="144"/>
      <c r="BA196" s="144"/>
      <c r="BC196" s="144"/>
      <c r="BE196" s="144"/>
      <c r="BG196" s="144"/>
      <c r="BI196" s="144"/>
      <c r="BK196" s="144"/>
      <c r="BM196" s="144"/>
      <c r="BO196" s="144"/>
      <c r="BQ196" s="144"/>
      <c r="BS196" s="144"/>
      <c r="BU196" s="144"/>
      <c r="BW196" s="144"/>
      <c r="BY196" s="144"/>
      <c r="CA196" s="144"/>
      <c r="CC196" s="144"/>
      <c r="CE196" s="144"/>
      <c r="CG196" s="144"/>
      <c r="CI196" s="144"/>
      <c r="CK196" s="144"/>
      <c r="CM196" s="144"/>
      <c r="CO196" s="144"/>
      <c r="CQ196" s="144"/>
      <c r="CS196" s="144"/>
      <c r="CU196" s="144"/>
      <c r="CW196" s="144"/>
      <c r="CY196" s="144"/>
      <c r="DA196" s="144"/>
      <c r="DC196" s="144"/>
      <c r="DE196" s="144"/>
      <c r="DG196" s="144"/>
      <c r="DI196" s="144"/>
      <c r="DK196" s="144"/>
      <c r="DM196" s="144"/>
      <c r="DO196" s="144"/>
      <c r="DQ196" s="144"/>
      <c r="DS196" s="144"/>
    </row>
    <row r="197" spans="1:123" x14ac:dyDescent="0.2">
      <c r="B197" s="97">
        <v>-1</v>
      </c>
      <c r="C197" s="9"/>
      <c r="F197" s="36"/>
      <c r="G197" s="42"/>
      <c r="H197" s="19"/>
      <c r="I197" s="19"/>
      <c r="J197" s="82"/>
      <c r="K197" s="82"/>
      <c r="L197" s="82"/>
      <c r="M197" s="41"/>
      <c r="N197" s="41"/>
      <c r="O197" s="41"/>
      <c r="P197" s="41"/>
      <c r="Q197" s="41"/>
      <c r="R197" s="41"/>
      <c r="S197" s="50">
        <v>0.25</v>
      </c>
      <c r="T197" s="42"/>
      <c r="U197" s="42"/>
      <c r="V197" s="41"/>
      <c r="W197" s="42"/>
      <c r="X197" s="42"/>
      <c r="Y197" s="42"/>
      <c r="Z197" s="42"/>
      <c r="AA197" s="42"/>
      <c r="AB197" s="19"/>
      <c r="AC197" s="94"/>
      <c r="AE197" s="144"/>
      <c r="AG197" s="144"/>
      <c r="AI197" s="144"/>
      <c r="AK197" s="144"/>
      <c r="AM197" s="144"/>
      <c r="AO197" s="144"/>
      <c r="AQ197" s="144"/>
      <c r="AS197" s="144"/>
      <c r="AU197" s="144"/>
      <c r="AW197" s="144"/>
      <c r="AY197" s="144"/>
      <c r="BA197" s="144"/>
      <c r="BC197" s="144"/>
      <c r="BE197" s="144"/>
      <c r="BG197" s="144"/>
      <c r="BI197" s="144"/>
      <c r="BK197" s="144"/>
      <c r="BM197" s="144"/>
      <c r="BO197" s="144"/>
      <c r="BQ197" s="144"/>
      <c r="BS197" s="144"/>
      <c r="BU197" s="144"/>
      <c r="BW197" s="144"/>
      <c r="BY197" s="144"/>
      <c r="CA197" s="144"/>
      <c r="CC197" s="144"/>
      <c r="CE197" s="144"/>
      <c r="CG197" s="144"/>
      <c r="CI197" s="144"/>
      <c r="CK197" s="144"/>
      <c r="CM197" s="144"/>
      <c r="CO197" s="144"/>
      <c r="CQ197" s="144"/>
      <c r="CS197" s="144"/>
      <c r="CU197" s="144"/>
      <c r="CW197" s="144"/>
      <c r="CY197" s="144"/>
      <c r="DA197" s="144"/>
      <c r="DC197" s="144"/>
      <c r="DE197" s="144"/>
      <c r="DG197" s="144"/>
      <c r="DI197" s="144"/>
      <c r="DK197" s="144"/>
      <c r="DM197" s="144"/>
      <c r="DO197" s="144"/>
      <c r="DQ197" s="144"/>
      <c r="DS197" s="144"/>
    </row>
    <row r="198" spans="1:123" x14ac:dyDescent="0.2">
      <c r="B198" s="103">
        <f>IF(AND('AES Indiana Bill Calc.'!$D$17="SS",'AES Indiana Bill Calc.'!$D$18="Yes 25%",'AES Indiana Bill Calc.'!$D$20="Yes 2025"),'AES Indiana Bill Calc.'!$D$19,-1)</f>
        <v>-1</v>
      </c>
      <c r="C198" s="1" t="s">
        <v>140</v>
      </c>
      <c r="D198" s="144"/>
      <c r="F198" s="36" t="s">
        <v>315</v>
      </c>
      <c r="G198" s="42">
        <f>SUM(J198:M198,O198:P198,R198:AA198)</f>
        <v>39.870000000000005</v>
      </c>
      <c r="H198" s="19" t="e">
        <f>IF(ISBLANK(B198),0,+#REF!/B198)</f>
        <v>#REF!</v>
      </c>
      <c r="I198" s="144"/>
      <c r="J198" s="82">
        <f>IF(ISBLANK(B198),0,IF(B198&gt;J$100,+J$99,+F$99))</f>
        <v>40</v>
      </c>
      <c r="K198" s="82">
        <f>IF($B198&gt;K$100,ROUND(K$100*K$99,2),ROUND($B198*K$99,2))</f>
        <v>-0.12</v>
      </c>
      <c r="L198" s="82">
        <f>IF($B198&gt;K$100,ROUND(($B198-K$100)*L$99,2),0)</f>
        <v>0</v>
      </c>
      <c r="M198" s="144"/>
      <c r="N198" s="42">
        <f>SUM(K198:L198)</f>
        <v>-0.12</v>
      </c>
      <c r="O198" s="144"/>
      <c r="P198" s="144"/>
      <c r="Q198" s="144"/>
      <c r="S198" s="42">
        <f>ROUND($B198*S$99*S197,2)</f>
        <v>0</v>
      </c>
      <c r="T198" s="42">
        <f>ROUND($B198*T$99,2)</f>
        <v>0</v>
      </c>
      <c r="U198" s="42">
        <f>ROUND($B198*U$99,2)</f>
        <v>0</v>
      </c>
      <c r="V198" s="41">
        <f>ROUND($B198*V$97,2)</f>
        <v>0</v>
      </c>
      <c r="W198" s="144"/>
      <c r="X198" s="42">
        <f>ROUND($B198*X$99,2)</f>
        <v>-0.01</v>
      </c>
      <c r="Y198" s="42">
        <f>ROUND($B198*Y$99,2)</f>
        <v>0</v>
      </c>
      <c r="Z198" s="42">
        <f>ROUND($B198*Z$99,2)</f>
        <v>0</v>
      </c>
      <c r="AA198" s="42">
        <f>ROUND($B198*AA$99,2)</f>
        <v>0</v>
      </c>
      <c r="AB198" s="19">
        <f>SUM(U$99:AA$99)+(-V$99+V160)</f>
        <v>1.6456999999999999E-2</v>
      </c>
      <c r="AC198" s="144"/>
      <c r="AE198" s="144"/>
      <c r="AG198" s="144"/>
      <c r="AI198" s="144"/>
      <c r="AK198" s="144"/>
      <c r="AM198" s="144"/>
      <c r="AO198" s="144"/>
      <c r="AQ198" s="144"/>
      <c r="AS198" s="144"/>
      <c r="AU198" s="144"/>
      <c r="AW198" s="144"/>
      <c r="AY198" s="144"/>
      <c r="BA198" s="144"/>
      <c r="BC198" s="144"/>
      <c r="BE198" s="144"/>
      <c r="BG198" s="144"/>
      <c r="BI198" s="144"/>
      <c r="BK198" s="144"/>
      <c r="BM198" s="144"/>
      <c r="BO198" s="144"/>
      <c r="BQ198" s="144"/>
      <c r="BS198" s="144"/>
      <c r="BU198" s="144"/>
      <c r="BW198" s="144"/>
      <c r="BY198" s="144"/>
      <c r="CA198" s="144"/>
      <c r="CC198" s="144"/>
      <c r="CE198" s="144"/>
      <c r="CG198" s="144"/>
      <c r="CI198" s="144"/>
      <c r="CK198" s="144"/>
      <c r="CM198" s="144"/>
      <c r="CO198" s="144"/>
      <c r="CQ198" s="144"/>
      <c r="CS198" s="144"/>
      <c r="CU198" s="144"/>
      <c r="CW198" s="144"/>
      <c r="CY198" s="144"/>
      <c r="DA198" s="144"/>
      <c r="DC198" s="144"/>
      <c r="DE198" s="144"/>
      <c r="DG198" s="144"/>
      <c r="DI198" s="144"/>
      <c r="DK198" s="144"/>
      <c r="DM198" s="144"/>
      <c r="DO198" s="144"/>
      <c r="DQ198" s="144"/>
      <c r="DS198" s="144"/>
    </row>
    <row r="199" spans="1:123" x14ac:dyDescent="0.2">
      <c r="B199" s="97">
        <v>-1</v>
      </c>
      <c r="C199" s="9"/>
      <c r="F199" s="36"/>
      <c r="G199" s="42"/>
      <c r="H199" s="19"/>
      <c r="I199" s="19"/>
      <c r="J199" s="82"/>
      <c r="K199" s="82"/>
      <c r="L199" s="82"/>
      <c r="M199" s="41"/>
      <c r="N199" s="41"/>
      <c r="O199" s="41"/>
      <c r="P199" s="41"/>
      <c r="Q199" s="41"/>
      <c r="R199" s="41"/>
      <c r="S199" s="50">
        <v>0.1</v>
      </c>
      <c r="T199" s="42"/>
      <c r="U199" s="42"/>
      <c r="V199" s="41"/>
      <c r="W199" s="42"/>
      <c r="X199" s="42"/>
      <c r="Y199" s="42"/>
      <c r="Z199" s="42"/>
      <c r="AA199" s="42"/>
      <c r="AB199" s="19"/>
      <c r="AC199" s="94"/>
      <c r="AE199" s="144"/>
      <c r="AG199" s="144"/>
      <c r="AI199" s="144"/>
      <c r="AK199" s="144"/>
      <c r="AM199" s="144"/>
      <c r="AO199" s="144"/>
      <c r="AQ199" s="144"/>
      <c r="AS199" s="144"/>
      <c r="AU199" s="144"/>
      <c r="AW199" s="144"/>
      <c r="AY199" s="144"/>
      <c r="BA199" s="144"/>
      <c r="BC199" s="144"/>
      <c r="BE199" s="144"/>
      <c r="BG199" s="144"/>
      <c r="BI199" s="144"/>
      <c r="BK199" s="144"/>
      <c r="BM199" s="144"/>
      <c r="BO199" s="144"/>
      <c r="BQ199" s="144"/>
      <c r="BS199" s="144"/>
      <c r="BU199" s="144"/>
      <c r="BW199" s="144"/>
      <c r="BY199" s="144"/>
      <c r="CA199" s="144"/>
      <c r="CC199" s="144"/>
      <c r="CE199" s="144"/>
      <c r="CG199" s="144"/>
      <c r="CI199" s="144"/>
      <c r="CK199" s="144"/>
      <c r="CM199" s="144"/>
      <c r="CO199" s="144"/>
      <c r="CQ199" s="144"/>
      <c r="CS199" s="144"/>
      <c r="CU199" s="144"/>
      <c r="CW199" s="144"/>
      <c r="CY199" s="144"/>
      <c r="DA199" s="144"/>
      <c r="DC199" s="144"/>
      <c r="DE199" s="144"/>
      <c r="DG199" s="144"/>
      <c r="DI199" s="144"/>
      <c r="DK199" s="144"/>
      <c r="DM199" s="144"/>
      <c r="DO199" s="144"/>
      <c r="DQ199" s="144"/>
      <c r="DS199" s="144"/>
    </row>
    <row r="200" spans="1:123" x14ac:dyDescent="0.2">
      <c r="B200" s="103">
        <f>IF(AND('AES Indiana Bill Calc.'!$D$17="SS",'AES Indiana Bill Calc.'!$D$18="Yes 10%",'AES Indiana Bill Calc.'!$D$20="Yes 2025"),'AES Indiana Bill Calc.'!$D$19,-1)</f>
        <v>-1</v>
      </c>
      <c r="C200" s="1" t="s">
        <v>154</v>
      </c>
      <c r="D200" s="144"/>
      <c r="F200" s="36" t="s">
        <v>315</v>
      </c>
      <c r="G200" s="42">
        <f>SUM(J200:M200,O200:P200,R200:AA200)</f>
        <v>39.870000000000005</v>
      </c>
      <c r="H200" s="19" t="e">
        <f>IF(ISBLANK(B200),0,+#REF!/B200)</f>
        <v>#REF!</v>
      </c>
      <c r="I200" s="144"/>
      <c r="J200" s="82">
        <f>IF(ISBLANK(B200),0,IF(B200&gt;J$100,+J$99,+F$99))</f>
        <v>40</v>
      </c>
      <c r="K200" s="82">
        <f>IF($B200&gt;K$100,ROUND(K$100*K$99,2),ROUND($B200*K$99,2))</f>
        <v>-0.12</v>
      </c>
      <c r="L200" s="82">
        <f>IF($B200&gt;K$100,ROUND(($B200-K$100)*L$99,2),0)</f>
        <v>0</v>
      </c>
      <c r="M200" s="144"/>
      <c r="N200" s="42">
        <f>SUM(K200:L200)</f>
        <v>-0.12</v>
      </c>
      <c r="O200" s="144"/>
      <c r="P200" s="144"/>
      <c r="Q200" s="144"/>
      <c r="S200" s="42">
        <f>ROUND($B200*S$99*S199,2)</f>
        <v>0</v>
      </c>
      <c r="T200" s="42">
        <f>ROUND($B200*T$99,2)</f>
        <v>0</v>
      </c>
      <c r="U200" s="42">
        <f>ROUND($B200*U$99,2)</f>
        <v>0</v>
      </c>
      <c r="V200" s="41">
        <f>ROUND($B200*V$97,2)</f>
        <v>0</v>
      </c>
      <c r="W200" s="144"/>
      <c r="X200" s="42">
        <f>ROUND($B200*X$99,2)</f>
        <v>-0.01</v>
      </c>
      <c r="Y200" s="42">
        <f>ROUND($B200*Y$99,2)</f>
        <v>0</v>
      </c>
      <c r="Z200" s="42">
        <f>ROUND($B200*Z$99,2)</f>
        <v>0</v>
      </c>
      <c r="AA200" s="42">
        <f>ROUND($B200*AA$99,2)</f>
        <v>0</v>
      </c>
      <c r="AB200" s="19">
        <f>SUM(U$99:AA$99)+(-V$99+V162)</f>
        <v>1.6456999999999999E-2</v>
      </c>
      <c r="AC200" s="144"/>
      <c r="AE200" s="144"/>
      <c r="AG200" s="144"/>
      <c r="AI200" s="144"/>
      <c r="AK200" s="144"/>
      <c r="AM200" s="144"/>
      <c r="AO200" s="144"/>
      <c r="AQ200" s="144"/>
      <c r="AS200" s="144"/>
      <c r="AU200" s="144"/>
      <c r="AW200" s="144"/>
      <c r="AY200" s="144"/>
      <c r="BA200" s="144"/>
      <c r="BC200" s="144"/>
      <c r="BE200" s="144"/>
      <c r="BG200" s="144"/>
      <c r="BI200" s="144"/>
      <c r="BK200" s="144"/>
      <c r="BM200" s="144"/>
      <c r="BO200" s="144"/>
      <c r="BQ200" s="144"/>
      <c r="BS200" s="144"/>
      <c r="BU200" s="144"/>
      <c r="BW200" s="144"/>
      <c r="BY200" s="144"/>
      <c r="CA200" s="144"/>
      <c r="CC200" s="144"/>
      <c r="CE200" s="144"/>
      <c r="CG200" s="144"/>
      <c r="CI200" s="144"/>
      <c r="CK200" s="144"/>
      <c r="CM200" s="144"/>
      <c r="CO200" s="144"/>
      <c r="CQ200" s="144"/>
      <c r="CS200" s="144"/>
      <c r="CU200" s="144"/>
      <c r="CW200" s="144"/>
      <c r="CY200" s="144"/>
      <c r="DA200" s="144"/>
      <c r="DC200" s="144"/>
      <c r="DE200" s="144"/>
      <c r="DG200" s="144"/>
      <c r="DI200" s="144"/>
      <c r="DK200" s="144"/>
      <c r="DM200" s="144"/>
      <c r="DO200" s="144"/>
      <c r="DQ200" s="144"/>
      <c r="DS200" s="144"/>
    </row>
    <row r="201" spans="1:123" x14ac:dyDescent="0.2">
      <c r="B201" s="97">
        <v>-1</v>
      </c>
      <c r="F201" s="36"/>
      <c r="G201" s="42"/>
      <c r="H201" s="19"/>
      <c r="I201" s="19"/>
      <c r="J201" s="82"/>
      <c r="K201" s="82"/>
      <c r="L201" s="82"/>
      <c r="M201" s="41"/>
      <c r="N201" s="41"/>
      <c r="O201" s="41"/>
      <c r="P201" s="41"/>
      <c r="Q201" s="41"/>
      <c r="R201" s="41"/>
      <c r="S201" s="50">
        <v>0</v>
      </c>
      <c r="T201" s="42"/>
      <c r="U201" s="42"/>
      <c r="V201" s="41"/>
      <c r="W201" s="42"/>
      <c r="X201" s="42"/>
      <c r="Y201" s="42"/>
      <c r="Z201" s="42"/>
      <c r="AA201" s="42"/>
      <c r="AB201" s="19"/>
      <c r="AC201" s="94"/>
      <c r="AE201" s="144"/>
      <c r="AG201" s="144"/>
      <c r="AI201" s="144"/>
      <c r="AK201" s="144"/>
      <c r="AM201" s="144"/>
      <c r="AO201" s="144"/>
      <c r="AQ201" s="144"/>
      <c r="AS201" s="144"/>
      <c r="AU201" s="144"/>
      <c r="AW201" s="144"/>
      <c r="AY201" s="144"/>
      <c r="BA201" s="144"/>
      <c r="BC201" s="144"/>
      <c r="BE201" s="144"/>
      <c r="BG201" s="144"/>
      <c r="BI201" s="144"/>
      <c r="BK201" s="144"/>
      <c r="BM201" s="144"/>
      <c r="BO201" s="144"/>
      <c r="BQ201" s="144"/>
      <c r="BS201" s="144"/>
      <c r="BU201" s="144"/>
      <c r="BW201" s="144"/>
      <c r="BY201" s="144"/>
      <c r="CA201" s="144"/>
      <c r="CC201" s="144"/>
      <c r="CE201" s="144"/>
      <c r="CG201" s="144"/>
      <c r="CI201" s="144"/>
      <c r="CK201" s="144"/>
      <c r="CM201" s="144"/>
      <c r="CO201" s="144"/>
      <c r="CQ201" s="144"/>
      <c r="CS201" s="144"/>
      <c r="CU201" s="144"/>
      <c r="CW201" s="144"/>
      <c r="CY201" s="144"/>
      <c r="DA201" s="144"/>
      <c r="DC201" s="144"/>
      <c r="DE201" s="144"/>
      <c r="DG201" s="144"/>
      <c r="DI201" s="144"/>
      <c r="DK201" s="144"/>
      <c r="DM201" s="144"/>
      <c r="DO201" s="144"/>
      <c r="DQ201" s="144"/>
      <c r="DS201" s="144"/>
    </row>
    <row r="202" spans="1:123" ht="13.5" thickBot="1" x14ac:dyDescent="0.25">
      <c r="A202" s="21"/>
      <c r="B202" s="106">
        <f>IF(AND('AES Indiana Bill Calc.'!$D$17="SS",'AES Indiana Bill Calc.'!$D$18="No",'AES Indiana Bill Calc.'!$D$20="Yes 2025"),'AES Indiana Bill Calc.'!$D$19,-1)</f>
        <v>-1</v>
      </c>
      <c r="C202" s="146" t="s">
        <v>137</v>
      </c>
      <c r="D202" s="125"/>
      <c r="E202" s="21"/>
      <c r="F202" s="36" t="s">
        <v>315</v>
      </c>
      <c r="G202" s="23">
        <f>SUM(J202:M202,O202:P202,R202:AA202)</f>
        <v>39.870000000000005</v>
      </c>
      <c r="H202" s="25" t="e">
        <f>IF(ISBLANK(B202),0,+#REF!/B202)</f>
        <v>#REF!</v>
      </c>
      <c r="I202" s="125"/>
      <c r="J202" s="22">
        <f>IF(ISBLANK(B202),0,IF(B202&gt;J$100,+J$99,+F$99))</f>
        <v>40</v>
      </c>
      <c r="K202" s="22">
        <f>IF($B202&gt;K$100,ROUND(K$100*K$99,2),ROUND($B202*K$99,2))</f>
        <v>-0.12</v>
      </c>
      <c r="L202" s="22">
        <f>IF($B202&gt;K$100,ROUND(($B202-K$100)*L$99,2),0)</f>
        <v>0</v>
      </c>
      <c r="M202" s="125"/>
      <c r="N202" s="23">
        <f>SUM(K202:L202)</f>
        <v>-0.12</v>
      </c>
      <c r="O202" s="125"/>
      <c r="P202" s="125"/>
      <c r="Q202" s="125"/>
      <c r="R202" s="21"/>
      <c r="S202" s="23">
        <f>ROUND($B202*S$99*S201,2)</f>
        <v>0</v>
      </c>
      <c r="T202" s="23">
        <f>ROUND($B202*T$99,2)</f>
        <v>0</v>
      </c>
      <c r="U202" s="23">
        <f>ROUND($B202*U$99,2)</f>
        <v>0</v>
      </c>
      <c r="V202" s="24">
        <f>ROUND($B202*V$97,2)</f>
        <v>0</v>
      </c>
      <c r="W202" s="125"/>
      <c r="X202" s="23">
        <f>ROUND($B202*X$99,2)</f>
        <v>-0.01</v>
      </c>
      <c r="Y202" s="23">
        <f>ROUND($B202*Y$99,2)</f>
        <v>0</v>
      </c>
      <c r="Z202" s="23">
        <f>ROUND($B202*Z$99,2)</f>
        <v>0</v>
      </c>
      <c r="AA202" s="23">
        <f>ROUND($B202*AA$99,2)</f>
        <v>0</v>
      </c>
      <c r="AB202" s="25">
        <f>SUM(U$99:AA$99)+(-V$99+V164)</f>
        <v>1.6456999999999999E-2</v>
      </c>
      <c r="AC202" s="125"/>
      <c r="AE202" s="144"/>
      <c r="AG202" s="144"/>
      <c r="AI202" s="144"/>
      <c r="AK202" s="144"/>
      <c r="AM202" s="144"/>
      <c r="AO202" s="144"/>
      <c r="AQ202" s="144"/>
      <c r="AS202" s="144"/>
      <c r="AU202" s="144"/>
      <c r="AW202" s="144"/>
      <c r="AY202" s="144"/>
      <c r="BA202" s="144"/>
      <c r="BC202" s="144"/>
      <c r="BE202" s="144"/>
      <c r="BG202" s="144"/>
      <c r="BI202" s="144"/>
      <c r="BK202" s="144"/>
      <c r="BM202" s="144"/>
      <c r="BO202" s="144"/>
      <c r="BQ202" s="144"/>
      <c r="BS202" s="144"/>
      <c r="BU202" s="144"/>
      <c r="BW202" s="144"/>
      <c r="BY202" s="144"/>
      <c r="CA202" s="144"/>
      <c r="CC202" s="144"/>
      <c r="CE202" s="144"/>
      <c r="CG202" s="144"/>
      <c r="CI202" s="144"/>
      <c r="CK202" s="144"/>
      <c r="CM202" s="144"/>
      <c r="CO202" s="144"/>
      <c r="CQ202" s="144"/>
      <c r="CS202" s="144"/>
      <c r="CU202" s="144"/>
      <c r="CW202" s="144"/>
      <c r="CY202" s="144"/>
      <c r="DA202" s="144"/>
      <c r="DC202" s="144"/>
      <c r="DE202" s="144"/>
      <c r="DG202" s="144"/>
      <c r="DI202" s="144"/>
      <c r="DK202" s="144"/>
      <c r="DM202" s="144"/>
      <c r="DO202" s="144"/>
      <c r="DQ202" s="144"/>
      <c r="DS202" s="144"/>
    </row>
    <row r="203" spans="1:123" x14ac:dyDescent="0.2">
      <c r="B203" s="97">
        <v>-1</v>
      </c>
      <c r="C203" s="145"/>
      <c r="D203" s="144"/>
      <c r="F203" s="36"/>
      <c r="G203" s="42"/>
      <c r="H203" s="19"/>
      <c r="I203" s="144"/>
      <c r="J203" s="82"/>
      <c r="K203" s="82"/>
      <c r="L203" s="82"/>
      <c r="M203" s="144"/>
      <c r="N203" s="42"/>
      <c r="O203" s="144"/>
      <c r="P203" s="144"/>
      <c r="Q203" s="144"/>
      <c r="S203" s="50">
        <v>1</v>
      </c>
      <c r="T203" s="42"/>
      <c r="U203" s="42"/>
      <c r="V203" s="41"/>
      <c r="W203" s="144"/>
      <c r="X203" s="42"/>
      <c r="Y203" s="42"/>
      <c r="Z203" s="42"/>
      <c r="AA203" s="42"/>
      <c r="AB203" s="19"/>
      <c r="AC203" s="144"/>
      <c r="AE203" s="144"/>
      <c r="AG203" s="144"/>
      <c r="AI203" s="144"/>
      <c r="AK203" s="144"/>
      <c r="AM203" s="144"/>
      <c r="AO203" s="144"/>
      <c r="AQ203" s="144"/>
      <c r="AS203" s="144"/>
      <c r="AU203" s="144"/>
      <c r="AW203" s="144"/>
      <c r="AY203" s="144"/>
      <c r="BA203" s="144"/>
      <c r="BC203" s="144"/>
      <c r="BE203" s="144"/>
      <c r="BG203" s="144"/>
      <c r="BI203" s="144"/>
      <c r="BK203" s="144"/>
      <c r="BM203" s="144"/>
      <c r="BO203" s="144"/>
      <c r="BQ203" s="144"/>
      <c r="BS203" s="144"/>
      <c r="BU203" s="144"/>
      <c r="BW203" s="144"/>
      <c r="BY203" s="144"/>
      <c r="CA203" s="144"/>
      <c r="CC203" s="144"/>
      <c r="CE203" s="144"/>
      <c r="CG203" s="144"/>
      <c r="CI203" s="144"/>
      <c r="CK203" s="144"/>
      <c r="CM203" s="144"/>
      <c r="CO203" s="144"/>
      <c r="CQ203" s="144"/>
      <c r="CS203" s="144"/>
      <c r="CU203" s="144"/>
      <c r="CW203" s="144"/>
      <c r="CY203" s="144"/>
      <c r="DA203" s="144"/>
      <c r="DC203" s="144"/>
      <c r="DE203" s="144"/>
      <c r="DG203" s="144"/>
      <c r="DI203" s="144"/>
      <c r="DK203" s="144"/>
      <c r="DM203" s="144"/>
      <c r="DO203" s="144"/>
      <c r="DQ203" s="144"/>
      <c r="DS203" s="144"/>
    </row>
    <row r="204" spans="1:123" x14ac:dyDescent="0.2">
      <c r="B204" s="97">
        <f>IF(AND('AES Indiana Bill Calc.'!$D$17="SS",'AES Indiana Bill Calc.'!$D$18="Yes 100%",'AES Indiana Bill Calc.'!$D$20="Yes 2026"),'AES Indiana Bill Calc.'!$D$19,-1)</f>
        <v>-1</v>
      </c>
      <c r="C204" s="145" t="s">
        <v>138</v>
      </c>
      <c r="D204" s="144"/>
      <c r="F204" s="36" t="s">
        <v>375</v>
      </c>
      <c r="G204" s="42">
        <f>SUM(J204:M204,O204:P204,R204:AA204)</f>
        <v>39.860000000000007</v>
      </c>
      <c r="H204" s="19" t="e">
        <f>IF(ISBLANK(B204),0,+#REF!/B204)</f>
        <v>#REF!</v>
      </c>
      <c r="I204" s="144"/>
      <c r="J204" s="82">
        <f>IF(ISBLANK(B204),0,IF(B204&gt;J$100,+J$99,+F$99))</f>
        <v>40</v>
      </c>
      <c r="K204" s="82">
        <f>IF($B204&gt;K$100,ROUND(K$100*K$99,2),ROUND($B204*K$99,2))</f>
        <v>-0.12</v>
      </c>
      <c r="L204" s="82">
        <f>IF($B204&gt;K$100,ROUND(($B204-K$100)*L$99,2),0)</f>
        <v>0</v>
      </c>
      <c r="M204" s="144"/>
      <c r="N204" s="42">
        <f>SUM(K204:L204)</f>
        <v>-0.12</v>
      </c>
      <c r="O204" s="144"/>
      <c r="P204" s="144"/>
      <c r="Q204" s="144"/>
      <c r="S204" s="42">
        <f>ROUND($B204*S$99*S203,2)</f>
        <v>0</v>
      </c>
      <c r="T204" s="42">
        <f>ROUND($B204*T$99,2)</f>
        <v>0</v>
      </c>
      <c r="U204" s="42">
        <f>ROUND($B204*U$99,2)</f>
        <v>0</v>
      </c>
      <c r="V204" s="41">
        <f>ROUND($B204*V$98,2)</f>
        <v>-0.01</v>
      </c>
      <c r="W204" s="144"/>
      <c r="X204" s="42">
        <f>ROUND($B204*X$99,2)</f>
        <v>-0.01</v>
      </c>
      <c r="Y204" s="42">
        <f>ROUND($B204*Y$99,2)</f>
        <v>0</v>
      </c>
      <c r="Z204" s="42">
        <f>ROUND($B204*Z$99,2)</f>
        <v>0</v>
      </c>
      <c r="AA204" s="42">
        <f>ROUND($B204*AA$99,2)</f>
        <v>0</v>
      </c>
      <c r="AB204" s="19">
        <f>SUM(U$99:AA$99)+(-V$99+V166)</f>
        <v>1.6456999999999999E-2</v>
      </c>
      <c r="AC204" s="144"/>
      <c r="AE204" s="144"/>
      <c r="AG204" s="144"/>
      <c r="AI204" s="144"/>
      <c r="AK204" s="144"/>
      <c r="AM204" s="144"/>
      <c r="AO204" s="144"/>
      <c r="AQ204" s="144"/>
      <c r="AS204" s="144"/>
      <c r="AU204" s="144"/>
      <c r="AW204" s="144"/>
      <c r="AY204" s="144"/>
      <c r="BA204" s="144"/>
      <c r="BC204" s="144"/>
      <c r="BE204" s="144"/>
      <c r="BG204" s="144"/>
      <c r="BI204" s="144"/>
      <c r="BK204" s="144"/>
      <c r="BM204" s="144"/>
      <c r="BO204" s="144"/>
      <c r="BQ204" s="144"/>
      <c r="BS204" s="144"/>
      <c r="BU204" s="144"/>
      <c r="BW204" s="144"/>
      <c r="BY204" s="144"/>
      <c r="CA204" s="144"/>
      <c r="CC204" s="144"/>
      <c r="CE204" s="144"/>
      <c r="CG204" s="144"/>
      <c r="CI204" s="144"/>
      <c r="CK204" s="144"/>
      <c r="CM204" s="144"/>
      <c r="CO204" s="144"/>
      <c r="CQ204" s="144"/>
      <c r="CS204" s="144"/>
      <c r="CU204" s="144"/>
      <c r="CW204" s="144"/>
      <c r="CY204" s="144"/>
      <c r="DA204" s="144"/>
      <c r="DC204" s="144"/>
      <c r="DE204" s="144"/>
      <c r="DG204" s="144"/>
      <c r="DI204" s="144"/>
      <c r="DK204" s="144"/>
      <c r="DM204" s="144"/>
      <c r="DO204" s="144"/>
      <c r="DQ204" s="144"/>
      <c r="DS204" s="144"/>
    </row>
    <row r="205" spans="1:123" x14ac:dyDescent="0.2">
      <c r="B205" s="97">
        <v>-1</v>
      </c>
      <c r="C205" s="9"/>
      <c r="F205" s="36"/>
      <c r="G205" s="42"/>
      <c r="H205" s="19"/>
      <c r="I205" s="19"/>
      <c r="J205" s="82"/>
      <c r="K205" s="82"/>
      <c r="L205" s="82"/>
      <c r="M205" s="41"/>
      <c r="N205" s="41"/>
      <c r="O205" s="41"/>
      <c r="P205" s="41"/>
      <c r="Q205" s="41"/>
      <c r="R205" s="41"/>
      <c r="S205" s="50">
        <v>0.5</v>
      </c>
      <c r="T205" s="42"/>
      <c r="U205" s="42"/>
      <c r="V205" s="41"/>
      <c r="W205" s="42"/>
      <c r="X205" s="42"/>
      <c r="Y205" s="42"/>
      <c r="Z205" s="42"/>
      <c r="AA205" s="42"/>
      <c r="AB205" s="19"/>
      <c r="AC205" s="94"/>
      <c r="AE205" s="144"/>
      <c r="AG205" s="144"/>
      <c r="AI205" s="144"/>
      <c r="AK205" s="144"/>
      <c r="AM205" s="144"/>
      <c r="AO205" s="144"/>
      <c r="AQ205" s="144"/>
      <c r="AS205" s="144"/>
      <c r="AU205" s="144"/>
      <c r="AW205" s="144"/>
      <c r="AY205" s="144"/>
      <c r="BA205" s="144"/>
      <c r="BC205" s="144"/>
      <c r="BE205" s="144"/>
      <c r="BG205" s="144"/>
      <c r="BI205" s="144"/>
      <c r="BK205" s="144"/>
      <c r="BM205" s="144"/>
      <c r="BO205" s="144"/>
      <c r="BQ205" s="144"/>
      <c r="BS205" s="144"/>
      <c r="BU205" s="144"/>
      <c r="BW205" s="144"/>
      <c r="BY205" s="144"/>
      <c r="CA205" s="144"/>
      <c r="CC205" s="144"/>
      <c r="CE205" s="144"/>
      <c r="CG205" s="144"/>
      <c r="CI205" s="144"/>
      <c r="CK205" s="144"/>
      <c r="CM205" s="144"/>
      <c r="CO205" s="144"/>
      <c r="CQ205" s="144"/>
      <c r="CS205" s="144"/>
      <c r="CU205" s="144"/>
      <c r="CW205" s="144"/>
      <c r="CY205" s="144"/>
      <c r="DA205" s="144"/>
      <c r="DC205" s="144"/>
      <c r="DE205" s="144"/>
      <c r="DG205" s="144"/>
      <c r="DI205" s="144"/>
      <c r="DK205" s="144"/>
      <c r="DM205" s="144"/>
      <c r="DO205" s="144"/>
      <c r="DQ205" s="144"/>
      <c r="DS205" s="144"/>
    </row>
    <row r="206" spans="1:123" x14ac:dyDescent="0.2">
      <c r="B206" s="103">
        <f>IF(AND('AES Indiana Bill Calc.'!$D$17="SS",'AES Indiana Bill Calc.'!$D$18="Yes 50%",'AES Indiana Bill Calc.'!$D$20="Yes 2026"),'AES Indiana Bill Calc.'!$D$19,-1)</f>
        <v>-1</v>
      </c>
      <c r="C206" s="1" t="s">
        <v>139</v>
      </c>
      <c r="D206" s="144"/>
      <c r="F206" s="36" t="s">
        <v>375</v>
      </c>
      <c r="G206" s="42">
        <f>SUM(J206:M206,O206:P206,R206:AA206)</f>
        <v>39.860000000000007</v>
      </c>
      <c r="H206" s="19" t="e">
        <f>IF(ISBLANK(B206),0,+#REF!/B206)</f>
        <v>#REF!</v>
      </c>
      <c r="I206" s="144"/>
      <c r="J206" s="82">
        <f>IF(ISBLANK(B206),0,IF(B206&gt;J$100,+J$99,+F$99))</f>
        <v>40</v>
      </c>
      <c r="K206" s="82">
        <f>IF($B206&gt;K$100,ROUND(K$100*K$99,2),ROUND($B206*K$99,2))</f>
        <v>-0.12</v>
      </c>
      <c r="L206" s="82">
        <f>IF($B206&gt;K$100,ROUND(($B206-K$100)*L$99,2),0)</f>
        <v>0</v>
      </c>
      <c r="M206" s="144"/>
      <c r="N206" s="42">
        <f>SUM(K206:L206)</f>
        <v>-0.12</v>
      </c>
      <c r="O206" s="144"/>
      <c r="P206" s="144"/>
      <c r="Q206" s="144"/>
      <c r="S206" s="42">
        <f>ROUND($B206*S$99*S205,2)</f>
        <v>0</v>
      </c>
      <c r="T206" s="42">
        <f>ROUND($B206*T$99,2)</f>
        <v>0</v>
      </c>
      <c r="U206" s="42">
        <f>ROUND($B206*U$99,2)</f>
        <v>0</v>
      </c>
      <c r="V206" s="41">
        <f>ROUND($B206*V$98,2)</f>
        <v>-0.01</v>
      </c>
      <c r="W206" s="144"/>
      <c r="X206" s="42">
        <f>ROUND($B206*X$99,2)</f>
        <v>-0.01</v>
      </c>
      <c r="Y206" s="42">
        <f>ROUND($B206*Y$99,2)</f>
        <v>0</v>
      </c>
      <c r="Z206" s="42">
        <f>ROUND($B206*Z$99,2)</f>
        <v>0</v>
      </c>
      <c r="AA206" s="42">
        <f>ROUND($B206*AA$99,2)</f>
        <v>0</v>
      </c>
      <c r="AB206" s="19">
        <f>SUM(U$99:AA$99)+(-V$99+V168)</f>
        <v>1.6456999999999999E-2</v>
      </c>
      <c r="AC206" s="144"/>
      <c r="AE206" s="144"/>
      <c r="AG206" s="144"/>
      <c r="AI206" s="144"/>
      <c r="AK206" s="144"/>
      <c r="AM206" s="144"/>
      <c r="AO206" s="144"/>
      <c r="AQ206" s="144"/>
      <c r="AS206" s="144"/>
      <c r="AU206" s="144"/>
      <c r="AW206" s="144"/>
      <c r="AY206" s="144"/>
      <c r="BA206" s="144"/>
      <c r="BC206" s="144"/>
      <c r="BE206" s="144"/>
      <c r="BG206" s="144"/>
      <c r="BI206" s="144"/>
      <c r="BK206" s="144"/>
      <c r="BM206" s="144"/>
      <c r="BO206" s="144"/>
      <c r="BQ206" s="144"/>
      <c r="BS206" s="144"/>
      <c r="BU206" s="144"/>
      <c r="BW206" s="144"/>
      <c r="BY206" s="144"/>
      <c r="CA206" s="144"/>
      <c r="CC206" s="144"/>
      <c r="CE206" s="144"/>
      <c r="CG206" s="144"/>
      <c r="CI206" s="144"/>
      <c r="CK206" s="144"/>
      <c r="CM206" s="144"/>
      <c r="CO206" s="144"/>
      <c r="CQ206" s="144"/>
      <c r="CS206" s="144"/>
      <c r="CU206" s="144"/>
      <c r="CW206" s="144"/>
      <c r="CY206" s="144"/>
      <c r="DA206" s="144"/>
      <c r="DC206" s="144"/>
      <c r="DE206" s="144"/>
      <c r="DG206" s="144"/>
      <c r="DI206" s="144"/>
      <c r="DK206" s="144"/>
      <c r="DM206" s="144"/>
      <c r="DO206" s="144"/>
      <c r="DQ206" s="144"/>
      <c r="DS206" s="144"/>
    </row>
    <row r="207" spans="1:123" x14ac:dyDescent="0.2">
      <c r="B207" s="97">
        <v>-1</v>
      </c>
      <c r="C207" s="9"/>
      <c r="F207" s="36"/>
      <c r="G207" s="42"/>
      <c r="H207" s="19"/>
      <c r="I207" s="19"/>
      <c r="J207" s="82"/>
      <c r="K207" s="82"/>
      <c r="L207" s="82"/>
      <c r="M207" s="41"/>
      <c r="N207" s="41"/>
      <c r="O207" s="41"/>
      <c r="P207" s="41"/>
      <c r="Q207" s="41"/>
      <c r="R207" s="41"/>
      <c r="S207" s="50">
        <v>0.25</v>
      </c>
      <c r="T207" s="42"/>
      <c r="U207" s="42"/>
      <c r="V207" s="41"/>
      <c r="W207" s="42"/>
      <c r="X207" s="42"/>
      <c r="Y207" s="42"/>
      <c r="Z207" s="42"/>
      <c r="AA207" s="42"/>
      <c r="AB207" s="19"/>
      <c r="AC207" s="94"/>
      <c r="AE207" s="144"/>
      <c r="AG207" s="144"/>
      <c r="AI207" s="144"/>
      <c r="AK207" s="144"/>
      <c r="AM207" s="144"/>
      <c r="AO207" s="144"/>
      <c r="AQ207" s="144"/>
      <c r="AS207" s="144"/>
      <c r="AU207" s="144"/>
      <c r="AW207" s="144"/>
      <c r="AY207" s="144"/>
      <c r="BA207" s="144"/>
      <c r="BC207" s="144"/>
      <c r="BE207" s="144"/>
      <c r="BG207" s="144"/>
      <c r="BI207" s="144"/>
      <c r="BK207" s="144"/>
      <c r="BM207" s="144"/>
      <c r="BO207" s="144"/>
      <c r="BQ207" s="144"/>
      <c r="BS207" s="144"/>
      <c r="BU207" s="144"/>
      <c r="BW207" s="144"/>
      <c r="BY207" s="144"/>
      <c r="CA207" s="144"/>
      <c r="CC207" s="144"/>
      <c r="CE207" s="144"/>
      <c r="CG207" s="144"/>
      <c r="CI207" s="144"/>
      <c r="CK207" s="144"/>
      <c r="CM207" s="144"/>
      <c r="CO207" s="144"/>
      <c r="CQ207" s="144"/>
      <c r="CS207" s="144"/>
      <c r="CU207" s="144"/>
      <c r="CW207" s="144"/>
      <c r="CY207" s="144"/>
      <c r="DA207" s="144"/>
      <c r="DC207" s="144"/>
      <c r="DE207" s="144"/>
      <c r="DG207" s="144"/>
      <c r="DI207" s="144"/>
      <c r="DK207" s="144"/>
      <c r="DM207" s="144"/>
      <c r="DO207" s="144"/>
      <c r="DQ207" s="144"/>
      <c r="DS207" s="144"/>
    </row>
    <row r="208" spans="1:123" x14ac:dyDescent="0.2">
      <c r="B208" s="103">
        <f>IF(AND('AES Indiana Bill Calc.'!$D$17="SS",'AES Indiana Bill Calc.'!$D$18="Yes 25%",'AES Indiana Bill Calc.'!$D$20="Yes 2026"),'AES Indiana Bill Calc.'!$D$19,-1)</f>
        <v>-1</v>
      </c>
      <c r="C208" s="1" t="s">
        <v>140</v>
      </c>
      <c r="D208" s="144"/>
      <c r="F208" s="36" t="s">
        <v>375</v>
      </c>
      <c r="G208" s="42">
        <f>SUM(J208:M208,O208:P208,R208:AA208)</f>
        <v>39.860000000000007</v>
      </c>
      <c r="H208" s="19" t="e">
        <f>IF(ISBLANK(B208),0,+#REF!/B208)</f>
        <v>#REF!</v>
      </c>
      <c r="I208" s="144"/>
      <c r="J208" s="82">
        <f>IF(ISBLANK(B208),0,IF(B208&gt;J$100,+J$99,+F$99))</f>
        <v>40</v>
      </c>
      <c r="K208" s="82">
        <f>IF($B208&gt;K$100,ROUND(K$100*K$99,2),ROUND($B208*K$99,2))</f>
        <v>-0.12</v>
      </c>
      <c r="L208" s="82">
        <f>IF($B208&gt;K$100,ROUND(($B208-K$100)*L$99,2),0)</f>
        <v>0</v>
      </c>
      <c r="M208" s="144"/>
      <c r="N208" s="42">
        <f>SUM(K208:L208)</f>
        <v>-0.12</v>
      </c>
      <c r="O208" s="144"/>
      <c r="P208" s="144"/>
      <c r="Q208" s="144"/>
      <c r="S208" s="42">
        <f>ROUND($B208*S$99*S207,2)</f>
        <v>0</v>
      </c>
      <c r="T208" s="42">
        <f>ROUND($B208*T$99,2)</f>
        <v>0</v>
      </c>
      <c r="U208" s="42">
        <f>ROUND($B208*U$99,2)</f>
        <v>0</v>
      </c>
      <c r="V208" s="41">
        <f>ROUND($B208*V$98,2)</f>
        <v>-0.01</v>
      </c>
      <c r="W208" s="144"/>
      <c r="X208" s="42">
        <f>ROUND($B208*X$99,2)</f>
        <v>-0.01</v>
      </c>
      <c r="Y208" s="42">
        <f>ROUND($B208*Y$99,2)</f>
        <v>0</v>
      </c>
      <c r="Z208" s="42">
        <f>ROUND($B208*Z$99,2)</f>
        <v>0</v>
      </c>
      <c r="AA208" s="42">
        <f>ROUND($B208*AA$99,2)</f>
        <v>0</v>
      </c>
      <c r="AB208" s="19">
        <f>SUM(U$99:AA$99)+(-V$99+V170)</f>
        <v>1.6456999999999999E-2</v>
      </c>
      <c r="AC208" s="144"/>
      <c r="AE208" s="144"/>
      <c r="AG208" s="144"/>
      <c r="AI208" s="144"/>
      <c r="AK208" s="144"/>
      <c r="AM208" s="144"/>
      <c r="AO208" s="144"/>
      <c r="AQ208" s="144"/>
      <c r="AS208" s="144"/>
      <c r="AU208" s="144"/>
      <c r="AW208" s="144"/>
      <c r="AY208" s="144"/>
      <c r="BA208" s="144"/>
      <c r="BC208" s="144"/>
      <c r="BE208" s="144"/>
      <c r="BG208" s="144"/>
      <c r="BI208" s="144"/>
      <c r="BK208" s="144"/>
      <c r="BM208" s="144"/>
      <c r="BO208" s="144"/>
      <c r="BQ208" s="144"/>
      <c r="BS208" s="144"/>
      <c r="BU208" s="144"/>
      <c r="BW208" s="144"/>
      <c r="BY208" s="144"/>
      <c r="CA208" s="144"/>
      <c r="CC208" s="144"/>
      <c r="CE208" s="144"/>
      <c r="CG208" s="144"/>
      <c r="CI208" s="144"/>
      <c r="CK208" s="144"/>
      <c r="CM208" s="144"/>
      <c r="CO208" s="144"/>
      <c r="CQ208" s="144"/>
      <c r="CS208" s="144"/>
      <c r="CU208" s="144"/>
      <c r="CW208" s="144"/>
      <c r="CY208" s="144"/>
      <c r="DA208" s="144"/>
      <c r="DC208" s="144"/>
      <c r="DE208" s="144"/>
      <c r="DG208" s="144"/>
      <c r="DI208" s="144"/>
      <c r="DK208" s="144"/>
      <c r="DM208" s="144"/>
      <c r="DO208" s="144"/>
      <c r="DQ208" s="144"/>
      <c r="DS208" s="144"/>
    </row>
    <row r="209" spans="1:123" x14ac:dyDescent="0.2">
      <c r="B209" s="97">
        <v>-1</v>
      </c>
      <c r="C209" s="9"/>
      <c r="F209" s="36"/>
      <c r="G209" s="42"/>
      <c r="H209" s="19"/>
      <c r="I209" s="19"/>
      <c r="J209" s="82"/>
      <c r="K209" s="82"/>
      <c r="L209" s="82"/>
      <c r="M209" s="41"/>
      <c r="N209" s="41"/>
      <c r="O209" s="41"/>
      <c r="P209" s="41"/>
      <c r="Q209" s="41"/>
      <c r="R209" s="41"/>
      <c r="S209" s="50">
        <v>0.1</v>
      </c>
      <c r="T209" s="42"/>
      <c r="U209" s="42"/>
      <c r="V209" s="41"/>
      <c r="W209" s="42"/>
      <c r="X209" s="42"/>
      <c r="Y209" s="42"/>
      <c r="Z209" s="42"/>
      <c r="AA209" s="42"/>
      <c r="AB209" s="19"/>
      <c r="AC209" s="94"/>
      <c r="AE209" s="144"/>
      <c r="AG209" s="144"/>
      <c r="AI209" s="144"/>
      <c r="AK209" s="144"/>
      <c r="AM209" s="144"/>
      <c r="AO209" s="144"/>
      <c r="AQ209" s="144"/>
      <c r="AS209" s="144"/>
      <c r="AU209" s="144"/>
      <c r="AW209" s="144"/>
      <c r="AY209" s="144"/>
      <c r="BA209" s="144"/>
      <c r="BC209" s="144"/>
      <c r="BE209" s="144"/>
      <c r="BG209" s="144"/>
      <c r="BI209" s="144"/>
      <c r="BK209" s="144"/>
      <c r="BM209" s="144"/>
      <c r="BO209" s="144"/>
      <c r="BQ209" s="144"/>
      <c r="BS209" s="144"/>
      <c r="BU209" s="144"/>
      <c r="BW209" s="144"/>
      <c r="BY209" s="144"/>
      <c r="CA209" s="144"/>
      <c r="CC209" s="144"/>
      <c r="CE209" s="144"/>
      <c r="CG209" s="144"/>
      <c r="CI209" s="144"/>
      <c r="CK209" s="144"/>
      <c r="CM209" s="144"/>
      <c r="CO209" s="144"/>
      <c r="CQ209" s="144"/>
      <c r="CS209" s="144"/>
      <c r="CU209" s="144"/>
      <c r="CW209" s="144"/>
      <c r="CY209" s="144"/>
      <c r="DA209" s="144"/>
      <c r="DC209" s="144"/>
      <c r="DE209" s="144"/>
      <c r="DG209" s="144"/>
      <c r="DI209" s="144"/>
      <c r="DK209" s="144"/>
      <c r="DM209" s="144"/>
      <c r="DO209" s="144"/>
      <c r="DQ209" s="144"/>
      <c r="DS209" s="144"/>
    </row>
    <row r="210" spans="1:123" x14ac:dyDescent="0.2">
      <c r="B210" s="103">
        <f>IF(AND('AES Indiana Bill Calc.'!$D$17="SS",'AES Indiana Bill Calc.'!$D$18="Yes 10%",'AES Indiana Bill Calc.'!$D$20="Yes 2026"),'AES Indiana Bill Calc.'!$D$19,-1)</f>
        <v>-1</v>
      </c>
      <c r="C210" s="1" t="s">
        <v>154</v>
      </c>
      <c r="D210" s="144"/>
      <c r="F210" s="36" t="s">
        <v>375</v>
      </c>
      <c r="G210" s="42">
        <f>SUM(J210:M210,O210:P210,R210:AA210)</f>
        <v>39.860000000000007</v>
      </c>
      <c r="H210" s="19" t="e">
        <f>IF(ISBLANK(B210),0,+#REF!/B210)</f>
        <v>#REF!</v>
      </c>
      <c r="I210" s="144"/>
      <c r="J210" s="82">
        <f>IF(ISBLANK(B210),0,IF(B210&gt;J$100,+J$99,+F$99))</f>
        <v>40</v>
      </c>
      <c r="K210" s="82">
        <f>IF($B210&gt;K$100,ROUND(K$100*K$99,2),ROUND($B210*K$99,2))</f>
        <v>-0.12</v>
      </c>
      <c r="L210" s="82">
        <f>IF($B210&gt;K$100,ROUND(($B210-K$100)*L$99,2),0)</f>
        <v>0</v>
      </c>
      <c r="M210" s="144"/>
      <c r="N210" s="42">
        <f>SUM(K210:L210)</f>
        <v>-0.12</v>
      </c>
      <c r="O210" s="144"/>
      <c r="P210" s="144"/>
      <c r="Q210" s="144"/>
      <c r="S210" s="42">
        <f>ROUND($B210*S$99*S209,2)</f>
        <v>0</v>
      </c>
      <c r="T210" s="42">
        <f>ROUND($B210*T$99,2)</f>
        <v>0</v>
      </c>
      <c r="U210" s="42">
        <f>ROUND($B210*U$99,2)</f>
        <v>0</v>
      </c>
      <c r="V210" s="41">
        <f>ROUND($B210*V$98,2)</f>
        <v>-0.01</v>
      </c>
      <c r="W210" s="144"/>
      <c r="X210" s="42">
        <f>ROUND($B210*X$99,2)</f>
        <v>-0.01</v>
      </c>
      <c r="Y210" s="42">
        <f>ROUND($B210*Y$99,2)</f>
        <v>0</v>
      </c>
      <c r="Z210" s="42">
        <f>ROUND($B210*Z$99,2)</f>
        <v>0</v>
      </c>
      <c r="AA210" s="42">
        <f>ROUND($B210*AA$99,2)</f>
        <v>0</v>
      </c>
      <c r="AB210" s="19">
        <f>SUM(U$99:AA$99)+(-V$99+V172)</f>
        <v>1.6456999999999999E-2</v>
      </c>
      <c r="AC210" s="144"/>
      <c r="AE210" s="144"/>
      <c r="AG210" s="144"/>
      <c r="AI210" s="144"/>
      <c r="AK210" s="144"/>
      <c r="AM210" s="144"/>
      <c r="AO210" s="144"/>
      <c r="AQ210" s="144"/>
      <c r="AS210" s="144"/>
      <c r="AU210" s="144"/>
      <c r="AW210" s="144"/>
      <c r="AY210" s="144"/>
      <c r="BA210" s="144"/>
      <c r="BC210" s="144"/>
      <c r="BE210" s="144"/>
      <c r="BG210" s="144"/>
      <c r="BI210" s="144"/>
      <c r="BK210" s="144"/>
      <c r="BM210" s="144"/>
      <c r="BO210" s="144"/>
      <c r="BQ210" s="144"/>
      <c r="BS210" s="144"/>
      <c r="BU210" s="144"/>
      <c r="BW210" s="144"/>
      <c r="BY210" s="144"/>
      <c r="CA210" s="144"/>
      <c r="CC210" s="144"/>
      <c r="CE210" s="144"/>
      <c r="CG210" s="144"/>
      <c r="CI210" s="144"/>
      <c r="CK210" s="144"/>
      <c r="CM210" s="144"/>
      <c r="CO210" s="144"/>
      <c r="CQ210" s="144"/>
      <c r="CS210" s="144"/>
      <c r="CU210" s="144"/>
      <c r="CW210" s="144"/>
      <c r="CY210" s="144"/>
      <c r="DA210" s="144"/>
      <c r="DC210" s="144"/>
      <c r="DE210" s="144"/>
      <c r="DG210" s="144"/>
      <c r="DI210" s="144"/>
      <c r="DK210" s="144"/>
      <c r="DM210" s="144"/>
      <c r="DO210" s="144"/>
      <c r="DQ210" s="144"/>
      <c r="DS210" s="144"/>
    </row>
    <row r="211" spans="1:123" x14ac:dyDescent="0.2">
      <c r="B211" s="97">
        <v>-1</v>
      </c>
      <c r="F211" s="36"/>
      <c r="G211" s="42"/>
      <c r="H211" s="19"/>
      <c r="I211" s="19"/>
      <c r="J211" s="82"/>
      <c r="K211" s="82"/>
      <c r="L211" s="82"/>
      <c r="M211" s="41"/>
      <c r="N211" s="41"/>
      <c r="O211" s="41"/>
      <c r="P211" s="41"/>
      <c r="Q211" s="41"/>
      <c r="R211" s="41"/>
      <c r="S211" s="50">
        <v>0</v>
      </c>
      <c r="T211" s="42"/>
      <c r="U211" s="42"/>
      <c r="V211" s="41"/>
      <c r="W211" s="42"/>
      <c r="X211" s="42"/>
      <c r="Y211" s="42"/>
      <c r="Z211" s="42"/>
      <c r="AA211" s="42"/>
      <c r="AB211" s="19"/>
      <c r="AC211" s="94"/>
      <c r="AE211" s="144"/>
      <c r="AG211" s="144"/>
      <c r="AI211" s="144"/>
      <c r="AK211" s="144"/>
      <c r="AM211" s="144"/>
      <c r="AO211" s="144"/>
      <c r="AQ211" s="144"/>
      <c r="AS211" s="144"/>
      <c r="AU211" s="144"/>
      <c r="AW211" s="144"/>
      <c r="AY211" s="144"/>
      <c r="BA211" s="144"/>
      <c r="BC211" s="144"/>
      <c r="BE211" s="144"/>
      <c r="BG211" s="144"/>
      <c r="BI211" s="144"/>
      <c r="BK211" s="144"/>
      <c r="BM211" s="144"/>
      <c r="BO211" s="144"/>
      <c r="BQ211" s="144"/>
      <c r="BS211" s="144"/>
      <c r="BU211" s="144"/>
      <c r="BW211" s="144"/>
      <c r="BY211" s="144"/>
      <c r="CA211" s="144"/>
      <c r="CC211" s="144"/>
      <c r="CE211" s="144"/>
      <c r="CG211" s="144"/>
      <c r="CI211" s="144"/>
      <c r="CK211" s="144"/>
      <c r="CM211" s="144"/>
      <c r="CO211" s="144"/>
      <c r="CQ211" s="144"/>
      <c r="CS211" s="144"/>
      <c r="CU211" s="144"/>
      <c r="CW211" s="144"/>
      <c r="CY211" s="144"/>
      <c r="DA211" s="144"/>
      <c r="DC211" s="144"/>
      <c r="DE211" s="144"/>
      <c r="DG211" s="144"/>
      <c r="DI211" s="144"/>
      <c r="DK211" s="144"/>
      <c r="DM211" s="144"/>
      <c r="DO211" s="144"/>
      <c r="DQ211" s="144"/>
      <c r="DS211" s="144"/>
    </row>
    <row r="212" spans="1:123" ht="13.5" thickBot="1" x14ac:dyDescent="0.25">
      <c r="A212" s="21"/>
      <c r="B212" s="106">
        <f>IF(AND('AES Indiana Bill Calc.'!$D$17="SS",'AES Indiana Bill Calc.'!$D$18="No",'AES Indiana Bill Calc.'!$D$20="Yes 2026"),'AES Indiana Bill Calc.'!$D$19,-1)</f>
        <v>-1</v>
      </c>
      <c r="C212" s="146" t="s">
        <v>137</v>
      </c>
      <c r="D212" s="125"/>
      <c r="E212" s="21"/>
      <c r="F212" s="36" t="s">
        <v>375</v>
      </c>
      <c r="G212" s="23">
        <f>SUM(J212:M212,O212:P212,R212:AA212)</f>
        <v>39.860000000000007</v>
      </c>
      <c r="H212" s="25" t="e">
        <f>IF(ISBLANK(B212),0,+#REF!/B212)</f>
        <v>#REF!</v>
      </c>
      <c r="I212" s="125"/>
      <c r="J212" s="22">
        <f>IF(ISBLANK(B212),0,IF(B212&gt;J$100,+J$99,+F$99))</f>
        <v>40</v>
      </c>
      <c r="K212" s="22">
        <f>IF($B212&gt;K$100,ROUND(K$100*K$99,2),ROUND($B212*K$99,2))</f>
        <v>-0.12</v>
      </c>
      <c r="L212" s="22">
        <f>IF($B212&gt;K$100,ROUND(($B212-K$100)*L$99,2),0)</f>
        <v>0</v>
      </c>
      <c r="M212" s="125"/>
      <c r="N212" s="23">
        <f>SUM(K212:L212)</f>
        <v>-0.12</v>
      </c>
      <c r="O212" s="125"/>
      <c r="P212" s="125"/>
      <c r="Q212" s="125"/>
      <c r="R212" s="21"/>
      <c r="S212" s="23">
        <f>ROUND($B212*S$99*S211,2)</f>
        <v>0</v>
      </c>
      <c r="T212" s="23">
        <f>ROUND($B212*T$99,2)</f>
        <v>0</v>
      </c>
      <c r="U212" s="23">
        <f>ROUND($B212*U$99,2)</f>
        <v>0</v>
      </c>
      <c r="V212" s="24">
        <f>ROUND($B212*V$98,2)</f>
        <v>-0.01</v>
      </c>
      <c r="W212" s="125"/>
      <c r="X212" s="23">
        <f>ROUND($B212*X$99,2)</f>
        <v>-0.01</v>
      </c>
      <c r="Y212" s="23">
        <f>ROUND($B212*Y$99,2)</f>
        <v>0</v>
      </c>
      <c r="Z212" s="23">
        <f>ROUND($B212*Z$99,2)</f>
        <v>0</v>
      </c>
      <c r="AA212" s="23">
        <f>ROUND($B212*AA$99,2)</f>
        <v>0</v>
      </c>
      <c r="AB212" s="25">
        <f>SUM(U$99:AA$99)+(-V$99+V174)</f>
        <v>1.6456999999999999E-2</v>
      </c>
      <c r="AC212" s="125"/>
      <c r="AE212" s="144"/>
      <c r="AG212" s="144"/>
      <c r="AI212" s="144"/>
      <c r="AK212" s="144"/>
      <c r="AM212" s="144"/>
      <c r="AO212" s="144"/>
      <c r="AQ212" s="144"/>
      <c r="AS212" s="144"/>
      <c r="AU212" s="144"/>
      <c r="AW212" s="144"/>
      <c r="AY212" s="144"/>
      <c r="BA212" s="144"/>
      <c r="BC212" s="144"/>
      <c r="BE212" s="144"/>
      <c r="BG212" s="144"/>
      <c r="BI212" s="144"/>
      <c r="BK212" s="144"/>
      <c r="BM212" s="144"/>
      <c r="BO212" s="144"/>
      <c r="BQ212" s="144"/>
      <c r="BS212" s="144"/>
      <c r="BU212" s="144"/>
      <c r="BW212" s="144"/>
      <c r="BY212" s="144"/>
      <c r="CA212" s="144"/>
      <c r="CC212" s="144"/>
      <c r="CE212" s="144"/>
      <c r="CG212" s="144"/>
      <c r="CI212" s="144"/>
      <c r="CK212" s="144"/>
      <c r="CM212" s="144"/>
      <c r="CO212" s="144"/>
      <c r="CQ212" s="144"/>
      <c r="CS212" s="144"/>
      <c r="CU212" s="144"/>
      <c r="CW212" s="144"/>
      <c r="CY212" s="144"/>
      <c r="DA212" s="144"/>
      <c r="DC212" s="144"/>
      <c r="DE212" s="144"/>
      <c r="DG212" s="144"/>
      <c r="DI212" s="144"/>
      <c r="DK212" s="144"/>
      <c r="DM212" s="144"/>
      <c r="DO212" s="144"/>
      <c r="DQ212" s="144"/>
      <c r="DS212" s="144"/>
    </row>
    <row r="213" spans="1:123" x14ac:dyDescent="0.2">
      <c r="B213" s="97">
        <v>-1</v>
      </c>
      <c r="C213" s="1"/>
      <c r="D213" s="144"/>
      <c r="F213" s="36"/>
      <c r="G213" s="17"/>
      <c r="H213" s="19"/>
      <c r="I213" s="144"/>
      <c r="J213" s="82"/>
      <c r="K213" s="82"/>
      <c r="L213" s="82"/>
      <c r="M213" s="144"/>
      <c r="N213" s="17"/>
      <c r="O213" s="144"/>
      <c r="P213" s="144"/>
      <c r="Q213" s="144"/>
      <c r="S213" s="42"/>
      <c r="T213" s="42"/>
      <c r="U213" s="42"/>
      <c r="V213" s="41"/>
      <c r="W213" s="144"/>
      <c r="X213" s="42"/>
      <c r="Y213" s="42"/>
      <c r="Z213" s="42"/>
      <c r="AA213" s="42"/>
      <c r="AB213" s="19"/>
      <c r="AC213" s="144"/>
      <c r="AE213" s="144"/>
      <c r="AG213" s="144"/>
      <c r="AI213" s="144"/>
      <c r="AK213" s="144"/>
      <c r="AM213" s="144"/>
      <c r="AO213" s="144"/>
      <c r="AQ213" s="144"/>
      <c r="AS213" s="144"/>
      <c r="AU213" s="144"/>
      <c r="AW213" s="144"/>
      <c r="AY213" s="144"/>
      <c r="BA213" s="144"/>
      <c r="BC213" s="144"/>
      <c r="BE213" s="144"/>
      <c r="BG213" s="144"/>
      <c r="BI213" s="144"/>
      <c r="BK213" s="144"/>
      <c r="BM213" s="144"/>
      <c r="BO213" s="144"/>
      <c r="BQ213" s="144"/>
      <c r="BS213" s="144"/>
      <c r="BU213" s="144"/>
      <c r="BW213" s="144"/>
      <c r="BY213" s="144"/>
      <c r="CA213" s="144"/>
      <c r="CC213" s="144"/>
      <c r="CE213" s="144"/>
      <c r="CG213" s="144"/>
      <c r="CI213" s="144"/>
      <c r="CK213" s="144"/>
      <c r="CM213" s="144"/>
      <c r="CO213" s="144"/>
      <c r="CQ213" s="144"/>
      <c r="CS213" s="144"/>
      <c r="CU213" s="144"/>
      <c r="CW213" s="144"/>
      <c r="CY213" s="144"/>
      <c r="DA213" s="144"/>
      <c r="DC213" s="144"/>
      <c r="DE213" s="144"/>
      <c r="DG213" s="144"/>
      <c r="DI213" s="144"/>
      <c r="DK213" s="144"/>
      <c r="DM213" s="144"/>
      <c r="DO213" s="144"/>
      <c r="DQ213" s="144"/>
      <c r="DS213" s="144"/>
    </row>
    <row r="214" spans="1:123" x14ac:dyDescent="0.2">
      <c r="B214" s="97">
        <v>-1</v>
      </c>
      <c r="C214" s="80"/>
      <c r="F214" s="36"/>
      <c r="G214" s="42"/>
      <c r="H214" s="19"/>
      <c r="I214" s="19"/>
      <c r="J214" s="82"/>
      <c r="K214" s="82"/>
      <c r="L214" s="82"/>
      <c r="M214" s="41"/>
      <c r="N214" s="41"/>
      <c r="O214" s="41"/>
      <c r="P214" s="41"/>
      <c r="Q214" s="41"/>
      <c r="R214" s="41"/>
      <c r="S214" s="42"/>
      <c r="T214" s="42"/>
      <c r="U214" s="42"/>
      <c r="V214" s="41"/>
      <c r="W214" s="42"/>
      <c r="X214" s="42"/>
      <c r="Y214" s="42"/>
      <c r="Z214" s="42"/>
      <c r="AA214" s="42"/>
      <c r="AB214" s="19"/>
      <c r="AC214" s="94"/>
    </row>
    <row r="215" spans="1:123" x14ac:dyDescent="0.2">
      <c r="B215" s="103">
        <v>-1</v>
      </c>
      <c r="C215" s="9"/>
      <c r="F215" s="36"/>
      <c r="G215" s="17"/>
      <c r="H215" s="19"/>
      <c r="I215" s="19"/>
      <c r="J215" s="16"/>
      <c r="K215" s="16"/>
      <c r="L215" s="16"/>
      <c r="M215" s="8"/>
      <c r="N215" s="8"/>
      <c r="O215" s="8"/>
      <c r="P215" s="8"/>
      <c r="Q215" s="8"/>
      <c r="R215" s="8"/>
      <c r="S215" s="17"/>
      <c r="T215" s="17"/>
      <c r="U215" s="17"/>
      <c r="V215" s="27">
        <f>+T9</f>
        <v>0</v>
      </c>
      <c r="W215" s="6" t="s">
        <v>162</v>
      </c>
      <c r="X215" s="17"/>
      <c r="Y215" s="17"/>
      <c r="Z215" s="17"/>
      <c r="AA215" s="17"/>
      <c r="AB215" s="19" t="e">
        <f>+AB$227-V$227+#REF!</f>
        <v>#REF!</v>
      </c>
    </row>
    <row r="216" spans="1:123" x14ac:dyDescent="0.2">
      <c r="B216" s="103">
        <v>-1</v>
      </c>
      <c r="C216" s="9"/>
      <c r="H216" s="19"/>
      <c r="I216" s="19"/>
      <c r="J216" s="16"/>
      <c r="K216" s="16"/>
      <c r="L216" s="16"/>
      <c r="M216" s="8"/>
      <c r="N216" s="8"/>
      <c r="O216" s="8"/>
      <c r="P216" s="8"/>
      <c r="Q216" s="8"/>
      <c r="R216" s="8"/>
      <c r="S216" s="17"/>
      <c r="T216" s="17"/>
      <c r="U216" s="17"/>
      <c r="V216" s="27">
        <f>+T11</f>
        <v>0</v>
      </c>
      <c r="W216" s="6" t="s">
        <v>144</v>
      </c>
      <c r="X216" s="17"/>
      <c r="Y216" s="17"/>
      <c r="Z216" s="17"/>
      <c r="AA216" s="17"/>
      <c r="AB216" s="19">
        <f>+AB$227-V$227+V215</f>
        <v>1.575E-2</v>
      </c>
    </row>
    <row r="217" spans="1:123" x14ac:dyDescent="0.2">
      <c r="B217" s="103">
        <v>-1</v>
      </c>
      <c r="C217" s="9"/>
      <c r="H217" s="19"/>
      <c r="I217" s="19"/>
      <c r="J217" s="16"/>
      <c r="K217" s="16"/>
      <c r="L217" s="16"/>
      <c r="M217" s="8"/>
      <c r="N217" s="8"/>
      <c r="O217" s="8"/>
      <c r="P217" s="8"/>
      <c r="Q217" s="8"/>
      <c r="R217" s="8"/>
      <c r="S217" s="17"/>
      <c r="T217" s="17"/>
      <c r="U217" s="17"/>
      <c r="V217" s="27">
        <f>+T13</f>
        <v>0</v>
      </c>
      <c r="W217" s="6" t="s">
        <v>145</v>
      </c>
      <c r="X217" s="17"/>
      <c r="Y217" s="17"/>
      <c r="Z217" s="17"/>
      <c r="AA217" s="17"/>
      <c r="AB217" s="19">
        <f>+AB$227-V$227+V216</f>
        <v>1.575E-2</v>
      </c>
    </row>
    <row r="218" spans="1:123" x14ac:dyDescent="0.2">
      <c r="B218" s="103">
        <v>-1</v>
      </c>
      <c r="C218" s="9"/>
      <c r="H218" s="19"/>
      <c r="I218" s="19"/>
      <c r="J218" s="16"/>
      <c r="K218" s="16"/>
      <c r="L218" s="16"/>
      <c r="M218" s="8"/>
      <c r="N218" s="8"/>
      <c r="O218" s="8"/>
      <c r="P218" s="8"/>
      <c r="Q218" s="8"/>
      <c r="R218" s="8"/>
      <c r="S218" s="17"/>
      <c r="T218" s="17"/>
      <c r="U218" s="17"/>
      <c r="V218" s="27">
        <f>T15</f>
        <v>0</v>
      </c>
      <c r="W218" s="6" t="s">
        <v>146</v>
      </c>
      <c r="X218" s="17"/>
      <c r="Y218" s="17"/>
      <c r="Z218" s="17"/>
      <c r="AA218" s="17"/>
      <c r="AB218" s="19"/>
    </row>
    <row r="219" spans="1:123" x14ac:dyDescent="0.2">
      <c r="B219" s="103">
        <v>-1</v>
      </c>
      <c r="C219" s="9"/>
      <c r="H219" s="19"/>
      <c r="I219" s="19"/>
      <c r="J219" s="16"/>
      <c r="K219" s="16"/>
      <c r="L219" s="16"/>
      <c r="M219" s="8"/>
      <c r="N219" s="8"/>
      <c r="O219" s="8"/>
      <c r="P219" s="8"/>
      <c r="Q219" s="8"/>
      <c r="R219" s="8"/>
      <c r="S219" s="17"/>
      <c r="T219" s="17"/>
      <c r="U219" s="17"/>
      <c r="V219" s="27">
        <f>$T$18</f>
        <v>0</v>
      </c>
      <c r="W219" s="6" t="s">
        <v>147</v>
      </c>
      <c r="X219" s="17"/>
      <c r="Y219" s="17"/>
      <c r="Z219" s="17"/>
      <c r="AA219" s="17"/>
      <c r="AB219" s="19"/>
    </row>
    <row r="220" spans="1:123" x14ac:dyDescent="0.2">
      <c r="B220" s="103">
        <v>-1</v>
      </c>
      <c r="C220" s="9"/>
      <c r="H220" s="19"/>
      <c r="I220" s="19"/>
      <c r="J220" s="16"/>
      <c r="K220" s="16"/>
      <c r="L220" s="16"/>
      <c r="M220" s="8"/>
      <c r="N220" s="8"/>
      <c r="O220" s="8"/>
      <c r="P220" s="8"/>
      <c r="Q220" s="8"/>
      <c r="R220" s="8"/>
      <c r="S220" s="17"/>
      <c r="T220" s="17"/>
      <c r="U220" s="17"/>
      <c r="V220" s="27">
        <f>$T$20</f>
        <v>0</v>
      </c>
      <c r="W220" s="6" t="s">
        <v>148</v>
      </c>
      <c r="X220" s="17"/>
      <c r="Y220" s="17"/>
      <c r="Z220" s="17"/>
      <c r="AA220" s="17"/>
      <c r="AB220" s="19"/>
    </row>
    <row r="221" spans="1:123" x14ac:dyDescent="0.2">
      <c r="B221" s="103">
        <v>-1</v>
      </c>
      <c r="C221" s="9"/>
      <c r="H221" s="19"/>
      <c r="I221" s="19"/>
      <c r="J221" s="16"/>
      <c r="K221" s="16"/>
      <c r="L221" s="16"/>
      <c r="M221" s="8"/>
      <c r="N221" s="8"/>
      <c r="O221" s="8"/>
      <c r="P221" s="8"/>
      <c r="Q221" s="8"/>
      <c r="R221" s="8"/>
      <c r="S221" s="17"/>
      <c r="T221" s="17"/>
      <c r="U221" s="17"/>
      <c r="V221" s="27">
        <f>$T$22</f>
        <v>-2.5219999999999999E-3</v>
      </c>
      <c r="W221" s="6" t="s">
        <v>149</v>
      </c>
      <c r="X221" s="17"/>
      <c r="Y221" s="17"/>
      <c r="Z221" s="17"/>
      <c r="AA221" s="17"/>
      <c r="AB221" s="19"/>
    </row>
    <row r="222" spans="1:123" x14ac:dyDescent="0.2">
      <c r="B222" s="103">
        <v>-1</v>
      </c>
      <c r="C222" s="9"/>
      <c r="H222" s="19"/>
      <c r="I222" s="19"/>
      <c r="J222" s="16"/>
      <c r="K222" s="16"/>
      <c r="L222" s="16"/>
      <c r="M222" s="8"/>
      <c r="N222" s="8"/>
      <c r="O222" s="8"/>
      <c r="P222" s="8"/>
      <c r="Q222" s="8"/>
      <c r="R222" s="8"/>
      <c r="S222" s="17"/>
      <c r="T222" s="17"/>
      <c r="U222" s="17"/>
      <c r="V222" s="27">
        <f>$T$24</f>
        <v>0</v>
      </c>
      <c r="W222" s="6" t="s">
        <v>150</v>
      </c>
      <c r="X222" s="17"/>
      <c r="Y222" s="17"/>
      <c r="Z222" s="17"/>
      <c r="AA222" s="17"/>
      <c r="AB222" s="19"/>
    </row>
    <row r="223" spans="1:123" x14ac:dyDescent="0.2">
      <c r="B223" s="103">
        <v>-1</v>
      </c>
      <c r="C223" s="9"/>
      <c r="H223" s="19"/>
      <c r="I223" s="19"/>
      <c r="J223" s="16"/>
      <c r="K223" s="16"/>
      <c r="L223" s="16"/>
      <c r="M223" s="8"/>
      <c r="N223" s="8"/>
      <c r="O223" s="8"/>
      <c r="P223" s="8"/>
      <c r="Q223" s="8"/>
      <c r="R223" s="8"/>
      <c r="S223" s="17"/>
      <c r="T223" s="17"/>
      <c r="U223" s="17"/>
      <c r="V223" s="19">
        <f>T26</f>
        <v>0</v>
      </c>
      <c r="W223" s="6" t="s">
        <v>151</v>
      </c>
      <c r="X223" s="17"/>
      <c r="Y223" s="17"/>
      <c r="Z223" s="17"/>
      <c r="AA223" s="17"/>
      <c r="AB223" s="19"/>
    </row>
    <row r="224" spans="1:123" x14ac:dyDescent="0.2">
      <c r="B224" s="103">
        <v>-1</v>
      </c>
      <c r="C224" s="9"/>
      <c r="H224" s="19"/>
      <c r="I224" s="19"/>
      <c r="J224" s="16"/>
      <c r="K224" s="16"/>
      <c r="L224" s="16"/>
      <c r="M224" s="8"/>
      <c r="N224" s="8"/>
      <c r="O224" s="8"/>
      <c r="P224" s="8"/>
      <c r="Q224" s="8"/>
      <c r="R224" s="8"/>
      <c r="S224" s="17"/>
      <c r="T224" s="17"/>
      <c r="U224" s="17"/>
      <c r="V224" s="19">
        <f>T28</f>
        <v>-1.1789999999999999E-3</v>
      </c>
      <c r="W224" s="6" t="s">
        <v>285</v>
      </c>
      <c r="X224" s="17"/>
      <c r="Y224" s="17"/>
      <c r="Z224" s="17"/>
      <c r="AA224" s="17"/>
      <c r="AB224" s="19"/>
    </row>
    <row r="225" spans="1:29" x14ac:dyDescent="0.2">
      <c r="B225" s="103">
        <v>-1</v>
      </c>
      <c r="C225" s="9"/>
      <c r="H225" s="19"/>
      <c r="I225" s="19"/>
      <c r="J225" s="16"/>
      <c r="K225" s="16"/>
      <c r="L225" s="16"/>
      <c r="M225" s="8"/>
      <c r="N225" s="8"/>
      <c r="O225" s="8"/>
      <c r="P225" s="8"/>
      <c r="Q225" s="8"/>
      <c r="R225" s="8"/>
      <c r="S225" s="17"/>
      <c r="T225" s="17"/>
      <c r="U225" s="17"/>
      <c r="V225" s="19">
        <f>T30</f>
        <v>0</v>
      </c>
      <c r="W225" s="6" t="s">
        <v>162</v>
      </c>
      <c r="X225" s="17"/>
      <c r="Y225" s="17"/>
      <c r="Z225" s="17"/>
      <c r="AA225" s="17"/>
      <c r="AB225" s="19"/>
    </row>
    <row r="226" spans="1:29" x14ac:dyDescent="0.2">
      <c r="B226" s="103"/>
      <c r="C226" s="9"/>
      <c r="H226" s="19"/>
      <c r="I226" s="19"/>
      <c r="J226" s="16"/>
      <c r="K226" s="16"/>
      <c r="L226" s="16"/>
      <c r="M226" s="8"/>
      <c r="N226" s="8"/>
      <c r="O226" s="8"/>
      <c r="P226" s="8"/>
      <c r="Q226" s="8"/>
      <c r="R226" s="8"/>
      <c r="S226" s="17"/>
      <c r="T226" s="17"/>
      <c r="U226" s="17"/>
      <c r="V226" s="19">
        <f>T32</f>
        <v>5.8520000000000004E-3</v>
      </c>
      <c r="W226" s="6" t="s">
        <v>144</v>
      </c>
      <c r="X226" s="17"/>
      <c r="Y226" s="17"/>
      <c r="Z226" s="17"/>
      <c r="AA226" s="17"/>
      <c r="AB226" s="19"/>
    </row>
    <row r="227" spans="1:29" x14ac:dyDescent="0.2">
      <c r="B227" s="103">
        <v>-1</v>
      </c>
      <c r="C227" s="4"/>
      <c r="F227" s="8"/>
      <c r="I227" s="19"/>
      <c r="J227" s="159">
        <v>55</v>
      </c>
      <c r="K227" s="160">
        <v>0.123516</v>
      </c>
      <c r="L227" s="5"/>
      <c r="M227" s="5"/>
      <c r="N227" s="5"/>
      <c r="O227" s="5"/>
      <c r="P227" s="5"/>
      <c r="Q227" s="140" t="s">
        <v>163</v>
      </c>
      <c r="R227" s="5"/>
      <c r="S227" s="27">
        <f>+M$4</f>
        <v>1.8E-3</v>
      </c>
      <c r="T227" s="27">
        <f t="shared" ref="T227:AA227" si="16">+R$4</f>
        <v>2.3900000000000001E-4</v>
      </c>
      <c r="U227" s="27">
        <f>+S$4</f>
        <v>3.4810000000000002E-3</v>
      </c>
      <c r="V227" s="27">
        <f t="shared" si="16"/>
        <v>1.2638E-2</v>
      </c>
      <c r="W227" s="27">
        <f t="shared" si="16"/>
        <v>0</v>
      </c>
      <c r="X227" s="27">
        <f t="shared" si="16"/>
        <v>8.8730000000000007E-3</v>
      </c>
      <c r="Y227" s="27">
        <f t="shared" si="16"/>
        <v>-8.1800000000000004E-4</v>
      </c>
      <c r="Z227" s="27">
        <f t="shared" si="16"/>
        <v>4.2139999999999999E-3</v>
      </c>
      <c r="AA227" s="27">
        <f t="shared" si="16"/>
        <v>7.0699999999999995E-4</v>
      </c>
      <c r="AB227" s="19">
        <f>SUM(U227:Z227)</f>
        <v>2.8388E-2</v>
      </c>
    </row>
    <row r="228" spans="1:29" x14ac:dyDescent="0.2">
      <c r="A228" s="1"/>
      <c r="B228" s="103">
        <v>-1</v>
      </c>
      <c r="F228" s="8"/>
      <c r="I228" s="19"/>
      <c r="J228" s="73"/>
      <c r="K228" s="73">
        <v>999999</v>
      </c>
    </row>
    <row r="229" spans="1:29" x14ac:dyDescent="0.2">
      <c r="B229" s="103">
        <v>-1</v>
      </c>
      <c r="F229" s="12"/>
      <c r="I229" s="19"/>
      <c r="J229" s="12" t="s">
        <v>127</v>
      </c>
      <c r="K229" s="254" t="s">
        <v>28</v>
      </c>
      <c r="L229" s="254"/>
      <c r="M229" s="12"/>
      <c r="N229" s="12"/>
      <c r="O229" s="12"/>
      <c r="P229" s="12"/>
      <c r="Q229" s="12"/>
      <c r="R229" s="12"/>
      <c r="S229" s="12">
        <v>21</v>
      </c>
      <c r="T229" s="12">
        <v>6</v>
      </c>
      <c r="U229" s="12">
        <v>3</v>
      </c>
      <c r="V229" s="12">
        <v>22</v>
      </c>
      <c r="W229" s="12">
        <v>13</v>
      </c>
      <c r="X229" s="12">
        <v>20</v>
      </c>
      <c r="Y229" s="12">
        <v>24</v>
      </c>
      <c r="Z229" s="12">
        <v>25</v>
      </c>
      <c r="AA229" s="12">
        <v>26</v>
      </c>
    </row>
    <row r="230" spans="1:29" x14ac:dyDescent="0.2">
      <c r="A230" s="13"/>
      <c r="B230" s="103">
        <v>-1</v>
      </c>
      <c r="C230" s="14"/>
      <c r="D230" s="15"/>
      <c r="F230" s="13" t="s">
        <v>131</v>
      </c>
      <c r="G230" s="13" t="s">
        <v>132</v>
      </c>
      <c r="H230" s="13" t="s">
        <v>133</v>
      </c>
      <c r="I230" s="19"/>
      <c r="J230" s="13" t="s">
        <v>134</v>
      </c>
      <c r="K230" s="13" t="s">
        <v>164</v>
      </c>
      <c r="L230" s="13"/>
      <c r="M230" s="13"/>
      <c r="N230" s="140" t="s">
        <v>128</v>
      </c>
      <c r="O230" s="13"/>
      <c r="P230" s="13"/>
      <c r="Q230" s="13"/>
      <c r="R230" s="13"/>
      <c r="S230" s="13" t="s">
        <v>96</v>
      </c>
      <c r="T230" s="13" t="s">
        <v>36</v>
      </c>
      <c r="U230" s="136" t="s">
        <v>38</v>
      </c>
      <c r="V230" s="13" t="s">
        <v>97</v>
      </c>
      <c r="W230" s="13" t="s">
        <v>98</v>
      </c>
      <c r="X230" s="13" t="s">
        <v>99</v>
      </c>
      <c r="Y230" s="136" t="s">
        <v>44</v>
      </c>
      <c r="Z230" s="136" t="s">
        <v>46</v>
      </c>
      <c r="AA230" s="136" t="s">
        <v>48</v>
      </c>
      <c r="AB230" s="66" t="s">
        <v>100</v>
      </c>
    </row>
    <row r="231" spans="1:29" x14ac:dyDescent="0.2">
      <c r="B231" s="103">
        <v>-1</v>
      </c>
      <c r="C231" s="9"/>
      <c r="F231" s="36"/>
      <c r="G231" s="17"/>
      <c r="H231" s="19"/>
      <c r="I231" s="19"/>
      <c r="J231" s="16"/>
      <c r="K231" s="16"/>
      <c r="L231" s="16"/>
      <c r="M231" s="8"/>
      <c r="N231" s="8"/>
      <c r="O231" s="8"/>
      <c r="P231" s="8"/>
      <c r="Q231" s="8"/>
      <c r="R231" s="8"/>
      <c r="S231" s="50">
        <v>0</v>
      </c>
      <c r="T231" s="17"/>
      <c r="U231" s="17"/>
      <c r="V231" s="17"/>
      <c r="W231" s="17"/>
      <c r="X231" s="17"/>
      <c r="Y231" s="17"/>
      <c r="Z231" s="17"/>
      <c r="AA231" s="17"/>
    </row>
    <row r="232" spans="1:29" x14ac:dyDescent="0.2">
      <c r="B232" s="103">
        <f>IF(AND('AES Indiana Bill Calc.'!$D$17="SH",'AES Indiana Bill Calc.'!$D$18="No",'AES Indiana Bill Calc.'!$D$20="No"),'AES Indiana Bill Calc.'!$D$19,-1)</f>
        <v>-1</v>
      </c>
      <c r="C232" s="1" t="s">
        <v>137</v>
      </c>
      <c r="F232" s="36" t="s">
        <v>55</v>
      </c>
      <c r="G232" s="17">
        <f>SUM(J232:M232,O232:P232,R232:AA232)</f>
        <v>54.860000000000007</v>
      </c>
      <c r="H232" s="19" t="e">
        <f>IF(ISBLANK(B232),0,+#REF!/B232)</f>
        <v>#REF!</v>
      </c>
      <c r="I232" s="19"/>
      <c r="J232" s="16">
        <f>IF(ISBLANK(B232),0,+J$227)</f>
        <v>55</v>
      </c>
      <c r="K232" s="16">
        <f>ROUND($B232*K$227,2)</f>
        <v>-0.12</v>
      </c>
      <c r="L232" s="16"/>
      <c r="M232" s="8"/>
      <c r="N232" s="17">
        <f>SUM(K232:L232)</f>
        <v>-0.12</v>
      </c>
      <c r="O232" s="8"/>
      <c r="P232" s="8"/>
      <c r="Q232" s="8"/>
      <c r="R232" s="8"/>
      <c r="S232" s="17">
        <f>ROUND($B232*S$227*S231,2)</f>
        <v>0</v>
      </c>
      <c r="T232" s="17">
        <f t="shared" ref="T232:AA232" si="17">ROUND($B232*T$227,2)</f>
        <v>0</v>
      </c>
      <c r="U232" s="17">
        <f t="shared" si="17"/>
        <v>0</v>
      </c>
      <c r="V232" s="17">
        <f t="shared" si="17"/>
        <v>-0.01</v>
      </c>
      <c r="W232" s="17">
        <f t="shared" si="17"/>
        <v>0</v>
      </c>
      <c r="X232" s="17">
        <f t="shared" si="17"/>
        <v>-0.01</v>
      </c>
      <c r="Y232" s="17">
        <f t="shared" si="17"/>
        <v>0</v>
      </c>
      <c r="Z232" s="17">
        <f t="shared" si="17"/>
        <v>0</v>
      </c>
      <c r="AA232" s="17">
        <f t="shared" si="17"/>
        <v>0</v>
      </c>
      <c r="AB232" s="19">
        <f>SUM(U227:AA227)</f>
        <v>2.9094999999999999E-2</v>
      </c>
      <c r="AC232" s="67" t="str">
        <f>+F232</f>
        <v>SH</v>
      </c>
    </row>
    <row r="233" spans="1:29" x14ac:dyDescent="0.2">
      <c r="B233" s="103">
        <v>-1</v>
      </c>
      <c r="C233" s="9"/>
      <c r="F233" s="36"/>
      <c r="G233" s="17"/>
      <c r="H233" s="19"/>
      <c r="I233" s="19"/>
      <c r="J233" s="16"/>
      <c r="K233" s="16"/>
      <c r="L233" s="16"/>
      <c r="M233" s="8"/>
      <c r="N233" s="8"/>
      <c r="O233" s="8"/>
      <c r="P233" s="8"/>
      <c r="Q233" s="8"/>
      <c r="R233" s="8"/>
      <c r="S233" s="50">
        <v>1</v>
      </c>
      <c r="T233" s="17"/>
      <c r="U233" s="17"/>
      <c r="V233" s="17"/>
      <c r="W233" s="17"/>
      <c r="X233" s="17"/>
      <c r="Y233" s="17"/>
      <c r="Z233" s="17"/>
      <c r="AA233" s="17"/>
    </row>
    <row r="234" spans="1:29" x14ac:dyDescent="0.2">
      <c r="B234" s="103">
        <f>IF(AND('AES Indiana Bill Calc.'!$D$17="SH",'AES Indiana Bill Calc.'!$D$18="Yes 100%",'AES Indiana Bill Calc.'!$D$20="No"),'AES Indiana Bill Calc.'!$D$19,-1)</f>
        <v>-1</v>
      </c>
      <c r="C234" s="1" t="s">
        <v>138</v>
      </c>
      <c r="F234" s="36" t="s">
        <v>55</v>
      </c>
      <c r="G234" s="17">
        <f>SUM(J234:M234,O234:P234,R234:AA234)</f>
        <v>54.860000000000007</v>
      </c>
      <c r="H234" s="19" t="e">
        <f>IF(ISBLANK(B234),0,+#REF!/B234)</f>
        <v>#REF!</v>
      </c>
      <c r="I234" s="19"/>
      <c r="J234" s="16">
        <f>IF(ISBLANK(B234),0,+J$227)</f>
        <v>55</v>
      </c>
      <c r="K234" s="16">
        <f>ROUND($B234*K$227,2)</f>
        <v>-0.12</v>
      </c>
      <c r="L234" s="16"/>
      <c r="M234" s="8"/>
      <c r="N234" s="17">
        <f>SUM(K234:L234)</f>
        <v>-0.12</v>
      </c>
      <c r="O234" s="8"/>
      <c r="P234" s="8"/>
      <c r="Q234" s="8"/>
      <c r="R234" s="8"/>
      <c r="S234" s="17">
        <f>ROUND($B234*S$227*S233,2)</f>
        <v>0</v>
      </c>
      <c r="T234" s="17">
        <f t="shared" ref="T234:AA234" si="18">ROUND($B234*T$227,2)</f>
        <v>0</v>
      </c>
      <c r="U234" s="17">
        <f t="shared" si="18"/>
        <v>0</v>
      </c>
      <c r="V234" s="17">
        <f t="shared" si="18"/>
        <v>-0.01</v>
      </c>
      <c r="W234" s="17">
        <f t="shared" si="18"/>
        <v>0</v>
      </c>
      <c r="X234" s="17">
        <f t="shared" si="18"/>
        <v>-0.01</v>
      </c>
      <c r="Y234" s="17">
        <f t="shared" si="18"/>
        <v>0</v>
      </c>
      <c r="Z234" s="17">
        <f t="shared" si="18"/>
        <v>0</v>
      </c>
      <c r="AA234" s="17">
        <f t="shared" si="18"/>
        <v>0</v>
      </c>
      <c r="AB234" s="19">
        <f>SUM(U$227:AA$227)</f>
        <v>2.9094999999999999E-2</v>
      </c>
      <c r="AC234" s="67" t="str">
        <f>+F234</f>
        <v>SH</v>
      </c>
    </row>
    <row r="235" spans="1:29" x14ac:dyDescent="0.2">
      <c r="B235" s="103">
        <v>-1</v>
      </c>
      <c r="C235" s="9"/>
      <c r="F235" s="36"/>
      <c r="G235" s="17"/>
      <c r="H235" s="19"/>
      <c r="I235" s="19"/>
      <c r="J235" s="16"/>
      <c r="K235" s="16"/>
      <c r="L235" s="16"/>
      <c r="M235" s="8"/>
      <c r="N235" s="8"/>
      <c r="O235" s="8"/>
      <c r="P235" s="8"/>
      <c r="Q235" s="8"/>
      <c r="R235" s="8"/>
      <c r="S235" s="50">
        <v>0.5</v>
      </c>
      <c r="T235" s="17"/>
      <c r="U235" s="17"/>
      <c r="V235" s="17"/>
      <c r="W235" s="17"/>
      <c r="X235" s="17"/>
      <c r="Y235" s="17"/>
      <c r="Z235" s="17"/>
      <c r="AA235" s="17"/>
    </row>
    <row r="236" spans="1:29" x14ac:dyDescent="0.2">
      <c r="B236" s="103">
        <f>IF(AND('AES Indiana Bill Calc.'!$D$17="SH",'AES Indiana Bill Calc.'!$D$18="Yes 50%",'AES Indiana Bill Calc.'!$D$20="No"),'AES Indiana Bill Calc.'!$D$19,-1)</f>
        <v>-1</v>
      </c>
      <c r="C236" s="1" t="s">
        <v>139</v>
      </c>
      <c r="F236" s="36" t="s">
        <v>55</v>
      </c>
      <c r="G236" s="17">
        <f>SUM(J236:M236,O236:P236,R236:AA236)</f>
        <v>54.860000000000007</v>
      </c>
      <c r="H236" s="19" t="e">
        <f>IF(ISBLANK(B236),0,+#REF!/B236)</f>
        <v>#REF!</v>
      </c>
      <c r="I236" s="19"/>
      <c r="J236" s="16">
        <f>IF(ISBLANK(B236),0,+J$227)</f>
        <v>55</v>
      </c>
      <c r="K236" s="16">
        <f>ROUND($B236*K$227,2)</f>
        <v>-0.12</v>
      </c>
      <c r="L236" s="16"/>
      <c r="M236" s="8"/>
      <c r="N236" s="17">
        <f>SUM(K236:L236)</f>
        <v>-0.12</v>
      </c>
      <c r="O236" s="8"/>
      <c r="P236" s="8"/>
      <c r="Q236" s="8"/>
      <c r="R236" s="8"/>
      <c r="S236" s="17">
        <f>ROUND($B236*S$227*S235,2)</f>
        <v>0</v>
      </c>
      <c r="T236" s="17">
        <f t="shared" ref="T236:AA236" si="19">ROUND($B236*T$227,2)</f>
        <v>0</v>
      </c>
      <c r="U236" s="17">
        <f t="shared" si="19"/>
        <v>0</v>
      </c>
      <c r="V236" s="17">
        <f t="shared" si="19"/>
        <v>-0.01</v>
      </c>
      <c r="W236" s="17">
        <f t="shared" si="19"/>
        <v>0</v>
      </c>
      <c r="X236" s="17">
        <f t="shared" si="19"/>
        <v>-0.01</v>
      </c>
      <c r="Y236" s="17">
        <f t="shared" si="19"/>
        <v>0</v>
      </c>
      <c r="Z236" s="17">
        <f t="shared" si="19"/>
        <v>0</v>
      </c>
      <c r="AA236" s="17">
        <f t="shared" si="19"/>
        <v>0</v>
      </c>
      <c r="AB236" s="19">
        <f>SUM(U$227:AA$227)</f>
        <v>2.9094999999999999E-2</v>
      </c>
      <c r="AC236" s="67" t="str">
        <f>+F236</f>
        <v>SH</v>
      </c>
    </row>
    <row r="237" spans="1:29" x14ac:dyDescent="0.2">
      <c r="B237" s="103">
        <v>-1</v>
      </c>
      <c r="C237" s="9"/>
      <c r="F237" s="36"/>
      <c r="G237" s="17"/>
      <c r="H237" s="19"/>
      <c r="I237" s="19"/>
      <c r="J237" s="16"/>
      <c r="K237" s="16"/>
      <c r="L237" s="16"/>
      <c r="M237" s="8"/>
      <c r="N237" s="8"/>
      <c r="O237" s="8"/>
      <c r="P237" s="8"/>
      <c r="Q237" s="8"/>
      <c r="R237" s="8"/>
      <c r="S237" s="50">
        <v>0.25</v>
      </c>
      <c r="T237" s="17"/>
      <c r="U237" s="17"/>
      <c r="V237" s="17"/>
      <c r="W237" s="17"/>
      <c r="X237" s="17"/>
      <c r="Y237" s="17"/>
      <c r="Z237" s="17"/>
      <c r="AA237" s="17"/>
    </row>
    <row r="238" spans="1:29" x14ac:dyDescent="0.2">
      <c r="B238" s="103">
        <f>IF(AND('AES Indiana Bill Calc.'!$D$17="SH",'AES Indiana Bill Calc.'!$D$18="Yes 25%",'AES Indiana Bill Calc.'!$D$20="No"),'AES Indiana Bill Calc.'!$D$19,-1)</f>
        <v>-1</v>
      </c>
      <c r="C238" s="1" t="s">
        <v>140</v>
      </c>
      <c r="F238" s="36" t="s">
        <v>55</v>
      </c>
      <c r="G238" s="17">
        <f>SUM(J238:M238,O238:P238,R238:AA238)</f>
        <v>54.860000000000007</v>
      </c>
      <c r="H238" s="19" t="e">
        <f>IF(ISBLANK(B238),0,+#REF!/B238)</f>
        <v>#REF!</v>
      </c>
      <c r="I238" s="19"/>
      <c r="J238" s="16">
        <f>IF(ISBLANK(B238),0,+J$227)</f>
        <v>55</v>
      </c>
      <c r="K238" s="16">
        <f>ROUND($B238*K$227,2)</f>
        <v>-0.12</v>
      </c>
      <c r="L238" s="16"/>
      <c r="M238" s="8"/>
      <c r="N238" s="17">
        <f>SUM(K238:L238)</f>
        <v>-0.12</v>
      </c>
      <c r="O238" s="8"/>
      <c r="P238" s="8"/>
      <c r="Q238" s="8"/>
      <c r="R238" s="8"/>
      <c r="S238" s="17">
        <f>ROUND($B238*S$227*S237,2)</f>
        <v>0</v>
      </c>
      <c r="T238" s="17">
        <f t="shared" ref="T238:AA238" si="20">ROUND($B238*T$227,2)</f>
        <v>0</v>
      </c>
      <c r="U238" s="17">
        <f t="shared" si="20"/>
        <v>0</v>
      </c>
      <c r="V238" s="17">
        <f t="shared" si="20"/>
        <v>-0.01</v>
      </c>
      <c r="W238" s="17">
        <f t="shared" si="20"/>
        <v>0</v>
      </c>
      <c r="X238" s="17">
        <f t="shared" si="20"/>
        <v>-0.01</v>
      </c>
      <c r="Y238" s="17">
        <f t="shared" si="20"/>
        <v>0</v>
      </c>
      <c r="Z238" s="17">
        <f t="shared" si="20"/>
        <v>0</v>
      </c>
      <c r="AA238" s="17">
        <f t="shared" si="20"/>
        <v>0</v>
      </c>
      <c r="AB238" s="19">
        <f>SUM(U$227:AA$227)</f>
        <v>2.9094999999999999E-2</v>
      </c>
      <c r="AC238" s="67" t="str">
        <f>+F238</f>
        <v>SH</v>
      </c>
    </row>
    <row r="239" spans="1:29" x14ac:dyDescent="0.2">
      <c r="B239" s="103">
        <v>-1</v>
      </c>
      <c r="C239" s="9"/>
      <c r="F239" s="36"/>
      <c r="G239" s="17"/>
      <c r="H239" s="19"/>
      <c r="I239" s="19"/>
      <c r="J239" s="16"/>
      <c r="K239" s="16"/>
      <c r="L239" s="16"/>
      <c r="M239" s="8"/>
      <c r="N239" s="8"/>
      <c r="O239" s="8"/>
      <c r="P239" s="8"/>
      <c r="Q239" s="8"/>
      <c r="R239" s="8"/>
      <c r="S239" s="50">
        <v>0.1</v>
      </c>
      <c r="T239" s="17"/>
      <c r="U239" s="17"/>
      <c r="V239" s="17"/>
      <c r="W239" s="17"/>
      <c r="X239" s="17"/>
      <c r="Y239" s="17"/>
      <c r="Z239" s="17"/>
      <c r="AA239" s="17"/>
    </row>
    <row r="240" spans="1:29" x14ac:dyDescent="0.2">
      <c r="B240" s="103">
        <f>IF(AND('AES Indiana Bill Calc.'!$D$17="SH",'AES Indiana Bill Calc.'!$D$18="Yes 10%",'AES Indiana Bill Calc.'!$D$20="No"),'AES Indiana Bill Calc.'!$D$19,-1)</f>
        <v>-1</v>
      </c>
      <c r="C240" s="1" t="s">
        <v>154</v>
      </c>
      <c r="F240" s="36" t="s">
        <v>55</v>
      </c>
      <c r="G240" s="17">
        <f>SUM(J240:M240,O240:P240,R240:AA240)</f>
        <v>54.860000000000007</v>
      </c>
      <c r="H240" s="19" t="e">
        <f>IF(ISBLANK(B240),0,+#REF!/B240)</f>
        <v>#REF!</v>
      </c>
      <c r="I240" s="19"/>
      <c r="J240" s="16">
        <f>IF(ISBLANK(B240),0,+J$227)</f>
        <v>55</v>
      </c>
      <c r="K240" s="16">
        <f>ROUND($B240*K$227,2)</f>
        <v>-0.12</v>
      </c>
      <c r="L240" s="16"/>
      <c r="M240" s="8"/>
      <c r="N240" s="17">
        <f>SUM(K240:L240)</f>
        <v>-0.12</v>
      </c>
      <c r="O240" s="8"/>
      <c r="P240" s="8"/>
      <c r="Q240" s="8"/>
      <c r="R240" s="8"/>
      <c r="S240" s="17">
        <f>ROUND($B240*S$227*S239,2)</f>
        <v>0</v>
      </c>
      <c r="T240" s="17">
        <f t="shared" ref="T240:AA240" si="21">ROUND($B240*T$227,2)</f>
        <v>0</v>
      </c>
      <c r="U240" s="17">
        <f t="shared" si="21"/>
        <v>0</v>
      </c>
      <c r="V240" s="17">
        <f t="shared" si="21"/>
        <v>-0.01</v>
      </c>
      <c r="W240" s="17">
        <f t="shared" si="21"/>
        <v>0</v>
      </c>
      <c r="X240" s="17">
        <f t="shared" si="21"/>
        <v>-0.01</v>
      </c>
      <c r="Y240" s="17">
        <f t="shared" si="21"/>
        <v>0</v>
      </c>
      <c r="Z240" s="17">
        <f t="shared" si="21"/>
        <v>0</v>
      </c>
      <c r="AA240" s="17">
        <f t="shared" si="21"/>
        <v>0</v>
      </c>
      <c r="AB240" s="19">
        <f>SUM(U$227:AA$227)</f>
        <v>2.9094999999999999E-2</v>
      </c>
      <c r="AC240" s="67" t="str">
        <f>+F240</f>
        <v>SH</v>
      </c>
    </row>
    <row r="241" spans="1:29" x14ac:dyDescent="0.2">
      <c r="B241" s="103">
        <v>-1</v>
      </c>
      <c r="C241" s="9"/>
      <c r="F241" s="36"/>
      <c r="G241" s="17"/>
      <c r="H241" s="19"/>
      <c r="I241" s="19"/>
      <c r="J241" s="16"/>
      <c r="K241" s="16"/>
      <c r="L241" s="16"/>
      <c r="M241" s="8"/>
      <c r="N241" s="8"/>
      <c r="O241" s="8"/>
      <c r="P241" s="8"/>
      <c r="Q241" s="8"/>
      <c r="R241" s="8"/>
      <c r="S241" s="50">
        <v>1</v>
      </c>
      <c r="T241" s="17"/>
      <c r="U241" s="17"/>
      <c r="V241" s="8"/>
      <c r="W241" s="17"/>
      <c r="X241" s="17"/>
      <c r="Y241" s="17"/>
      <c r="Z241" s="17"/>
      <c r="AA241" s="17"/>
      <c r="AB241" s="19"/>
      <c r="AC241" s="67"/>
    </row>
    <row r="242" spans="1:29" x14ac:dyDescent="0.2">
      <c r="B242" s="103">
        <f>IF(AND('AES Indiana Bill Calc.'!$D$17="SH",'AES Indiana Bill Calc.'!$D$18="Yes 100%",'AES Indiana Bill Calc.'!$D$20="Yes Before 2018"),'AES Indiana Bill Calc.'!$D$19,-1)</f>
        <v>-1</v>
      </c>
      <c r="C242" s="1" t="s">
        <v>138</v>
      </c>
      <c r="F242" s="36" t="s">
        <v>165</v>
      </c>
      <c r="G242" s="17">
        <f>SUM(J242:M242,O242:P242,R242:AA242)</f>
        <v>54.870000000000005</v>
      </c>
      <c r="H242" s="19" t="e">
        <f>IF(ISBLANK(B242),0,+#REF!/B242)</f>
        <v>#REF!</v>
      </c>
      <c r="I242" s="19"/>
      <c r="J242" s="82">
        <f>IF(ISBLANK(B242),0,+J$227)</f>
        <v>55</v>
      </c>
      <c r="K242" s="82">
        <f>ROUND($B242*K$227,2)</f>
        <v>-0.12</v>
      </c>
      <c r="L242" s="82"/>
      <c r="M242" s="41"/>
      <c r="N242" s="17">
        <f>SUM(K242:L242)</f>
        <v>-0.12</v>
      </c>
      <c r="O242" s="41"/>
      <c r="P242" s="41"/>
      <c r="Q242" s="41"/>
      <c r="R242" s="41"/>
      <c r="S242" s="42">
        <f>ROUND($B242*S$227*S241,2)</f>
        <v>0</v>
      </c>
      <c r="T242" s="42">
        <f>ROUND($B242*T$227,2)</f>
        <v>0</v>
      </c>
      <c r="U242" s="42">
        <f>ROUND($B242*U$227,2)</f>
        <v>0</v>
      </c>
      <c r="V242" s="41">
        <f>ROUND($B242*V$217,2)</f>
        <v>0</v>
      </c>
      <c r="W242" s="42">
        <f>ROUND($B242*W$227,2)</f>
        <v>0</v>
      </c>
      <c r="X242" s="42">
        <f>ROUND($B242*X$227,2)</f>
        <v>-0.01</v>
      </c>
      <c r="Y242" s="42">
        <f>ROUND($B242*Y$227,2)</f>
        <v>0</v>
      </c>
      <c r="Z242" s="42">
        <f>ROUND($B242*Z$227,2)</f>
        <v>0</v>
      </c>
      <c r="AA242" s="42">
        <f>ROUND($B242*AA$227,2)</f>
        <v>0</v>
      </c>
      <c r="AB242" s="19">
        <f>SUM(U$227:AA$227)+(-V$227+V163)</f>
        <v>1.6456999999999999E-2</v>
      </c>
      <c r="AC242" s="94" t="str">
        <f>+F242</f>
        <v>SH7</v>
      </c>
    </row>
    <row r="243" spans="1:29" x14ac:dyDescent="0.2">
      <c r="B243" s="103">
        <v>-1</v>
      </c>
      <c r="C243" s="9"/>
      <c r="F243" s="36"/>
      <c r="G243" s="17"/>
      <c r="H243" s="19"/>
      <c r="I243" s="19"/>
      <c r="J243" s="16"/>
      <c r="K243" s="16"/>
      <c r="L243" s="16"/>
      <c r="M243" s="8"/>
      <c r="N243" s="8"/>
      <c r="O243" s="8"/>
      <c r="P243" s="8"/>
      <c r="Q243" s="8"/>
      <c r="R243" s="8"/>
      <c r="S243" s="50">
        <v>0.5</v>
      </c>
      <c r="T243" s="17"/>
      <c r="U243" s="17"/>
      <c r="V243" s="8"/>
      <c r="W243" s="17"/>
      <c r="X243" s="17"/>
      <c r="Y243" s="17"/>
      <c r="Z243" s="17"/>
      <c r="AA243" s="17"/>
      <c r="AB243" s="19"/>
      <c r="AC243" s="67"/>
    </row>
    <row r="244" spans="1:29" x14ac:dyDescent="0.2">
      <c r="B244" s="103">
        <f>IF(AND('AES Indiana Bill Calc.'!$D$17="SH",'AES Indiana Bill Calc.'!$D$18="Yes 50%",'AES Indiana Bill Calc.'!$D$20="Yes Before 2018"),'AES Indiana Bill Calc.'!$D$19,-1)</f>
        <v>-1</v>
      </c>
      <c r="C244" s="1" t="s">
        <v>139</v>
      </c>
      <c r="F244" s="36" t="s">
        <v>165</v>
      </c>
      <c r="G244" s="17">
        <f>SUM(J244:M244,O244:P244,R244:AA244)</f>
        <v>54.870000000000005</v>
      </c>
      <c r="H244" s="19" t="e">
        <f>IF(ISBLANK(B244),0,+#REF!/B244)</f>
        <v>#REF!</v>
      </c>
      <c r="I244" s="19"/>
      <c r="J244" s="82">
        <f>IF(ISBLANK(B244),0,+J$227)</f>
        <v>55</v>
      </c>
      <c r="K244" s="82">
        <f>ROUND($B244*K$227,2)</f>
        <v>-0.12</v>
      </c>
      <c r="L244" s="82"/>
      <c r="M244" s="41"/>
      <c r="N244" s="17">
        <f>SUM(K244:L244)</f>
        <v>-0.12</v>
      </c>
      <c r="O244" s="41"/>
      <c r="P244" s="41"/>
      <c r="Q244" s="41"/>
      <c r="R244" s="41"/>
      <c r="S244" s="42">
        <f>ROUND($B244*S$227*S243,2)</f>
        <v>0</v>
      </c>
      <c r="T244" s="42">
        <f>ROUND($B244*T$227,2)</f>
        <v>0</v>
      </c>
      <c r="U244" s="42">
        <f>ROUND($B244*U$227,2)</f>
        <v>0</v>
      </c>
      <c r="V244" s="41">
        <f>ROUND($B244*V$217,2)</f>
        <v>0</v>
      </c>
      <c r="W244" s="42">
        <f>ROUND($B244*W$227,2)</f>
        <v>0</v>
      </c>
      <c r="X244" s="42">
        <f>ROUND($B244*X$227,2)</f>
        <v>-0.01</v>
      </c>
      <c r="Y244" s="42">
        <f>ROUND($B244*Y$227,2)</f>
        <v>0</v>
      </c>
      <c r="Z244" s="42">
        <f>ROUND($B244*Z$227,2)</f>
        <v>0</v>
      </c>
      <c r="AA244" s="42">
        <f>ROUND($B244*AA$227,2)</f>
        <v>0</v>
      </c>
      <c r="AB244" s="19">
        <f>SUM(U$227:AA$227)+(-V$227+V165)</f>
        <v>1.6456999999999999E-2</v>
      </c>
      <c r="AC244" s="94" t="str">
        <f>+F244</f>
        <v>SH7</v>
      </c>
    </row>
    <row r="245" spans="1:29" x14ac:dyDescent="0.2">
      <c r="B245" s="103">
        <v>-1</v>
      </c>
      <c r="C245" s="9"/>
      <c r="F245" s="36"/>
      <c r="G245" s="17"/>
      <c r="H245" s="19"/>
      <c r="I245" s="19"/>
      <c r="J245" s="16"/>
      <c r="K245" s="16"/>
      <c r="L245" s="16"/>
      <c r="M245" s="8"/>
      <c r="N245" s="8"/>
      <c r="O245" s="8"/>
      <c r="P245" s="8"/>
      <c r="Q245" s="8"/>
      <c r="R245" s="8"/>
      <c r="S245" s="50">
        <v>0.25</v>
      </c>
      <c r="T245" s="17"/>
      <c r="U245" s="17"/>
      <c r="V245" s="8"/>
      <c r="W245" s="17"/>
      <c r="X245" s="17"/>
      <c r="Y245" s="17"/>
      <c r="Z245" s="17"/>
      <c r="AA245" s="17"/>
      <c r="AB245" s="19"/>
      <c r="AC245" s="67"/>
    </row>
    <row r="246" spans="1:29" x14ac:dyDescent="0.2">
      <c r="B246" s="103">
        <f>IF(AND('AES Indiana Bill Calc.'!$D$17="SH",'AES Indiana Bill Calc.'!$D$18="Yes 25%",'AES Indiana Bill Calc.'!$D$20="Yes Before 2018"),'AES Indiana Bill Calc.'!$D$19,-1)</f>
        <v>-1</v>
      </c>
      <c r="C246" s="1" t="s">
        <v>140</v>
      </c>
      <c r="F246" s="36" t="s">
        <v>165</v>
      </c>
      <c r="G246" s="17">
        <f>SUM(J246:M246,O246:P246,R246:AA246)</f>
        <v>54.870000000000005</v>
      </c>
      <c r="H246" s="19" t="e">
        <f>IF(ISBLANK(B246),0,+#REF!/B246)</f>
        <v>#REF!</v>
      </c>
      <c r="I246" s="19"/>
      <c r="J246" s="82">
        <f>IF(ISBLANK(B246),0,+J$227)</f>
        <v>55</v>
      </c>
      <c r="K246" s="82">
        <f>ROUND($B246*K$227,2)</f>
        <v>-0.12</v>
      </c>
      <c r="L246" s="82"/>
      <c r="M246" s="41"/>
      <c r="N246" s="17">
        <f>SUM(K246:L246)</f>
        <v>-0.12</v>
      </c>
      <c r="O246" s="41"/>
      <c r="P246" s="41"/>
      <c r="Q246" s="41"/>
      <c r="R246" s="41"/>
      <c r="S246" s="42">
        <f>ROUND($B246*S$227*S245,2)</f>
        <v>0</v>
      </c>
      <c r="T246" s="42">
        <f>ROUND($B246*T$227,2)</f>
        <v>0</v>
      </c>
      <c r="U246" s="42">
        <f>ROUND($B246*U$227,2)</f>
        <v>0</v>
      </c>
      <c r="V246" s="41">
        <f>ROUND($B246*V$217,2)</f>
        <v>0</v>
      </c>
      <c r="W246" s="42">
        <f>ROUND($B246*W$227,2)</f>
        <v>0</v>
      </c>
      <c r="X246" s="42">
        <f>ROUND($B246*X$227,2)</f>
        <v>-0.01</v>
      </c>
      <c r="Y246" s="42">
        <f>ROUND($B246*Y$227,2)</f>
        <v>0</v>
      </c>
      <c r="Z246" s="42">
        <f>ROUND($B246*Z$227,2)</f>
        <v>0</v>
      </c>
      <c r="AA246" s="42">
        <f>ROUND($B246*AA$227,2)</f>
        <v>0</v>
      </c>
      <c r="AB246" s="19">
        <f>SUM(U$227:AA$227)+(-V$227+V167)</f>
        <v>1.6456999999999999E-2</v>
      </c>
      <c r="AC246" s="94" t="str">
        <f>+F246</f>
        <v>SH7</v>
      </c>
    </row>
    <row r="247" spans="1:29" x14ac:dyDescent="0.2">
      <c r="B247" s="103">
        <v>-1</v>
      </c>
      <c r="C247" s="9"/>
      <c r="F247" s="36"/>
      <c r="G247" s="17"/>
      <c r="H247" s="19"/>
      <c r="I247" s="19"/>
      <c r="J247" s="16"/>
      <c r="K247" s="16"/>
      <c r="L247" s="16"/>
      <c r="M247" s="8"/>
      <c r="N247" s="8"/>
      <c r="O247" s="8"/>
      <c r="P247" s="8"/>
      <c r="Q247" s="8"/>
      <c r="R247" s="8"/>
      <c r="S247" s="50">
        <v>0.1</v>
      </c>
      <c r="T247" s="17"/>
      <c r="U247" s="17"/>
      <c r="V247" s="8"/>
      <c r="W247" s="17"/>
      <c r="X247" s="17"/>
      <c r="Y247" s="17"/>
      <c r="Z247" s="17"/>
      <c r="AA247" s="17"/>
      <c r="AB247" s="19"/>
      <c r="AC247" s="67"/>
    </row>
    <row r="248" spans="1:29" x14ac:dyDescent="0.2">
      <c r="B248" s="103">
        <f>IF(AND('AES Indiana Bill Calc.'!$D$17="SH",'AES Indiana Bill Calc.'!$D$18="Yes 10%",'AES Indiana Bill Calc.'!$D$20="Yes Before 2018"),'AES Indiana Bill Calc.'!$D$19,-1)</f>
        <v>-1</v>
      </c>
      <c r="C248" s="1" t="s">
        <v>154</v>
      </c>
      <c r="F248" s="36" t="s">
        <v>165</v>
      </c>
      <c r="G248" s="17">
        <f>SUM(J248:M248,O248:P248,R248:AA248)</f>
        <v>54.870000000000005</v>
      </c>
      <c r="H248" s="19" t="e">
        <f>IF(ISBLANK(B248),0,+#REF!/B248)</f>
        <v>#REF!</v>
      </c>
      <c r="I248" s="19"/>
      <c r="J248" s="82">
        <f>IF(ISBLANK(B248),0,+J$227)</f>
        <v>55</v>
      </c>
      <c r="K248" s="82">
        <f>ROUND($B248*K$227,2)</f>
        <v>-0.12</v>
      </c>
      <c r="L248" s="82"/>
      <c r="M248" s="41"/>
      <c r="N248" s="17">
        <f>SUM(K248:L248)</f>
        <v>-0.12</v>
      </c>
      <c r="O248" s="41"/>
      <c r="P248" s="41"/>
      <c r="Q248" s="41"/>
      <c r="R248" s="41"/>
      <c r="S248" s="42">
        <f>ROUND($B248*S$227*S247,2)</f>
        <v>0</v>
      </c>
      <c r="T248" s="42">
        <f>ROUND($B248*T$227,2)</f>
        <v>0</v>
      </c>
      <c r="U248" s="42">
        <f>ROUND($B248*U$227,2)</f>
        <v>0</v>
      </c>
      <c r="V248" s="41">
        <f>ROUND($B248*V$217,2)</f>
        <v>0</v>
      </c>
      <c r="W248" s="42">
        <f>ROUND($B248*W$227,2)</f>
        <v>0</v>
      </c>
      <c r="X248" s="42">
        <f>ROUND($B248*X$227,2)</f>
        <v>-0.01</v>
      </c>
      <c r="Y248" s="42">
        <f>ROUND($B248*Y$227,2)</f>
        <v>0</v>
      </c>
      <c r="Z248" s="42">
        <f>ROUND($B248*Z$227,2)</f>
        <v>0</v>
      </c>
      <c r="AA248" s="42">
        <f>ROUND($B248*AA$227,2)</f>
        <v>0</v>
      </c>
      <c r="AB248" s="19">
        <f>SUM(U$227:AA$227)+(-V$227+V169)</f>
        <v>1.6456999999999999E-2</v>
      </c>
      <c r="AC248" s="94" t="str">
        <f>+F248</f>
        <v>SH7</v>
      </c>
    </row>
    <row r="249" spans="1:29" x14ac:dyDescent="0.2">
      <c r="B249" s="103">
        <v>-1</v>
      </c>
      <c r="F249" s="36"/>
      <c r="G249" s="17"/>
      <c r="H249" s="19"/>
      <c r="I249" s="19"/>
      <c r="J249" s="16"/>
      <c r="K249" s="16"/>
      <c r="L249" s="16"/>
      <c r="M249" s="8"/>
      <c r="N249" s="8"/>
      <c r="O249" s="8"/>
      <c r="P249" s="8"/>
      <c r="Q249" s="8"/>
      <c r="R249" s="8"/>
      <c r="S249" s="50">
        <v>0</v>
      </c>
      <c r="T249" s="17"/>
      <c r="U249" s="17"/>
      <c r="V249" s="8"/>
      <c r="W249" s="17"/>
      <c r="X249" s="17"/>
      <c r="Y249" s="17"/>
      <c r="Z249" s="17"/>
      <c r="AA249" s="17"/>
      <c r="AB249" s="19"/>
      <c r="AC249" s="67"/>
    </row>
    <row r="250" spans="1:29" x14ac:dyDescent="0.2">
      <c r="B250" s="103">
        <f>IF(AND('AES Indiana Bill Calc.'!$D$17="SH",'AES Indiana Bill Calc.'!$D$18="No",'AES Indiana Bill Calc.'!$D$20="Yes Before 2018"),'AES Indiana Bill Calc.'!$D$19,-1)</f>
        <v>-1</v>
      </c>
      <c r="C250" s="1" t="s">
        <v>137</v>
      </c>
      <c r="F250" s="36" t="s">
        <v>165</v>
      </c>
      <c r="G250" s="17">
        <f>SUM(J250:M250,O250:P250,R250:AA250)</f>
        <v>54.870000000000005</v>
      </c>
      <c r="H250" s="19" t="e">
        <f>IF(ISBLANK(B250),0,+#REF!/B250)</f>
        <v>#REF!</v>
      </c>
      <c r="I250" s="19"/>
      <c r="J250" s="82">
        <f>IF(ISBLANK(B250),0,+J$227)</f>
        <v>55</v>
      </c>
      <c r="K250" s="82">
        <f>ROUND($B250*K$227,2)</f>
        <v>-0.12</v>
      </c>
      <c r="L250" s="82"/>
      <c r="M250" s="41"/>
      <c r="N250" s="17">
        <f>SUM(K250:L250)</f>
        <v>-0.12</v>
      </c>
      <c r="O250" s="41"/>
      <c r="P250" s="41"/>
      <c r="Q250" s="41"/>
      <c r="R250" s="41"/>
      <c r="S250" s="42">
        <f>ROUND($B250*S$227*S249,2)</f>
        <v>0</v>
      </c>
      <c r="T250" s="42">
        <f>ROUND($B250*T$227,2)</f>
        <v>0</v>
      </c>
      <c r="U250" s="42">
        <f>ROUND($B250*U$227,2)</f>
        <v>0</v>
      </c>
      <c r="V250" s="41">
        <f>ROUND($B250*V$217,2)</f>
        <v>0</v>
      </c>
      <c r="W250" s="42">
        <f>ROUND($B250*W$227,2)</f>
        <v>0</v>
      </c>
      <c r="X250" s="42">
        <f>ROUND($B250*X$227,2)</f>
        <v>-0.01</v>
      </c>
      <c r="Y250" s="42">
        <f>ROUND($B250*Y$227,2)</f>
        <v>0</v>
      </c>
      <c r="Z250" s="42">
        <f>ROUND($B250*Z$227,2)</f>
        <v>0</v>
      </c>
      <c r="AA250" s="42">
        <f>ROUND($B250*AA$227,2)</f>
        <v>0</v>
      </c>
      <c r="AB250" s="19">
        <f>SUM(U$227:AA$227)+(-V$227+V171)</f>
        <v>1.6456999999999999E-2</v>
      </c>
      <c r="AC250" s="94" t="str">
        <f>+F250</f>
        <v>SH7</v>
      </c>
    </row>
    <row r="251" spans="1:29" x14ac:dyDescent="0.2">
      <c r="B251" s="103">
        <v>-1</v>
      </c>
      <c r="C251" s="9"/>
      <c r="F251" s="36"/>
      <c r="G251" s="17"/>
      <c r="H251" s="19"/>
      <c r="I251" s="19"/>
      <c r="J251" s="16"/>
      <c r="K251" s="16"/>
      <c r="L251" s="16"/>
      <c r="M251" s="8"/>
      <c r="N251" s="8"/>
      <c r="O251" s="8"/>
      <c r="P251" s="8"/>
      <c r="Q251" s="8"/>
      <c r="R251" s="8"/>
      <c r="S251" s="50">
        <v>1</v>
      </c>
      <c r="T251" s="17"/>
      <c r="U251" s="17"/>
      <c r="V251" s="8"/>
      <c r="W251" s="17"/>
      <c r="X251" s="17"/>
      <c r="Y251" s="17"/>
      <c r="Z251" s="17"/>
      <c r="AA251" s="17"/>
      <c r="AB251" s="19"/>
      <c r="AC251" s="67"/>
    </row>
    <row r="252" spans="1:29" x14ac:dyDescent="0.2">
      <c r="A252" s="96"/>
      <c r="B252" s="103">
        <f>IF(AND('AES Indiana Bill Calc.'!$D$17="SH",'AES Indiana Bill Calc.'!$D$18="Yes 100%",'AES Indiana Bill Calc.'!$D$20="Yes 2018"),'AES Indiana Bill Calc.'!$D$19,-1)</f>
        <v>-1</v>
      </c>
      <c r="C252" s="1" t="s">
        <v>138</v>
      </c>
      <c r="F252" s="36" t="s">
        <v>166</v>
      </c>
      <c r="G252" s="17">
        <f>SUM(J252:M252,O252:P252,R252:AA252)</f>
        <v>54.870000000000005</v>
      </c>
      <c r="H252" s="19" t="e">
        <f>IF(ISBLANK(B252),0,+#REF!/B252)</f>
        <v>#REF!</v>
      </c>
      <c r="I252" s="19"/>
      <c r="J252" s="82">
        <f>IF(ISBLANK(B252),0,+J$227)</f>
        <v>55</v>
      </c>
      <c r="K252" s="82">
        <f>ROUND($B252*K$227,2)</f>
        <v>-0.12</v>
      </c>
      <c r="L252" s="82"/>
      <c r="M252" s="41"/>
      <c r="N252" s="17">
        <f>SUM(K252:L252)</f>
        <v>-0.12</v>
      </c>
      <c r="O252" s="41"/>
      <c r="P252" s="41"/>
      <c r="Q252" s="41"/>
      <c r="R252" s="41"/>
      <c r="S252" s="42">
        <f>ROUND($B252*S$227*S251,2)</f>
        <v>0</v>
      </c>
      <c r="T252" s="42">
        <f>ROUND($B252*T$227,2)</f>
        <v>0</v>
      </c>
      <c r="U252" s="42">
        <f>ROUND($B252*U$227,2)</f>
        <v>0</v>
      </c>
      <c r="V252" s="41">
        <f>ROUND($B252*V$218,2)</f>
        <v>0</v>
      </c>
      <c r="W252" s="42">
        <f>ROUND($B252*W$227,2)</f>
        <v>0</v>
      </c>
      <c r="X252" s="42">
        <f>ROUND($B252*X$227,2)</f>
        <v>-0.01</v>
      </c>
      <c r="Y252" s="42">
        <f>ROUND($B252*Y$227,2)</f>
        <v>0</v>
      </c>
      <c r="Z252" s="42">
        <f>ROUND($B252*Z$227,2)</f>
        <v>0</v>
      </c>
      <c r="AA252" s="42">
        <f>ROUND($B252*AA$227,2)</f>
        <v>0</v>
      </c>
      <c r="AB252" s="19">
        <f>SUM(U$227:AA$227)+(-V$227+V217)</f>
        <v>1.6456999999999999E-2</v>
      </c>
      <c r="AC252" s="94" t="str">
        <f>+F252</f>
        <v>SH8</v>
      </c>
    </row>
    <row r="253" spans="1:29" x14ac:dyDescent="0.2">
      <c r="B253" s="103">
        <v>-1</v>
      </c>
      <c r="C253" s="9"/>
      <c r="F253" s="36"/>
      <c r="G253" s="17"/>
      <c r="H253" s="19"/>
      <c r="I253" s="19"/>
      <c r="J253" s="16"/>
      <c r="K253" s="16"/>
      <c r="L253" s="16"/>
      <c r="M253" s="8"/>
      <c r="N253" s="8"/>
      <c r="O253" s="8"/>
      <c r="P253" s="8"/>
      <c r="Q253" s="8"/>
      <c r="R253" s="8"/>
      <c r="S253" s="50">
        <v>0.5</v>
      </c>
      <c r="T253" s="17"/>
      <c r="U253" s="17"/>
      <c r="V253" s="8"/>
      <c r="W253" s="17"/>
      <c r="X253" s="17"/>
      <c r="Y253" s="17"/>
      <c r="Z253" s="17"/>
      <c r="AA253" s="17"/>
      <c r="AB253" s="19"/>
      <c r="AC253" s="67"/>
    </row>
    <row r="254" spans="1:29" x14ac:dyDescent="0.2">
      <c r="A254" s="96"/>
      <c r="B254" s="103">
        <f>IF(AND('AES Indiana Bill Calc.'!$D$17="SH",'AES Indiana Bill Calc.'!$D$18="Yes 50%",'AES Indiana Bill Calc.'!$D$20="Yes 2018"),'AES Indiana Bill Calc.'!$D$19,-1)</f>
        <v>-1</v>
      </c>
      <c r="C254" s="1" t="s">
        <v>139</v>
      </c>
      <c r="F254" s="36" t="s">
        <v>166</v>
      </c>
      <c r="G254" s="17">
        <f>SUM(J254:M254,O254:P254,R254:AA254)</f>
        <v>54.870000000000005</v>
      </c>
      <c r="H254" s="19" t="e">
        <f>IF(ISBLANK(B254),0,+#REF!/B254)</f>
        <v>#REF!</v>
      </c>
      <c r="I254" s="19"/>
      <c r="J254" s="82">
        <f>IF(ISBLANK(B254),0,+J$227)</f>
        <v>55</v>
      </c>
      <c r="K254" s="82">
        <f>ROUND($B254*K$227,2)</f>
        <v>-0.12</v>
      </c>
      <c r="L254" s="82"/>
      <c r="M254" s="41"/>
      <c r="N254" s="17">
        <f>SUM(K254:L254)</f>
        <v>-0.12</v>
      </c>
      <c r="O254" s="41"/>
      <c r="P254" s="41"/>
      <c r="Q254" s="41"/>
      <c r="R254" s="41"/>
      <c r="S254" s="42">
        <f>ROUND($B254*S$227*S253,2)</f>
        <v>0</v>
      </c>
      <c r="T254" s="42">
        <f>ROUND($B254*T$227,2)</f>
        <v>0</v>
      </c>
      <c r="U254" s="42">
        <f>ROUND($B254*U$227,2)</f>
        <v>0</v>
      </c>
      <c r="V254" s="41">
        <f>ROUND($B254*V$218,2)</f>
        <v>0</v>
      </c>
      <c r="W254" s="42">
        <f>ROUND($B254*W$227,2)</f>
        <v>0</v>
      </c>
      <c r="X254" s="42">
        <f>ROUND($B254*X$227,2)</f>
        <v>-0.01</v>
      </c>
      <c r="Y254" s="42">
        <f>ROUND($B254*Y$227,2)</f>
        <v>0</v>
      </c>
      <c r="Z254" s="42">
        <f>ROUND($B254*Z$227,2)</f>
        <v>0</v>
      </c>
      <c r="AA254" s="42">
        <f>ROUND($B254*AA$227,2)</f>
        <v>0</v>
      </c>
      <c r="AB254" s="19">
        <f>SUM(U$227:AA$227)+(-V$227+V219)</f>
        <v>1.6456999999999999E-2</v>
      </c>
      <c r="AC254" s="94" t="str">
        <f>+F254</f>
        <v>SH8</v>
      </c>
    </row>
    <row r="255" spans="1:29" x14ac:dyDescent="0.2">
      <c r="B255" s="103">
        <v>-1</v>
      </c>
      <c r="C255" s="9"/>
      <c r="F255" s="36"/>
      <c r="G255" s="17"/>
      <c r="H255" s="19"/>
      <c r="I255" s="19"/>
      <c r="J255" s="16"/>
      <c r="K255" s="16"/>
      <c r="L255" s="16"/>
      <c r="M255" s="8"/>
      <c r="N255" s="8"/>
      <c r="O255" s="8"/>
      <c r="P255" s="8"/>
      <c r="Q255" s="8"/>
      <c r="R255" s="8"/>
      <c r="S255" s="50">
        <v>0.25</v>
      </c>
      <c r="T255" s="17"/>
      <c r="U255" s="17"/>
      <c r="V255" s="8"/>
      <c r="W255" s="17"/>
      <c r="X255" s="17"/>
      <c r="Y255" s="17"/>
      <c r="Z255" s="17"/>
      <c r="AA255" s="17"/>
      <c r="AB255" s="19"/>
      <c r="AC255" s="67"/>
    </row>
    <row r="256" spans="1:29" x14ac:dyDescent="0.2">
      <c r="A256" s="96"/>
      <c r="B256" s="103">
        <f>IF(AND('AES Indiana Bill Calc.'!$D$17="SH",'AES Indiana Bill Calc.'!$D$18="Yes 25%",'AES Indiana Bill Calc.'!$D$20="Yes 2018"),'AES Indiana Bill Calc.'!$D$19,-1)</f>
        <v>-1</v>
      </c>
      <c r="C256" s="1" t="s">
        <v>140</v>
      </c>
      <c r="F256" s="36" t="s">
        <v>166</v>
      </c>
      <c r="G256" s="17">
        <f>SUM(J256:M256,O256:P256,R256:AA256)</f>
        <v>54.870000000000005</v>
      </c>
      <c r="H256" s="19" t="e">
        <f>IF(ISBLANK(B256),0,+#REF!/B256)</f>
        <v>#REF!</v>
      </c>
      <c r="I256" s="19"/>
      <c r="J256" s="82">
        <f>IF(ISBLANK(B256),0,+J$227)</f>
        <v>55</v>
      </c>
      <c r="K256" s="82">
        <f>ROUND($B256*K$227,2)</f>
        <v>-0.12</v>
      </c>
      <c r="L256" s="82"/>
      <c r="M256" s="41"/>
      <c r="N256" s="17">
        <f>SUM(K256:L256)</f>
        <v>-0.12</v>
      </c>
      <c r="O256" s="41"/>
      <c r="P256" s="41"/>
      <c r="Q256" s="41"/>
      <c r="R256" s="41"/>
      <c r="S256" s="42">
        <f>ROUND($B256*S$227*S255,2)</f>
        <v>0</v>
      </c>
      <c r="T256" s="42">
        <f>ROUND($B256*T$227,2)</f>
        <v>0</v>
      </c>
      <c r="U256" s="42">
        <f>ROUND($B256*U$227,2)</f>
        <v>0</v>
      </c>
      <c r="V256" s="41">
        <f>ROUND($B256*V$218,2)</f>
        <v>0</v>
      </c>
      <c r="W256" s="42">
        <f>ROUND($B256*W$227,2)</f>
        <v>0</v>
      </c>
      <c r="X256" s="42">
        <f>ROUND($B256*X$227,2)</f>
        <v>-0.01</v>
      </c>
      <c r="Y256" s="42">
        <f>ROUND($B256*Y$227,2)</f>
        <v>0</v>
      </c>
      <c r="Z256" s="42">
        <f>ROUND($B256*Z$227,2)</f>
        <v>0</v>
      </c>
      <c r="AA256" s="42">
        <f>ROUND($B256*AA$227,2)</f>
        <v>0</v>
      </c>
      <c r="AB256" s="19">
        <f>SUM(U$227:AA$227)+(-V$227+V221)</f>
        <v>1.3934999999999999E-2</v>
      </c>
      <c r="AC256" s="94" t="str">
        <f>+F256</f>
        <v>SH8</v>
      </c>
    </row>
    <row r="257" spans="1:29" x14ac:dyDescent="0.2">
      <c r="B257" s="103">
        <v>-1</v>
      </c>
      <c r="C257" s="9"/>
      <c r="F257" s="36"/>
      <c r="G257" s="17"/>
      <c r="H257" s="19"/>
      <c r="I257" s="19"/>
      <c r="J257" s="16"/>
      <c r="K257" s="16"/>
      <c r="L257" s="16"/>
      <c r="M257" s="8"/>
      <c r="N257" s="8"/>
      <c r="O257" s="8"/>
      <c r="P257" s="8"/>
      <c r="Q257" s="8"/>
      <c r="R257" s="8"/>
      <c r="S257" s="50">
        <v>0.1</v>
      </c>
      <c r="T257" s="17"/>
      <c r="U257" s="17"/>
      <c r="V257" s="8"/>
      <c r="W257" s="17"/>
      <c r="X257" s="17"/>
      <c r="Y257" s="17"/>
      <c r="Z257" s="17"/>
      <c r="AA257" s="17"/>
      <c r="AB257" s="19"/>
      <c r="AC257" s="67"/>
    </row>
    <row r="258" spans="1:29" x14ac:dyDescent="0.2">
      <c r="A258" s="96"/>
      <c r="B258" s="103">
        <f>IF(AND('AES Indiana Bill Calc.'!$D$17="SH",'AES Indiana Bill Calc.'!$D$18="Yes 10%",'AES Indiana Bill Calc.'!$D$20="Yes 2018"),'AES Indiana Bill Calc.'!$D$19,-1)</f>
        <v>-1</v>
      </c>
      <c r="C258" s="1" t="s">
        <v>154</v>
      </c>
      <c r="F258" s="36" t="s">
        <v>166</v>
      </c>
      <c r="G258" s="17">
        <f>SUM(J258:M258,O258:P258,R258:AA258)</f>
        <v>54.870000000000005</v>
      </c>
      <c r="H258" s="19" t="e">
        <f>IF(ISBLANK(B258),0,+#REF!/B258)</f>
        <v>#REF!</v>
      </c>
      <c r="I258" s="19"/>
      <c r="J258" s="82">
        <f>IF(ISBLANK(B258),0,+J$227)</f>
        <v>55</v>
      </c>
      <c r="K258" s="82">
        <f>ROUND($B258*K$227,2)</f>
        <v>-0.12</v>
      </c>
      <c r="L258" s="82"/>
      <c r="M258" s="41"/>
      <c r="N258" s="17">
        <f>SUM(K258:L258)</f>
        <v>-0.12</v>
      </c>
      <c r="O258" s="41"/>
      <c r="P258" s="41"/>
      <c r="Q258" s="41"/>
      <c r="R258" s="41"/>
      <c r="S258" s="42">
        <f>ROUND($B258*S$227*S257,2)</f>
        <v>0</v>
      </c>
      <c r="T258" s="42">
        <f>ROUND($B258*T$227,2)</f>
        <v>0</v>
      </c>
      <c r="U258" s="42">
        <f>ROUND($B258*U$227,2)</f>
        <v>0</v>
      </c>
      <c r="V258" s="41">
        <f>ROUND($B258*V$218,2)</f>
        <v>0</v>
      </c>
      <c r="W258" s="42">
        <f>ROUND($B258*W$227,2)</f>
        <v>0</v>
      </c>
      <c r="X258" s="42">
        <f>ROUND($B258*X$227,2)</f>
        <v>-0.01</v>
      </c>
      <c r="Y258" s="42">
        <f>ROUND($B258*Y$227,2)</f>
        <v>0</v>
      </c>
      <c r="Z258" s="42">
        <f>ROUND($B258*Z$227,2)</f>
        <v>0</v>
      </c>
      <c r="AA258" s="42">
        <f>ROUND($B258*AA$227,2)</f>
        <v>0</v>
      </c>
      <c r="AB258" s="19">
        <f>SUM(U$227:AA$227)+(-V$227+V228)</f>
        <v>1.6456999999999999E-2</v>
      </c>
      <c r="AC258" s="94" t="str">
        <f>+F258</f>
        <v>SH8</v>
      </c>
    </row>
    <row r="259" spans="1:29" x14ac:dyDescent="0.2">
      <c r="B259" s="103">
        <v>-1</v>
      </c>
      <c r="C259" s="9"/>
      <c r="F259" s="36"/>
      <c r="G259" s="17"/>
      <c r="H259" s="19"/>
      <c r="I259" s="19"/>
      <c r="J259" s="16"/>
      <c r="K259" s="16"/>
      <c r="L259" s="16"/>
      <c r="M259" s="8"/>
      <c r="N259" s="8"/>
      <c r="O259" s="8"/>
      <c r="P259" s="8"/>
      <c r="Q259" s="8"/>
      <c r="R259" s="8"/>
      <c r="S259" s="50">
        <v>0</v>
      </c>
      <c r="T259" s="17"/>
      <c r="U259" s="17"/>
      <c r="V259" s="8"/>
      <c r="W259" s="17"/>
      <c r="X259" s="17"/>
      <c r="Y259" s="17"/>
      <c r="Z259" s="17"/>
      <c r="AA259" s="17"/>
      <c r="AB259" s="19"/>
      <c r="AC259" s="67"/>
    </row>
    <row r="260" spans="1:29" x14ac:dyDescent="0.2">
      <c r="A260" s="96"/>
      <c r="B260" s="103">
        <f>IF(AND('AES Indiana Bill Calc.'!$D$17="SH",'AES Indiana Bill Calc.'!$D$18="No",'AES Indiana Bill Calc.'!$D$20="Yes 2018"),'AES Indiana Bill Calc.'!$D$19,-1)</f>
        <v>-1</v>
      </c>
      <c r="C260" s="1" t="s">
        <v>137</v>
      </c>
      <c r="F260" s="36" t="s">
        <v>166</v>
      </c>
      <c r="G260" s="17">
        <f>SUM(J260:M260,O260:P260,R260:AA260)</f>
        <v>54.870000000000005</v>
      </c>
      <c r="H260" s="19" t="e">
        <f>IF(ISBLANK(B260),0,+#REF!/B260)</f>
        <v>#REF!</v>
      </c>
      <c r="I260" s="19"/>
      <c r="J260" s="82">
        <f>IF(ISBLANK(B260),0,+J$227)</f>
        <v>55</v>
      </c>
      <c r="K260" s="82">
        <f>ROUND($B260*K$227,2)</f>
        <v>-0.12</v>
      </c>
      <c r="L260" s="82"/>
      <c r="M260" s="41"/>
      <c r="N260" s="17">
        <f>SUM(K260:L260)</f>
        <v>-0.12</v>
      </c>
      <c r="O260" s="41"/>
      <c r="P260" s="41"/>
      <c r="Q260" s="41"/>
      <c r="R260" s="41"/>
      <c r="S260" s="42">
        <f>ROUND($B260*S$227*S259,2)</f>
        <v>0</v>
      </c>
      <c r="T260" s="42">
        <f>ROUND($B260*T$227,2)</f>
        <v>0</v>
      </c>
      <c r="U260" s="42">
        <f>ROUND($B260*U$227,2)</f>
        <v>0</v>
      </c>
      <c r="V260" s="41">
        <f>ROUND($B260*V$218,2)</f>
        <v>0</v>
      </c>
      <c r="W260" s="42">
        <f>ROUND($B260*W$227,2)</f>
        <v>0</v>
      </c>
      <c r="X260" s="42">
        <f>ROUND($B260*X$227,2)</f>
        <v>-0.01</v>
      </c>
      <c r="Y260" s="42">
        <f>ROUND($B260*Y$227,2)</f>
        <v>0</v>
      </c>
      <c r="Z260" s="42">
        <f>ROUND($B260*Z$227,2)</f>
        <v>0</v>
      </c>
      <c r="AA260" s="42">
        <f>ROUND($B260*AA$227,2)</f>
        <v>0</v>
      </c>
      <c r="AB260" s="19" t="e">
        <f>SUM(U$227:AA$227)+(-V$227+V230)</f>
        <v>#VALUE!</v>
      </c>
      <c r="AC260" s="94" t="str">
        <f>+F260</f>
        <v>SH8</v>
      </c>
    </row>
    <row r="261" spans="1:29" x14ac:dyDescent="0.2">
      <c r="A261" s="96"/>
      <c r="B261" s="97">
        <v>-1</v>
      </c>
      <c r="C261" s="97"/>
      <c r="F261" s="36"/>
      <c r="G261" s="98"/>
      <c r="H261" s="19"/>
      <c r="I261" s="19"/>
      <c r="J261" s="104"/>
      <c r="K261" s="104"/>
      <c r="L261" s="104"/>
      <c r="M261" s="87"/>
      <c r="N261" s="87"/>
      <c r="O261" s="87"/>
      <c r="P261" s="87"/>
      <c r="Q261" s="87"/>
      <c r="R261" s="87"/>
      <c r="S261" s="50">
        <v>1</v>
      </c>
      <c r="T261" s="98"/>
      <c r="U261" s="98"/>
      <c r="V261" s="87"/>
      <c r="W261" s="98"/>
      <c r="X261" s="98"/>
      <c r="Y261" s="98"/>
      <c r="Z261" s="98"/>
      <c r="AA261" s="98"/>
      <c r="AB261" s="19"/>
      <c r="AC261" s="105"/>
    </row>
    <row r="262" spans="1:29" x14ac:dyDescent="0.2">
      <c r="A262" s="96"/>
      <c r="B262" s="103">
        <f>IF(AND('AES Indiana Bill Calc.'!$D$17="SH",'AES Indiana Bill Calc.'!$D$18="Yes 100%",'AES Indiana Bill Calc.'!$D$20="Yes 2019"),'AES Indiana Bill Calc.'!$D$19,-1)</f>
        <v>-1</v>
      </c>
      <c r="C262" s="1" t="s">
        <v>138</v>
      </c>
      <c r="F262" s="36" t="s">
        <v>167</v>
      </c>
      <c r="G262" s="17">
        <f>SUM(J262:M262,O262:P262,R262:AA262)</f>
        <v>54.870000000000005</v>
      </c>
      <c r="H262" s="19" t="e">
        <f>IF(ISBLANK(B262),0,+#REF!/B262)</f>
        <v>#REF!</v>
      </c>
      <c r="I262" s="19"/>
      <c r="J262" s="82">
        <f>IF(ISBLANK(B262),0,+J$227)</f>
        <v>55</v>
      </c>
      <c r="K262" s="82">
        <f>ROUND($B262*K$227,2)</f>
        <v>-0.12</v>
      </c>
      <c r="L262" s="82"/>
      <c r="M262" s="41"/>
      <c r="N262" s="17">
        <f>SUM(K262:L262)</f>
        <v>-0.12</v>
      </c>
      <c r="O262" s="41"/>
      <c r="P262" s="41"/>
      <c r="Q262" s="41"/>
      <c r="R262" s="41"/>
      <c r="S262" s="42">
        <f>ROUND($B262*S$227*S261,2)</f>
        <v>0</v>
      </c>
      <c r="T262" s="42">
        <f>ROUND($B262*T$227,2)</f>
        <v>0</v>
      </c>
      <c r="U262" s="42">
        <f>ROUND($B262*U$227,2)</f>
        <v>0</v>
      </c>
      <c r="V262" s="41">
        <f>ROUND($B262*V$219,2)</f>
        <v>0</v>
      </c>
      <c r="W262" s="42">
        <f>ROUND($B262*W$227,2)</f>
        <v>0</v>
      </c>
      <c r="X262" s="42">
        <f>ROUND($B262*X$227,2)</f>
        <v>-0.01</v>
      </c>
      <c r="Y262" s="42">
        <f>ROUND($B262*Y$227,2)</f>
        <v>0</v>
      </c>
      <c r="Z262" s="42">
        <f>ROUND($B262*Z$227,2)</f>
        <v>0</v>
      </c>
      <c r="AA262" s="42">
        <f>ROUND($B262*AA$227,2)</f>
        <v>0</v>
      </c>
      <c r="AB262" s="19">
        <f>SUM(U$227:AA$227)+(-V$227+V227)</f>
        <v>2.9094999999999999E-2</v>
      </c>
      <c r="AC262" s="94" t="str">
        <f>+F262</f>
        <v>SH9</v>
      </c>
    </row>
    <row r="263" spans="1:29" x14ac:dyDescent="0.2">
      <c r="A263" s="96"/>
      <c r="B263" s="97">
        <v>-1</v>
      </c>
      <c r="C263" s="9"/>
      <c r="F263" s="36"/>
      <c r="G263" s="98"/>
      <c r="H263" s="19"/>
      <c r="I263" s="19"/>
      <c r="J263" s="104"/>
      <c r="K263" s="104"/>
      <c r="L263" s="104"/>
      <c r="M263" s="87"/>
      <c r="N263" s="87"/>
      <c r="O263" s="87"/>
      <c r="P263" s="87"/>
      <c r="Q263" s="87"/>
      <c r="R263" s="87"/>
      <c r="S263" s="50">
        <v>0.5</v>
      </c>
      <c r="T263" s="98"/>
      <c r="U263" s="98"/>
      <c r="V263" s="87"/>
      <c r="W263" s="98"/>
      <c r="X263" s="98"/>
      <c r="Y263" s="98"/>
      <c r="Z263" s="98"/>
      <c r="AA263" s="98"/>
      <c r="AB263" s="19"/>
      <c r="AC263" s="105"/>
    </row>
    <row r="264" spans="1:29" x14ac:dyDescent="0.2">
      <c r="A264" s="96"/>
      <c r="B264" s="103">
        <f>IF(AND('AES Indiana Bill Calc.'!$D$17="SH",'AES Indiana Bill Calc.'!$D$18="Yes 50%",'AES Indiana Bill Calc.'!$D$20="Yes 2019"),'AES Indiana Bill Calc.'!$D$19,-1)</f>
        <v>-1</v>
      </c>
      <c r="C264" s="1" t="s">
        <v>139</v>
      </c>
      <c r="F264" s="36" t="s">
        <v>167</v>
      </c>
      <c r="G264" s="17">
        <f>SUM(J264:M264,O264:P264,R264:AA264)</f>
        <v>54.870000000000005</v>
      </c>
      <c r="H264" s="19" t="e">
        <f>IF(ISBLANK(B264),0,+#REF!/B264)</f>
        <v>#REF!</v>
      </c>
      <c r="I264" s="19"/>
      <c r="J264" s="82">
        <f>IF(ISBLANK(B264),0,+J$227)</f>
        <v>55</v>
      </c>
      <c r="K264" s="82">
        <f>ROUND($B264*K$227,2)</f>
        <v>-0.12</v>
      </c>
      <c r="L264" s="82"/>
      <c r="M264" s="41"/>
      <c r="N264" s="17">
        <f>SUM(K264:L264)</f>
        <v>-0.12</v>
      </c>
      <c r="O264" s="41"/>
      <c r="P264" s="41"/>
      <c r="Q264" s="41"/>
      <c r="R264" s="41"/>
      <c r="S264" s="42">
        <f>ROUND($B264*S$227*S263,2)</f>
        <v>0</v>
      </c>
      <c r="T264" s="42">
        <f>ROUND($B264*T$227,2)</f>
        <v>0</v>
      </c>
      <c r="U264" s="42">
        <f>ROUND($B264*U$227,2)</f>
        <v>0</v>
      </c>
      <c r="V264" s="41">
        <f>ROUND($B264*V$219,2)</f>
        <v>0</v>
      </c>
      <c r="W264" s="42">
        <f>ROUND($B264*W$227,2)</f>
        <v>0</v>
      </c>
      <c r="X264" s="42">
        <f>ROUND($B264*X$227,2)</f>
        <v>-0.01</v>
      </c>
      <c r="Y264" s="42">
        <f>ROUND($B264*Y$227,2)</f>
        <v>0</v>
      </c>
      <c r="Z264" s="42">
        <f>ROUND($B264*Z$227,2)</f>
        <v>0</v>
      </c>
      <c r="AA264" s="42">
        <f>ROUND($B264*AA$227,2)</f>
        <v>0</v>
      </c>
      <c r="AB264" s="19">
        <f>SUM(U$227:AA$227)+(-V$227+V229)</f>
        <v>22.016457000000003</v>
      </c>
      <c r="AC264" s="94" t="str">
        <f>+F264</f>
        <v>SH9</v>
      </c>
    </row>
    <row r="265" spans="1:29" x14ac:dyDescent="0.2">
      <c r="A265" s="96"/>
      <c r="B265" s="97">
        <v>-1</v>
      </c>
      <c r="C265" s="9"/>
      <c r="F265" s="36"/>
      <c r="G265" s="98"/>
      <c r="H265" s="19"/>
      <c r="I265" s="19"/>
      <c r="J265" s="104"/>
      <c r="K265" s="104"/>
      <c r="L265" s="104"/>
      <c r="M265" s="87"/>
      <c r="N265" s="87"/>
      <c r="O265" s="87"/>
      <c r="P265" s="87"/>
      <c r="Q265" s="87"/>
      <c r="R265" s="87"/>
      <c r="S265" s="50">
        <v>0.25</v>
      </c>
      <c r="T265" s="98"/>
      <c r="U265" s="98"/>
      <c r="V265" s="87"/>
      <c r="W265" s="98"/>
      <c r="X265" s="98"/>
      <c r="Y265" s="98"/>
      <c r="Z265" s="98"/>
      <c r="AA265" s="98"/>
      <c r="AB265" s="19"/>
      <c r="AC265" s="105"/>
    </row>
    <row r="266" spans="1:29" x14ac:dyDescent="0.2">
      <c r="A266" s="96"/>
      <c r="B266" s="103">
        <f>IF(AND('AES Indiana Bill Calc.'!$D$17="SH",'AES Indiana Bill Calc.'!$D$18="Yes 25%",'AES Indiana Bill Calc.'!$D$20="Yes 2019"),'AES Indiana Bill Calc.'!$D$19,-1)</f>
        <v>-1</v>
      </c>
      <c r="C266" s="1" t="s">
        <v>140</v>
      </c>
      <c r="F266" s="36" t="s">
        <v>167</v>
      </c>
      <c r="G266" s="17">
        <f>SUM(J266:M266,O266:P266,R266:AA266)</f>
        <v>54.870000000000005</v>
      </c>
      <c r="H266" s="19" t="e">
        <f>IF(ISBLANK(B266),0,+#REF!/B266)</f>
        <v>#REF!</v>
      </c>
      <c r="I266" s="19"/>
      <c r="J266" s="82">
        <f>IF(ISBLANK(B266),0,+J$227)</f>
        <v>55</v>
      </c>
      <c r="K266" s="82">
        <f>ROUND($B266*K$227,2)</f>
        <v>-0.12</v>
      </c>
      <c r="L266" s="82"/>
      <c r="M266" s="41"/>
      <c r="N266" s="17">
        <f>SUM(K266:L266)</f>
        <v>-0.12</v>
      </c>
      <c r="O266" s="41"/>
      <c r="P266" s="41"/>
      <c r="Q266" s="41"/>
      <c r="R266" s="41"/>
      <c r="S266" s="42">
        <f>ROUND($B266*S$227*S265,2)</f>
        <v>0</v>
      </c>
      <c r="T266" s="42">
        <f>ROUND($B266*T$227,2)</f>
        <v>0</v>
      </c>
      <c r="U266" s="42">
        <f>ROUND($B266*U$227,2)</f>
        <v>0</v>
      </c>
      <c r="V266" s="41">
        <f>ROUND($B266*V$219,2)</f>
        <v>0</v>
      </c>
      <c r="W266" s="42">
        <f>ROUND($B266*W$227,2)</f>
        <v>0</v>
      </c>
      <c r="X266" s="42">
        <f>ROUND($B266*X$227,2)</f>
        <v>-0.01</v>
      </c>
      <c r="Y266" s="42">
        <f>ROUND($B266*Y$227,2)</f>
        <v>0</v>
      </c>
      <c r="Z266" s="42">
        <f>ROUND($B266*Z$227,2)</f>
        <v>0</v>
      </c>
      <c r="AA266" s="42">
        <f>ROUND($B266*AA$227,2)</f>
        <v>0</v>
      </c>
      <c r="AB266" s="19">
        <f>SUM(U$227:AA$227)+(-V$227+V231)</f>
        <v>1.6456999999999999E-2</v>
      </c>
      <c r="AC266" s="94" t="str">
        <f>+F266</f>
        <v>SH9</v>
      </c>
    </row>
    <row r="267" spans="1:29" x14ac:dyDescent="0.2">
      <c r="A267" s="96"/>
      <c r="B267" s="97">
        <v>-1</v>
      </c>
      <c r="C267" s="9"/>
      <c r="F267" s="36"/>
      <c r="G267" s="98"/>
      <c r="H267" s="19"/>
      <c r="I267" s="19"/>
      <c r="J267" s="104"/>
      <c r="K267" s="104"/>
      <c r="L267" s="104"/>
      <c r="M267" s="87"/>
      <c r="N267" s="87"/>
      <c r="O267" s="87"/>
      <c r="P267" s="87"/>
      <c r="Q267" s="87"/>
      <c r="R267" s="87"/>
      <c r="S267" s="50">
        <v>0.1</v>
      </c>
      <c r="T267" s="98"/>
      <c r="U267" s="98"/>
      <c r="V267" s="87"/>
      <c r="W267" s="98"/>
      <c r="X267" s="98"/>
      <c r="Y267" s="98"/>
      <c r="Z267" s="98"/>
      <c r="AA267" s="98"/>
      <c r="AB267" s="19"/>
      <c r="AC267" s="105"/>
    </row>
    <row r="268" spans="1:29" x14ac:dyDescent="0.2">
      <c r="A268" s="96"/>
      <c r="B268" s="103">
        <f>IF(AND('AES Indiana Bill Calc.'!$D$17="SH",'AES Indiana Bill Calc.'!$D$18="Yes 10%",'AES Indiana Bill Calc.'!$D$20="Yes 2019"),'AES Indiana Bill Calc.'!$D$19,-1)</f>
        <v>-1</v>
      </c>
      <c r="C268" s="1" t="s">
        <v>154</v>
      </c>
      <c r="F268" s="36" t="s">
        <v>167</v>
      </c>
      <c r="G268" s="17">
        <f>SUM(J268:M268,O268:P268,R268:AA268)</f>
        <v>54.870000000000005</v>
      </c>
      <c r="H268" s="19" t="e">
        <f>IF(ISBLANK(B268),0,+#REF!/B268)</f>
        <v>#REF!</v>
      </c>
      <c r="I268" s="19"/>
      <c r="J268" s="82">
        <f>IF(ISBLANK(B268),0,+J$227)</f>
        <v>55</v>
      </c>
      <c r="K268" s="82">
        <f>ROUND($B268*K$227,2)</f>
        <v>-0.12</v>
      </c>
      <c r="L268" s="82"/>
      <c r="M268" s="41"/>
      <c r="N268" s="17">
        <f>SUM(K268:L268)</f>
        <v>-0.12</v>
      </c>
      <c r="O268" s="41"/>
      <c r="P268" s="41"/>
      <c r="Q268" s="41"/>
      <c r="R268" s="41"/>
      <c r="S268" s="42">
        <f>ROUND($B268*S$227*S267,2)</f>
        <v>0</v>
      </c>
      <c r="T268" s="42">
        <f>ROUND($B268*T$227,2)</f>
        <v>0</v>
      </c>
      <c r="U268" s="42">
        <f>ROUND($B268*U$227,2)</f>
        <v>0</v>
      </c>
      <c r="V268" s="41">
        <f>ROUND($B268*V$219,2)</f>
        <v>0</v>
      </c>
      <c r="W268" s="42">
        <f>ROUND($B268*W$227,2)</f>
        <v>0</v>
      </c>
      <c r="X268" s="42">
        <f>ROUND($B268*X$227,2)</f>
        <v>-0.01</v>
      </c>
      <c r="Y268" s="42">
        <f>ROUND($B268*Y$227,2)</f>
        <v>0</v>
      </c>
      <c r="Z268" s="42">
        <f>ROUND($B268*Z$227,2)</f>
        <v>0</v>
      </c>
      <c r="AA268" s="42">
        <f>ROUND($B268*AA$227,2)</f>
        <v>0</v>
      </c>
      <c r="AB268" s="19">
        <f>SUM(U$227:AA$227)+(-V$227+V233)</f>
        <v>1.6456999999999999E-2</v>
      </c>
      <c r="AC268" s="94" t="str">
        <f>+F268</f>
        <v>SH9</v>
      </c>
    </row>
    <row r="269" spans="1:29" x14ac:dyDescent="0.2">
      <c r="A269" s="96"/>
      <c r="B269" s="97">
        <v>-1</v>
      </c>
      <c r="C269" s="9"/>
      <c r="F269" s="36"/>
      <c r="G269" s="98"/>
      <c r="H269" s="19"/>
      <c r="I269" s="19"/>
      <c r="J269" s="104"/>
      <c r="K269" s="104"/>
      <c r="L269" s="104"/>
      <c r="M269" s="87"/>
      <c r="N269" s="87"/>
      <c r="O269" s="87"/>
      <c r="P269" s="87"/>
      <c r="Q269" s="87"/>
      <c r="R269" s="87"/>
      <c r="S269" s="50">
        <v>0</v>
      </c>
      <c r="T269" s="98"/>
      <c r="U269" s="98"/>
      <c r="V269" s="87"/>
      <c r="W269" s="98"/>
      <c r="X269" s="98"/>
      <c r="Y269" s="98"/>
      <c r="Z269" s="98"/>
      <c r="AA269" s="98"/>
      <c r="AB269" s="19"/>
      <c r="AC269" s="105"/>
    </row>
    <row r="270" spans="1:29" x14ac:dyDescent="0.2">
      <c r="A270" s="96"/>
      <c r="B270" s="103">
        <f>IF(AND('AES Indiana Bill Calc.'!$D$17="SH",'AES Indiana Bill Calc.'!$D$18="No",'AES Indiana Bill Calc.'!$D$20="Yes 2019"),'AES Indiana Bill Calc.'!$D$19,-1)</f>
        <v>-1</v>
      </c>
      <c r="C270" s="1" t="s">
        <v>137</v>
      </c>
      <c r="F270" s="36" t="s">
        <v>167</v>
      </c>
      <c r="G270" s="17">
        <f>SUM(J270:M270,O270:P270,R270:AA270)</f>
        <v>54.870000000000005</v>
      </c>
      <c r="H270" s="19" t="e">
        <f>IF(ISBLANK(B270),0,+#REF!/B270)</f>
        <v>#REF!</v>
      </c>
      <c r="I270" s="19"/>
      <c r="J270" s="82">
        <f>IF(ISBLANK(B270),0,+J$227)</f>
        <v>55</v>
      </c>
      <c r="K270" s="82">
        <f>ROUND($B270*K$227,2)</f>
        <v>-0.12</v>
      </c>
      <c r="L270" s="82"/>
      <c r="M270" s="41"/>
      <c r="N270" s="17">
        <f>SUM(K270:L270)</f>
        <v>-0.12</v>
      </c>
      <c r="O270" s="41"/>
      <c r="P270" s="41"/>
      <c r="Q270" s="41"/>
      <c r="R270" s="41"/>
      <c r="S270" s="42">
        <f>ROUND($B270*S$227*S269,2)</f>
        <v>0</v>
      </c>
      <c r="T270" s="42">
        <f>ROUND($B270*T$227,2)</f>
        <v>0</v>
      </c>
      <c r="U270" s="42">
        <f>ROUND($B270*U$227,2)</f>
        <v>0</v>
      </c>
      <c r="V270" s="41">
        <f>ROUND($B270*V$219,2)</f>
        <v>0</v>
      </c>
      <c r="W270" s="42">
        <f>ROUND($B270*W$227,2)</f>
        <v>0</v>
      </c>
      <c r="X270" s="42">
        <f>ROUND($B270*X$227,2)</f>
        <v>-0.01</v>
      </c>
      <c r="Y270" s="42">
        <f>ROUND($B270*Y$227,2)</f>
        <v>0</v>
      </c>
      <c r="Z270" s="42">
        <f>ROUND($B270*Z$227,2)</f>
        <v>0</v>
      </c>
      <c r="AA270" s="42">
        <f>ROUND($B270*AA$227,2)</f>
        <v>0</v>
      </c>
      <c r="AB270" s="19">
        <f>SUM(U$227:AA$227)+(-V$227+V235)</f>
        <v>1.6456999999999999E-2</v>
      </c>
      <c r="AC270" s="94" t="str">
        <f>+F270</f>
        <v>SH9</v>
      </c>
    </row>
    <row r="271" spans="1:29" x14ac:dyDescent="0.2">
      <c r="A271" s="96"/>
      <c r="B271" s="97">
        <v>-1</v>
      </c>
      <c r="C271" s="97"/>
      <c r="F271" s="36"/>
      <c r="G271" s="98"/>
      <c r="H271" s="19"/>
      <c r="I271" s="19"/>
      <c r="J271" s="104"/>
      <c r="K271" s="104"/>
      <c r="L271" s="104"/>
      <c r="M271" s="87"/>
      <c r="N271" s="87"/>
      <c r="O271" s="87"/>
      <c r="P271" s="87"/>
      <c r="Q271" s="87"/>
      <c r="R271" s="87"/>
      <c r="S271" s="50">
        <v>1</v>
      </c>
      <c r="T271" s="98"/>
      <c r="U271" s="98"/>
      <c r="V271" s="87"/>
      <c r="W271" s="98"/>
      <c r="X271" s="98"/>
      <c r="Y271" s="98"/>
      <c r="Z271" s="98"/>
      <c r="AA271" s="98"/>
      <c r="AB271" s="19"/>
      <c r="AC271" s="105"/>
    </row>
    <row r="272" spans="1:29" x14ac:dyDescent="0.2">
      <c r="A272" s="96"/>
      <c r="B272" s="103">
        <f>IF(AND('AES Indiana Bill Calc.'!$D$17="SH",'AES Indiana Bill Calc.'!$D$18="Yes 100%",'AES Indiana Bill Calc.'!$D$20="Yes 2020"),'AES Indiana Bill Calc.'!$D$19,-1)</f>
        <v>-1</v>
      </c>
      <c r="C272" s="1" t="s">
        <v>138</v>
      </c>
      <c r="F272" s="36" t="s">
        <v>168</v>
      </c>
      <c r="G272" s="17">
        <f>SUM(J272:M272,O272:P272,R272:AA272)</f>
        <v>54.870000000000005</v>
      </c>
      <c r="H272" s="19" t="e">
        <f>IF(ISBLANK(B272),0,+#REF!/B272)</f>
        <v>#REF!</v>
      </c>
      <c r="I272" s="19"/>
      <c r="J272" s="82">
        <f>IF(ISBLANK(B272),0,+J$227)</f>
        <v>55</v>
      </c>
      <c r="K272" s="82">
        <f>ROUND($B272*K$227,2)</f>
        <v>-0.12</v>
      </c>
      <c r="L272" s="82"/>
      <c r="M272" s="41"/>
      <c r="N272" s="17">
        <f>SUM(K272:L272)</f>
        <v>-0.12</v>
      </c>
      <c r="O272" s="41"/>
      <c r="P272" s="41"/>
      <c r="Q272" s="41"/>
      <c r="R272" s="41"/>
      <c r="S272" s="42">
        <f>ROUND($B272*S$227*S271,2)</f>
        <v>0</v>
      </c>
      <c r="T272" s="42">
        <f>ROUND($B272*T$227,2)</f>
        <v>0</v>
      </c>
      <c r="U272" s="42">
        <f>ROUND($B272*U$227,2)</f>
        <v>0</v>
      </c>
      <c r="V272" s="41">
        <f>ROUND($B272*V$220,2)</f>
        <v>0</v>
      </c>
      <c r="W272" s="42">
        <f>ROUND($B272*W$227,2)</f>
        <v>0</v>
      </c>
      <c r="X272" s="42">
        <f>ROUND($B272*X$227,2)</f>
        <v>-0.01</v>
      </c>
      <c r="Y272" s="42">
        <f>ROUND($B272*Y$227,2)</f>
        <v>0</v>
      </c>
      <c r="Z272" s="42">
        <f>ROUND($B272*Z$227,2)</f>
        <v>0</v>
      </c>
      <c r="AA272" s="42">
        <f>ROUND($B272*AA$227,2)</f>
        <v>0</v>
      </c>
      <c r="AB272" s="19">
        <f>SUM(U$227:AA$227)+(-V$227+V237)</f>
        <v>1.6456999999999999E-2</v>
      </c>
      <c r="AC272" s="94" t="str">
        <f>+F272</f>
        <v>SH0</v>
      </c>
    </row>
    <row r="273" spans="1:29" x14ac:dyDescent="0.2">
      <c r="A273" s="96"/>
      <c r="B273" s="97">
        <v>-1</v>
      </c>
      <c r="C273" s="9"/>
      <c r="F273" s="36"/>
      <c r="G273" s="98"/>
      <c r="H273" s="19"/>
      <c r="I273" s="19"/>
      <c r="J273" s="104"/>
      <c r="K273" s="104"/>
      <c r="L273" s="104"/>
      <c r="M273" s="87"/>
      <c r="N273" s="87"/>
      <c r="O273" s="87"/>
      <c r="P273" s="87"/>
      <c r="Q273" s="87"/>
      <c r="R273" s="87"/>
      <c r="S273" s="50">
        <v>0.5</v>
      </c>
      <c r="T273" s="98"/>
      <c r="U273" s="98"/>
      <c r="V273" s="87"/>
      <c r="W273" s="98"/>
      <c r="X273" s="98"/>
      <c r="Y273" s="98"/>
      <c r="Z273" s="98"/>
      <c r="AA273" s="98"/>
      <c r="AB273" s="19"/>
      <c r="AC273" s="105"/>
    </row>
    <row r="274" spans="1:29" x14ac:dyDescent="0.2">
      <c r="A274" s="96"/>
      <c r="B274" s="103">
        <f>IF(AND('AES Indiana Bill Calc.'!$D$17="SH",'AES Indiana Bill Calc.'!$D$18="Yes 50%",'AES Indiana Bill Calc.'!$D$20="Yes 2020"),'AES Indiana Bill Calc.'!$D$19,-1)</f>
        <v>-1</v>
      </c>
      <c r="C274" s="1" t="s">
        <v>139</v>
      </c>
      <c r="F274" s="36" t="s">
        <v>168</v>
      </c>
      <c r="G274" s="17">
        <f>SUM(J274:M274,O274:P274,R274:AA274)</f>
        <v>54.870000000000005</v>
      </c>
      <c r="H274" s="19" t="e">
        <f>IF(ISBLANK(B274),0,+#REF!/B274)</f>
        <v>#REF!</v>
      </c>
      <c r="I274" s="19"/>
      <c r="J274" s="82">
        <f>IF(ISBLANK(B274),0,+J$227)</f>
        <v>55</v>
      </c>
      <c r="K274" s="82">
        <f>ROUND($B274*K$227,2)</f>
        <v>-0.12</v>
      </c>
      <c r="L274" s="82"/>
      <c r="M274" s="41"/>
      <c r="N274" s="17">
        <f>SUM(K274:L274)</f>
        <v>-0.12</v>
      </c>
      <c r="O274" s="41"/>
      <c r="P274" s="41"/>
      <c r="Q274" s="41"/>
      <c r="R274" s="41"/>
      <c r="S274" s="42">
        <f>ROUND($B274*S$227*S273,2)</f>
        <v>0</v>
      </c>
      <c r="T274" s="42">
        <f>ROUND($B274*T$227,2)</f>
        <v>0</v>
      </c>
      <c r="U274" s="42">
        <f>ROUND($B274*U$227,2)</f>
        <v>0</v>
      </c>
      <c r="V274" s="41">
        <f>ROUND($B274*V$220,2)</f>
        <v>0</v>
      </c>
      <c r="W274" s="42">
        <f>ROUND($B274*W$227,2)</f>
        <v>0</v>
      </c>
      <c r="X274" s="42">
        <f>ROUND($B274*X$227,2)</f>
        <v>-0.01</v>
      </c>
      <c r="Y274" s="42">
        <f>ROUND($B274*Y$227,2)</f>
        <v>0</v>
      </c>
      <c r="Z274" s="42">
        <f>ROUND($B274*Z$227,2)</f>
        <v>0</v>
      </c>
      <c r="AA274" s="42">
        <f>ROUND($B274*AA$227,2)</f>
        <v>0</v>
      </c>
      <c r="AB274" s="19">
        <f>SUM(U$227:AA$227)+(-V$227+V239)</f>
        <v>1.6456999999999999E-2</v>
      </c>
      <c r="AC274" s="94" t="str">
        <f>+F274</f>
        <v>SH0</v>
      </c>
    </row>
    <row r="275" spans="1:29" x14ac:dyDescent="0.2">
      <c r="A275" s="96"/>
      <c r="B275" s="97">
        <v>-1</v>
      </c>
      <c r="C275" s="9"/>
      <c r="F275" s="36"/>
      <c r="G275" s="98"/>
      <c r="H275" s="19"/>
      <c r="I275" s="19"/>
      <c r="J275" s="104"/>
      <c r="K275" s="104"/>
      <c r="L275" s="104"/>
      <c r="M275" s="87"/>
      <c r="N275" s="87"/>
      <c r="O275" s="87"/>
      <c r="P275" s="87"/>
      <c r="Q275" s="87"/>
      <c r="R275" s="87"/>
      <c r="S275" s="50">
        <v>0.25</v>
      </c>
      <c r="T275" s="98"/>
      <c r="U275" s="98"/>
      <c r="V275" s="87"/>
      <c r="W275" s="98"/>
      <c r="X275" s="98"/>
      <c r="Y275" s="98"/>
      <c r="Z275" s="98"/>
      <c r="AA275" s="98"/>
      <c r="AB275" s="19"/>
      <c r="AC275" s="105"/>
    </row>
    <row r="276" spans="1:29" x14ac:dyDescent="0.2">
      <c r="A276" s="96"/>
      <c r="B276" s="103">
        <f>IF(AND('AES Indiana Bill Calc.'!$D$17="SH",'AES Indiana Bill Calc.'!$D$18="Yes 25%",'AES Indiana Bill Calc.'!$D$20="Yes 2020"),'AES Indiana Bill Calc.'!$D$19,-1)</f>
        <v>-1</v>
      </c>
      <c r="C276" s="1" t="s">
        <v>140</v>
      </c>
      <c r="F276" s="36" t="s">
        <v>168</v>
      </c>
      <c r="G276" s="17">
        <f>SUM(J276:M276,O276:P276,R276:AA276)</f>
        <v>54.870000000000005</v>
      </c>
      <c r="H276" s="19" t="e">
        <f>IF(ISBLANK(B276),0,+#REF!/B276)</f>
        <v>#REF!</v>
      </c>
      <c r="I276" s="19"/>
      <c r="J276" s="82">
        <f>IF(ISBLANK(B276),0,+J$227)</f>
        <v>55</v>
      </c>
      <c r="K276" s="82">
        <f>ROUND($B276*K$227,2)</f>
        <v>-0.12</v>
      </c>
      <c r="L276" s="82"/>
      <c r="M276" s="41"/>
      <c r="N276" s="17">
        <f>SUM(K276:L276)</f>
        <v>-0.12</v>
      </c>
      <c r="O276" s="41"/>
      <c r="P276" s="41"/>
      <c r="Q276" s="41"/>
      <c r="R276" s="41"/>
      <c r="S276" s="42">
        <f>ROUND($B276*S$227*S275,2)</f>
        <v>0</v>
      </c>
      <c r="T276" s="42">
        <f>ROUND($B276*T$227,2)</f>
        <v>0</v>
      </c>
      <c r="U276" s="42">
        <f>ROUND($B276*U$227,2)</f>
        <v>0</v>
      </c>
      <c r="V276" s="41">
        <f>ROUND($B276*V$220,2)</f>
        <v>0</v>
      </c>
      <c r="W276" s="42">
        <f>ROUND($B276*W$227,2)</f>
        <v>0</v>
      </c>
      <c r="X276" s="42">
        <f>ROUND($B276*X$227,2)</f>
        <v>-0.01</v>
      </c>
      <c r="Y276" s="42">
        <f>ROUND($B276*Y$227,2)</f>
        <v>0</v>
      </c>
      <c r="Z276" s="42">
        <f>ROUND($B276*Z$227,2)</f>
        <v>0</v>
      </c>
      <c r="AA276" s="42">
        <f>ROUND($B276*AA$227,2)</f>
        <v>0</v>
      </c>
      <c r="AB276" s="19">
        <f>SUM(U$227:AA$227)+(-V$227+V241)</f>
        <v>1.6456999999999999E-2</v>
      </c>
      <c r="AC276" s="94" t="str">
        <f>+F276</f>
        <v>SH0</v>
      </c>
    </row>
    <row r="277" spans="1:29" x14ac:dyDescent="0.2">
      <c r="A277" s="96"/>
      <c r="B277" s="97">
        <v>-1</v>
      </c>
      <c r="C277" s="9"/>
      <c r="F277" s="36"/>
      <c r="G277" s="98"/>
      <c r="H277" s="19"/>
      <c r="I277" s="19"/>
      <c r="J277" s="104"/>
      <c r="K277" s="104"/>
      <c r="L277" s="104"/>
      <c r="M277" s="87"/>
      <c r="N277" s="87"/>
      <c r="O277" s="87"/>
      <c r="P277" s="87"/>
      <c r="Q277" s="87"/>
      <c r="R277" s="87"/>
      <c r="S277" s="50">
        <v>0.1</v>
      </c>
      <c r="T277" s="98"/>
      <c r="U277" s="98"/>
      <c r="V277" s="87"/>
      <c r="W277" s="98"/>
      <c r="X277" s="98"/>
      <c r="Y277" s="98"/>
      <c r="Z277" s="98"/>
      <c r="AA277" s="98"/>
      <c r="AB277" s="19"/>
      <c r="AC277" s="105"/>
    </row>
    <row r="278" spans="1:29" x14ac:dyDescent="0.2">
      <c r="A278" s="96"/>
      <c r="B278" s="103">
        <f>IF(AND('AES Indiana Bill Calc.'!$D$17="SH",'AES Indiana Bill Calc.'!$D$18="Yes 10%",'AES Indiana Bill Calc.'!$D$20="Yes 2020"),'AES Indiana Bill Calc.'!$D$19,-1)</f>
        <v>-1</v>
      </c>
      <c r="C278" s="1" t="s">
        <v>154</v>
      </c>
      <c r="F278" s="36" t="s">
        <v>168</v>
      </c>
      <c r="G278" s="17">
        <f>SUM(J278:M278,O278:P278,R278:AA278)</f>
        <v>54.870000000000005</v>
      </c>
      <c r="H278" s="19" t="e">
        <f>IF(ISBLANK(B278),0,+#REF!/B278)</f>
        <v>#REF!</v>
      </c>
      <c r="I278" s="19"/>
      <c r="J278" s="82">
        <f>IF(ISBLANK(B278),0,+J$227)</f>
        <v>55</v>
      </c>
      <c r="K278" s="82">
        <f>ROUND($B278*K$227,2)</f>
        <v>-0.12</v>
      </c>
      <c r="L278" s="82"/>
      <c r="M278" s="41"/>
      <c r="N278" s="17">
        <f>SUM(K278:L278)</f>
        <v>-0.12</v>
      </c>
      <c r="O278" s="41"/>
      <c r="P278" s="41"/>
      <c r="Q278" s="41"/>
      <c r="R278" s="41"/>
      <c r="S278" s="42">
        <f>ROUND($B278*S$227*S277,2)</f>
        <v>0</v>
      </c>
      <c r="T278" s="42">
        <f>ROUND($B278*T$227,2)</f>
        <v>0</v>
      </c>
      <c r="U278" s="42">
        <f>ROUND($B278*U$227,2)</f>
        <v>0</v>
      </c>
      <c r="V278" s="41">
        <f>ROUND($B278*V$220,2)</f>
        <v>0</v>
      </c>
      <c r="W278" s="42">
        <f>ROUND($B278*W$227,2)</f>
        <v>0</v>
      </c>
      <c r="X278" s="42">
        <f>ROUND($B278*X$227,2)</f>
        <v>-0.01</v>
      </c>
      <c r="Y278" s="42">
        <f>ROUND($B278*Y$227,2)</f>
        <v>0</v>
      </c>
      <c r="Z278" s="42">
        <f>ROUND($B278*Z$227,2)</f>
        <v>0</v>
      </c>
      <c r="AA278" s="42">
        <f>ROUND($B278*AA$227,2)</f>
        <v>0</v>
      </c>
      <c r="AB278" s="19">
        <f>SUM(U$227:AA$227)+(-V$227+V243)</f>
        <v>1.6456999999999999E-2</v>
      </c>
      <c r="AC278" s="94" t="str">
        <f>+F278</f>
        <v>SH0</v>
      </c>
    </row>
    <row r="279" spans="1:29" x14ac:dyDescent="0.2">
      <c r="A279" s="96"/>
      <c r="B279" s="97">
        <v>-1</v>
      </c>
      <c r="C279" s="9"/>
      <c r="F279" s="36"/>
      <c r="G279" s="98"/>
      <c r="H279" s="19"/>
      <c r="I279" s="19"/>
      <c r="J279" s="104"/>
      <c r="K279" s="104"/>
      <c r="L279" s="104"/>
      <c r="M279" s="87"/>
      <c r="N279" s="87"/>
      <c r="O279" s="87"/>
      <c r="P279" s="87"/>
      <c r="Q279" s="87"/>
      <c r="R279" s="87"/>
      <c r="S279" s="50">
        <v>0</v>
      </c>
      <c r="T279" s="98"/>
      <c r="U279" s="98"/>
      <c r="V279" s="87"/>
      <c r="W279" s="98"/>
      <c r="X279" s="98"/>
      <c r="Y279" s="98"/>
      <c r="Z279" s="98"/>
      <c r="AA279" s="98"/>
      <c r="AB279" s="19"/>
      <c r="AC279" s="105"/>
    </row>
    <row r="280" spans="1:29" x14ac:dyDescent="0.2">
      <c r="A280" s="96"/>
      <c r="B280" s="103">
        <f>IF(AND('AES Indiana Bill Calc.'!$D$17="SH",'AES Indiana Bill Calc.'!$D$18="No",'AES Indiana Bill Calc.'!$D$20="Yes 2020"),'AES Indiana Bill Calc.'!$D$19,-1)</f>
        <v>-1</v>
      </c>
      <c r="C280" s="1" t="s">
        <v>137</v>
      </c>
      <c r="F280" s="36" t="s">
        <v>168</v>
      </c>
      <c r="G280" s="17">
        <f>SUM(J280:M280,O280:P280,R280:AA280)</f>
        <v>54.870000000000005</v>
      </c>
      <c r="H280" s="19" t="e">
        <f>IF(ISBLANK(B280),0,+#REF!/B280)</f>
        <v>#REF!</v>
      </c>
      <c r="I280" s="19"/>
      <c r="J280" s="82">
        <f>IF(ISBLANK(B280),0,+J$227)</f>
        <v>55</v>
      </c>
      <c r="K280" s="82">
        <f>ROUND($B280*K$227,2)</f>
        <v>-0.12</v>
      </c>
      <c r="L280" s="82"/>
      <c r="M280" s="41"/>
      <c r="N280" s="17">
        <f>SUM(K280:L280)</f>
        <v>-0.12</v>
      </c>
      <c r="O280" s="41"/>
      <c r="P280" s="41"/>
      <c r="Q280" s="41"/>
      <c r="R280" s="41"/>
      <c r="S280" s="42">
        <f>ROUND($B280*S$227*S279,2)</f>
        <v>0</v>
      </c>
      <c r="T280" s="42">
        <f>ROUND($B280*T$227,2)</f>
        <v>0</v>
      </c>
      <c r="U280" s="42">
        <f>ROUND($B280*U$227,2)</f>
        <v>0</v>
      </c>
      <c r="V280" s="41">
        <f>ROUND($B280*V$220,2)</f>
        <v>0</v>
      </c>
      <c r="W280" s="42">
        <f>ROUND($B280*W$227,2)</f>
        <v>0</v>
      </c>
      <c r="X280" s="42">
        <f>ROUND($B280*X$227,2)</f>
        <v>-0.01</v>
      </c>
      <c r="Y280" s="42">
        <f>ROUND($B280*Y$227,2)</f>
        <v>0</v>
      </c>
      <c r="Z280" s="42">
        <f>ROUND($B280*Z$227,2)</f>
        <v>0</v>
      </c>
      <c r="AA280" s="42">
        <f>ROUND($B280*AA$227,2)</f>
        <v>0</v>
      </c>
      <c r="AB280" s="19">
        <f>SUM(U$227:AA$227)+(-V$227+V245)</f>
        <v>1.6456999999999999E-2</v>
      </c>
      <c r="AC280" s="94" t="str">
        <f>+F280</f>
        <v>SH0</v>
      </c>
    </row>
    <row r="281" spans="1:29" x14ac:dyDescent="0.2">
      <c r="A281" s="96"/>
      <c r="B281" s="97">
        <v>-1</v>
      </c>
      <c r="C281" s="97"/>
      <c r="F281" s="36"/>
      <c r="G281" s="98"/>
      <c r="H281" s="19"/>
      <c r="I281" s="19"/>
      <c r="J281" s="104"/>
      <c r="K281" s="104"/>
      <c r="L281" s="104"/>
      <c r="M281" s="87"/>
      <c r="N281" s="87"/>
      <c r="O281" s="87"/>
      <c r="P281" s="87"/>
      <c r="Q281" s="87"/>
      <c r="R281" s="87"/>
      <c r="S281" s="50">
        <v>1</v>
      </c>
      <c r="T281" s="98"/>
      <c r="U281" s="98"/>
      <c r="V281" s="87"/>
      <c r="W281" s="98"/>
      <c r="X281" s="98"/>
      <c r="Y281" s="98"/>
      <c r="Z281" s="98"/>
      <c r="AA281" s="98"/>
      <c r="AB281" s="19"/>
      <c r="AC281" s="105"/>
    </row>
    <row r="282" spans="1:29" x14ac:dyDescent="0.2">
      <c r="A282" s="96"/>
      <c r="B282" s="103">
        <f>IF(AND('AES Indiana Bill Calc.'!$D$17="SH",'AES Indiana Bill Calc.'!$D$18="Yes 100%",'AES Indiana Bill Calc.'!$D$20="Yes 2021"),'AES Indiana Bill Calc.'!$D$19,-1)</f>
        <v>-1</v>
      </c>
      <c r="C282" s="1" t="s">
        <v>138</v>
      </c>
      <c r="F282" s="36" t="s">
        <v>169</v>
      </c>
      <c r="G282" s="17">
        <f>SUM(J282:M282,O282:P282,R282:AA282)</f>
        <v>54.870000000000005</v>
      </c>
      <c r="H282" s="19" t="e">
        <f>IF(ISBLANK(B282),0,+#REF!/B282)</f>
        <v>#REF!</v>
      </c>
      <c r="I282" s="19"/>
      <c r="J282" s="82">
        <f>IF(ISBLANK(B282),0,+J$227)</f>
        <v>55</v>
      </c>
      <c r="K282" s="82">
        <f>ROUND($B282*K$227,2)</f>
        <v>-0.12</v>
      </c>
      <c r="L282" s="82"/>
      <c r="M282" s="41"/>
      <c r="N282" s="17">
        <f>SUM(K282:L282)</f>
        <v>-0.12</v>
      </c>
      <c r="O282" s="41"/>
      <c r="P282" s="41"/>
      <c r="Q282" s="41"/>
      <c r="R282" s="41"/>
      <c r="S282" s="42">
        <f>ROUND($B282*S$227*S281,2)</f>
        <v>0</v>
      </c>
      <c r="T282" s="42">
        <f>ROUND($B282*T$227,2)</f>
        <v>0</v>
      </c>
      <c r="U282" s="42">
        <f>ROUND($B282*U$227,2)</f>
        <v>0</v>
      </c>
      <c r="V282" s="41">
        <f>ROUND($B282*V$221,2)</f>
        <v>0</v>
      </c>
      <c r="W282" s="42">
        <f>ROUND($B282*W$227,2)</f>
        <v>0</v>
      </c>
      <c r="X282" s="42">
        <f>ROUND($B282*X$227,2)</f>
        <v>-0.01</v>
      </c>
      <c r="Y282" s="42">
        <f>ROUND($B282*Y$227,2)</f>
        <v>0</v>
      </c>
      <c r="Z282" s="42">
        <f>ROUND($B282*Z$227,2)</f>
        <v>0</v>
      </c>
      <c r="AA282" s="42">
        <f>ROUND($B282*AA$227,2)</f>
        <v>0</v>
      </c>
      <c r="AB282" s="19">
        <f>SUM(U$227:AA$227)+(-V$227+V247)</f>
        <v>1.6456999999999999E-2</v>
      </c>
      <c r="AC282" s="94" t="str">
        <f>+F282</f>
        <v>SH1</v>
      </c>
    </row>
    <row r="283" spans="1:29" x14ac:dyDescent="0.2">
      <c r="A283" s="96"/>
      <c r="B283" s="97">
        <v>-1</v>
      </c>
      <c r="C283" s="9"/>
      <c r="F283" s="36"/>
      <c r="G283" s="98"/>
      <c r="H283" s="19"/>
      <c r="I283" s="19"/>
      <c r="J283" s="104"/>
      <c r="K283" s="104"/>
      <c r="L283" s="104"/>
      <c r="M283" s="87"/>
      <c r="N283" s="87"/>
      <c r="O283" s="87"/>
      <c r="P283" s="87"/>
      <c r="Q283" s="87"/>
      <c r="R283" s="87"/>
      <c r="S283" s="50">
        <v>0.5</v>
      </c>
      <c r="T283" s="98"/>
      <c r="U283" s="98"/>
      <c r="V283" s="87"/>
      <c r="W283" s="98"/>
      <c r="X283" s="98"/>
      <c r="Y283" s="98"/>
      <c r="Z283" s="98"/>
      <c r="AA283" s="98"/>
      <c r="AB283" s="19"/>
      <c r="AC283" s="105"/>
    </row>
    <row r="284" spans="1:29" x14ac:dyDescent="0.2">
      <c r="A284" s="96"/>
      <c r="B284" s="103">
        <f>IF(AND('AES Indiana Bill Calc.'!$D$17="SH",'AES Indiana Bill Calc.'!$D$18="Yes 50%",'AES Indiana Bill Calc.'!$D$20="Yes 2021"),'AES Indiana Bill Calc.'!$D$19,-1)</f>
        <v>-1</v>
      </c>
      <c r="C284" s="1" t="s">
        <v>139</v>
      </c>
      <c r="F284" s="36" t="s">
        <v>169</v>
      </c>
      <c r="G284" s="17">
        <f>SUM(J284:M284,O284:P284,R284:AA284)</f>
        <v>54.870000000000005</v>
      </c>
      <c r="H284" s="19" t="e">
        <f>IF(ISBLANK(B284),0,+#REF!/B284)</f>
        <v>#REF!</v>
      </c>
      <c r="I284" s="19"/>
      <c r="J284" s="82">
        <f>IF(ISBLANK(B284),0,+J$227)</f>
        <v>55</v>
      </c>
      <c r="K284" s="82">
        <f>ROUND($B284*K$227,2)</f>
        <v>-0.12</v>
      </c>
      <c r="L284" s="82"/>
      <c r="M284" s="41"/>
      <c r="N284" s="17">
        <f>SUM(K284:L284)</f>
        <v>-0.12</v>
      </c>
      <c r="O284" s="41"/>
      <c r="P284" s="41"/>
      <c r="Q284" s="41"/>
      <c r="R284" s="41"/>
      <c r="S284" s="42">
        <f>ROUND($B284*S$227*S283,2)</f>
        <v>0</v>
      </c>
      <c r="T284" s="42">
        <f>ROUND($B284*T$227,2)</f>
        <v>0</v>
      </c>
      <c r="U284" s="42">
        <f>ROUND($B284*U$227,2)</f>
        <v>0</v>
      </c>
      <c r="V284" s="41">
        <f>ROUND($B284*V$221,2)</f>
        <v>0</v>
      </c>
      <c r="W284" s="42">
        <f>ROUND($B284*W$227,2)</f>
        <v>0</v>
      </c>
      <c r="X284" s="42">
        <f>ROUND($B284*X$227,2)</f>
        <v>-0.01</v>
      </c>
      <c r="Y284" s="42">
        <f>ROUND($B284*Y$227,2)</f>
        <v>0</v>
      </c>
      <c r="Z284" s="42">
        <f>ROUND($B284*Z$227,2)</f>
        <v>0</v>
      </c>
      <c r="AA284" s="42">
        <f>ROUND($B284*AA$227,2)</f>
        <v>0</v>
      </c>
      <c r="AB284" s="19">
        <f>SUM(U$227:AA$227)+(-V$227+V249)</f>
        <v>1.6456999999999999E-2</v>
      </c>
      <c r="AC284" s="94" t="str">
        <f>+F284</f>
        <v>SH1</v>
      </c>
    </row>
    <row r="285" spans="1:29" x14ac:dyDescent="0.2">
      <c r="A285" s="96"/>
      <c r="B285" s="97">
        <v>-1</v>
      </c>
      <c r="C285" s="9"/>
      <c r="F285" s="36"/>
      <c r="G285" s="98"/>
      <c r="H285" s="19"/>
      <c r="I285" s="19"/>
      <c r="J285" s="104"/>
      <c r="K285" s="104"/>
      <c r="L285" s="104"/>
      <c r="M285" s="87"/>
      <c r="N285" s="87"/>
      <c r="O285" s="87"/>
      <c r="P285" s="87"/>
      <c r="Q285" s="87"/>
      <c r="R285" s="87"/>
      <c r="S285" s="50">
        <v>0.25</v>
      </c>
      <c r="T285" s="98"/>
      <c r="U285" s="98"/>
      <c r="V285" s="87"/>
      <c r="W285" s="98"/>
      <c r="X285" s="98"/>
      <c r="Y285" s="98"/>
      <c r="Z285" s="98"/>
      <c r="AA285" s="98"/>
      <c r="AB285" s="19"/>
      <c r="AC285" s="105"/>
    </row>
    <row r="286" spans="1:29" x14ac:dyDescent="0.2">
      <c r="A286" s="96"/>
      <c r="B286" s="103">
        <f>IF(AND('AES Indiana Bill Calc.'!$D$17="SH",'AES Indiana Bill Calc.'!$D$18="Yes 25%",'AES Indiana Bill Calc.'!$D$20="Yes 2021"),'AES Indiana Bill Calc.'!$D$19,-1)</f>
        <v>-1</v>
      </c>
      <c r="C286" s="1" t="s">
        <v>140</v>
      </c>
      <c r="F286" s="36" t="s">
        <v>169</v>
      </c>
      <c r="G286" s="17">
        <f>SUM(J286:M286,O286:P286,R286:AA286)</f>
        <v>54.870000000000005</v>
      </c>
      <c r="H286" s="19" t="e">
        <f>IF(ISBLANK(B286),0,+#REF!/B286)</f>
        <v>#REF!</v>
      </c>
      <c r="I286" s="19"/>
      <c r="J286" s="82">
        <f>IF(ISBLANK(B286),0,+J$227)</f>
        <v>55</v>
      </c>
      <c r="K286" s="82">
        <f>ROUND($B286*K$227,2)</f>
        <v>-0.12</v>
      </c>
      <c r="L286" s="82"/>
      <c r="M286" s="41"/>
      <c r="N286" s="17">
        <f>SUM(K286:L286)</f>
        <v>-0.12</v>
      </c>
      <c r="O286" s="41"/>
      <c r="P286" s="41"/>
      <c r="Q286" s="41"/>
      <c r="R286" s="41"/>
      <c r="S286" s="42">
        <f>ROUND($B286*S$227*S285,2)</f>
        <v>0</v>
      </c>
      <c r="T286" s="42">
        <f>ROUND($B286*T$227,2)</f>
        <v>0</v>
      </c>
      <c r="U286" s="42">
        <f>ROUND($B286*U$227,2)</f>
        <v>0</v>
      </c>
      <c r="V286" s="41">
        <f>ROUND($B286*V$221,2)</f>
        <v>0</v>
      </c>
      <c r="W286" s="42">
        <f>ROUND($B286*W$227,2)</f>
        <v>0</v>
      </c>
      <c r="X286" s="42">
        <f>ROUND($B286*X$227,2)</f>
        <v>-0.01</v>
      </c>
      <c r="Y286" s="42">
        <f>ROUND($B286*Y$227,2)</f>
        <v>0</v>
      </c>
      <c r="Z286" s="42">
        <f>ROUND($B286*Z$227,2)</f>
        <v>0</v>
      </c>
      <c r="AA286" s="42">
        <f>ROUND($B286*AA$227,2)</f>
        <v>0</v>
      </c>
      <c r="AB286" s="19">
        <f>SUM(U$227:AA$227)+(-V$227+V251)</f>
        <v>1.6456999999999999E-2</v>
      </c>
      <c r="AC286" s="94" t="str">
        <f>+F286</f>
        <v>SH1</v>
      </c>
    </row>
    <row r="287" spans="1:29" x14ac:dyDescent="0.2">
      <c r="A287" s="96"/>
      <c r="B287" s="97">
        <v>-1</v>
      </c>
      <c r="C287" s="9"/>
      <c r="F287" s="36"/>
      <c r="G287" s="98"/>
      <c r="H287" s="19"/>
      <c r="I287" s="19"/>
      <c r="J287" s="104"/>
      <c r="K287" s="104"/>
      <c r="L287" s="104"/>
      <c r="M287" s="87"/>
      <c r="N287" s="87"/>
      <c r="O287" s="87"/>
      <c r="P287" s="87"/>
      <c r="Q287" s="87"/>
      <c r="R287" s="87"/>
      <c r="S287" s="50">
        <v>0.1</v>
      </c>
      <c r="T287" s="98"/>
      <c r="U287" s="98"/>
      <c r="V287" s="87"/>
      <c r="W287" s="98"/>
      <c r="X287" s="98"/>
      <c r="Y287" s="98"/>
      <c r="Z287" s="98"/>
      <c r="AA287" s="98"/>
      <c r="AB287" s="19"/>
      <c r="AC287" s="105"/>
    </row>
    <row r="288" spans="1:29" x14ac:dyDescent="0.2">
      <c r="A288" s="96"/>
      <c r="B288" s="103">
        <f>IF(AND('AES Indiana Bill Calc.'!$D$17="SH",'AES Indiana Bill Calc.'!$D$18="Yes 10%",'AES Indiana Bill Calc.'!$D$20="Yes 2021"),'AES Indiana Bill Calc.'!$D$19,-1)</f>
        <v>-1</v>
      </c>
      <c r="C288" s="1" t="s">
        <v>154</v>
      </c>
      <c r="F288" s="36" t="s">
        <v>169</v>
      </c>
      <c r="G288" s="17">
        <f>SUM(J288:M288,O288:P288,R288:AA288)</f>
        <v>54.870000000000005</v>
      </c>
      <c r="H288" s="19" t="e">
        <f>IF(ISBLANK(B288),0,+#REF!/B288)</f>
        <v>#REF!</v>
      </c>
      <c r="I288" s="19"/>
      <c r="J288" s="82">
        <f>IF(ISBLANK(B288),0,+J$227)</f>
        <v>55</v>
      </c>
      <c r="K288" s="82">
        <f>ROUND($B288*K$227,2)</f>
        <v>-0.12</v>
      </c>
      <c r="L288" s="82"/>
      <c r="M288" s="41"/>
      <c r="N288" s="17">
        <f>SUM(K288:L288)</f>
        <v>-0.12</v>
      </c>
      <c r="O288" s="41"/>
      <c r="P288" s="41"/>
      <c r="Q288" s="41"/>
      <c r="R288" s="41"/>
      <c r="S288" s="42">
        <f>ROUND($B288*S$227*S287,2)</f>
        <v>0</v>
      </c>
      <c r="T288" s="42">
        <f>ROUND($B288*T$227,2)</f>
        <v>0</v>
      </c>
      <c r="U288" s="42">
        <f>ROUND($B288*U$227,2)</f>
        <v>0</v>
      </c>
      <c r="V288" s="41">
        <f>ROUND($B288*V$221,2)</f>
        <v>0</v>
      </c>
      <c r="W288" s="42">
        <f>ROUND($B288*W$227,2)</f>
        <v>0</v>
      </c>
      <c r="X288" s="42">
        <f>ROUND($B288*X$227,2)</f>
        <v>-0.01</v>
      </c>
      <c r="Y288" s="42">
        <f>ROUND($B288*Y$227,2)</f>
        <v>0</v>
      </c>
      <c r="Z288" s="42">
        <f>ROUND($B288*Z$227,2)</f>
        <v>0</v>
      </c>
      <c r="AA288" s="42">
        <f>ROUND($B288*AA$227,2)</f>
        <v>0</v>
      </c>
      <c r="AB288" s="19">
        <f>SUM(U$227:AA$227)+(-V$227+V253)</f>
        <v>1.6456999999999999E-2</v>
      </c>
      <c r="AC288" s="94" t="str">
        <f>+F288</f>
        <v>SH1</v>
      </c>
    </row>
    <row r="289" spans="1:29" x14ac:dyDescent="0.2">
      <c r="A289" s="96"/>
      <c r="B289" s="97">
        <v>-1</v>
      </c>
      <c r="C289" s="9"/>
      <c r="F289" s="36"/>
      <c r="G289" s="98"/>
      <c r="H289" s="19"/>
      <c r="I289" s="19"/>
      <c r="J289" s="104"/>
      <c r="K289" s="104"/>
      <c r="L289" s="104"/>
      <c r="M289" s="87"/>
      <c r="N289" s="87"/>
      <c r="O289" s="87"/>
      <c r="P289" s="87"/>
      <c r="Q289" s="87"/>
      <c r="R289" s="87"/>
      <c r="S289" s="50">
        <v>0</v>
      </c>
      <c r="T289" s="98"/>
      <c r="U289" s="98"/>
      <c r="V289" s="87"/>
      <c r="W289" s="98"/>
      <c r="X289" s="98"/>
      <c r="Y289" s="98"/>
      <c r="Z289" s="98"/>
      <c r="AA289" s="98"/>
      <c r="AB289" s="19"/>
      <c r="AC289" s="105"/>
    </row>
    <row r="290" spans="1:29" x14ac:dyDescent="0.2">
      <c r="A290" s="96"/>
      <c r="B290" s="103">
        <f>IF(AND('AES Indiana Bill Calc.'!$D$17="SH",'AES Indiana Bill Calc.'!$D$18="No",'AES Indiana Bill Calc.'!$D$20="Yes 2021"),'AES Indiana Bill Calc.'!$D$19,-1)</f>
        <v>-1</v>
      </c>
      <c r="C290" s="1" t="s">
        <v>137</v>
      </c>
      <c r="F290" s="36" t="s">
        <v>169</v>
      </c>
      <c r="G290" s="17">
        <f>SUM(J290:M290,O290:P290,R290:AA290)</f>
        <v>54.870000000000005</v>
      </c>
      <c r="H290" s="19" t="e">
        <f>IF(ISBLANK(B290),0,+#REF!/B290)</f>
        <v>#REF!</v>
      </c>
      <c r="I290" s="19"/>
      <c r="J290" s="82">
        <f>IF(ISBLANK(B290),0,+J$227)</f>
        <v>55</v>
      </c>
      <c r="K290" s="82">
        <f>ROUND($B290*K$227,2)</f>
        <v>-0.12</v>
      </c>
      <c r="L290" s="82"/>
      <c r="M290" s="41"/>
      <c r="N290" s="17">
        <f>SUM(K290:L290)</f>
        <v>-0.12</v>
      </c>
      <c r="O290" s="41"/>
      <c r="P290" s="41"/>
      <c r="Q290" s="41"/>
      <c r="R290" s="41"/>
      <c r="S290" s="42">
        <f>ROUND($B290*S$227*S289,2)</f>
        <v>0</v>
      </c>
      <c r="T290" s="42">
        <f>ROUND($B290*T$227,2)</f>
        <v>0</v>
      </c>
      <c r="U290" s="42">
        <f>ROUND($B290*U$227,2)</f>
        <v>0</v>
      </c>
      <c r="V290" s="41">
        <f>ROUND($B290*V$221,2)</f>
        <v>0</v>
      </c>
      <c r="W290" s="42">
        <f>ROUND($B290*W$227,2)</f>
        <v>0</v>
      </c>
      <c r="X290" s="42">
        <f>ROUND($B290*X$227,2)</f>
        <v>-0.01</v>
      </c>
      <c r="Y290" s="42">
        <f>ROUND($B290*Y$227,2)</f>
        <v>0</v>
      </c>
      <c r="Z290" s="42">
        <f>ROUND($B290*Z$227,2)</f>
        <v>0</v>
      </c>
      <c r="AA290" s="42">
        <f>ROUND($B290*AA$227,2)</f>
        <v>0</v>
      </c>
      <c r="AB290" s="19">
        <f>SUM(U$227:AA$227)+(-V$227+V255)</f>
        <v>1.6456999999999999E-2</v>
      </c>
      <c r="AC290" s="94" t="str">
        <f>+F290</f>
        <v>SH1</v>
      </c>
    </row>
    <row r="291" spans="1:29" x14ac:dyDescent="0.2">
      <c r="A291" s="96"/>
      <c r="B291" s="97">
        <v>-1</v>
      </c>
      <c r="C291" s="97"/>
      <c r="F291" s="36"/>
      <c r="G291" s="98"/>
      <c r="H291" s="19"/>
      <c r="I291" s="19"/>
      <c r="J291" s="104"/>
      <c r="K291" s="104"/>
      <c r="L291" s="104"/>
      <c r="M291" s="87"/>
      <c r="N291" s="87"/>
      <c r="O291" s="87"/>
      <c r="P291" s="87"/>
      <c r="Q291" s="87"/>
      <c r="R291" s="87"/>
      <c r="S291" s="50">
        <v>1</v>
      </c>
      <c r="T291" s="98"/>
      <c r="U291" s="98"/>
      <c r="V291" s="87"/>
      <c r="W291" s="98"/>
      <c r="X291" s="98"/>
      <c r="Y291" s="98"/>
      <c r="Z291" s="98"/>
      <c r="AA291" s="98"/>
      <c r="AB291" s="19"/>
      <c r="AC291" s="105"/>
    </row>
    <row r="292" spans="1:29" x14ac:dyDescent="0.2">
      <c r="A292" s="96"/>
      <c r="B292" s="103">
        <f>IF(AND('AES Indiana Bill Calc.'!$D$17="SH",'AES Indiana Bill Calc.'!$D$18="Yes 100%",'AES Indiana Bill Calc.'!$D$20="Yes 2022"),'AES Indiana Bill Calc.'!$D$19,-1)</f>
        <v>-1</v>
      </c>
      <c r="C292" s="1" t="s">
        <v>138</v>
      </c>
      <c r="F292" s="36" t="s">
        <v>170</v>
      </c>
      <c r="G292" s="17">
        <f>SUM(J292:M292,O292:P292,R292:AA292)</f>
        <v>54.870000000000005</v>
      </c>
      <c r="H292" s="19" t="e">
        <f>IF(ISBLANK(B292),0,+#REF!/B292)</f>
        <v>#REF!</v>
      </c>
      <c r="I292" s="19"/>
      <c r="J292" s="82">
        <f>IF(ISBLANK(B292),0,+J$227)</f>
        <v>55</v>
      </c>
      <c r="K292" s="82">
        <f>ROUND($B292*K$227,2)</f>
        <v>-0.12</v>
      </c>
      <c r="L292" s="82"/>
      <c r="M292" s="41"/>
      <c r="N292" s="17">
        <f>SUM(K292:L292)</f>
        <v>-0.12</v>
      </c>
      <c r="O292" s="41"/>
      <c r="P292" s="41"/>
      <c r="Q292" s="41"/>
      <c r="R292" s="41"/>
      <c r="S292" s="42">
        <f>ROUND($B292*S$227*S291,2)</f>
        <v>0</v>
      </c>
      <c r="T292" s="42">
        <f>ROUND($B292*T$227,2)</f>
        <v>0</v>
      </c>
      <c r="U292" s="42">
        <f>ROUND($B292*U$227,2)</f>
        <v>0</v>
      </c>
      <c r="V292" s="41">
        <f>ROUND($B292*V$222,2)</f>
        <v>0</v>
      </c>
      <c r="W292" s="42">
        <f>ROUND($B292*W$227,2)</f>
        <v>0</v>
      </c>
      <c r="X292" s="42">
        <f>ROUND($B292*X$227,2)</f>
        <v>-0.01</v>
      </c>
      <c r="Y292" s="42">
        <f>ROUND($B292*Y$227,2)</f>
        <v>0</v>
      </c>
      <c r="Z292" s="42">
        <f>ROUND($B292*Z$227,2)</f>
        <v>0</v>
      </c>
      <c r="AA292" s="42">
        <f>ROUND($B292*AA$227,2)</f>
        <v>0</v>
      </c>
      <c r="AB292" s="19">
        <f>SUM(U$227:AA$227)+(-V$227+V257)</f>
        <v>1.6456999999999999E-2</v>
      </c>
      <c r="AC292" s="94" t="str">
        <f>+F292</f>
        <v>SH2</v>
      </c>
    </row>
    <row r="293" spans="1:29" x14ac:dyDescent="0.2">
      <c r="A293" s="96"/>
      <c r="B293" s="97">
        <v>-1</v>
      </c>
      <c r="C293" s="9"/>
      <c r="F293" s="36"/>
      <c r="G293" s="98"/>
      <c r="H293" s="19"/>
      <c r="I293" s="19"/>
      <c r="J293" s="104"/>
      <c r="K293" s="104"/>
      <c r="L293" s="104"/>
      <c r="M293" s="87"/>
      <c r="N293" s="87"/>
      <c r="O293" s="87"/>
      <c r="P293" s="87"/>
      <c r="Q293" s="87"/>
      <c r="R293" s="87"/>
      <c r="S293" s="50">
        <v>0.5</v>
      </c>
      <c r="T293" s="98"/>
      <c r="U293" s="98"/>
      <c r="V293" s="87"/>
      <c r="W293" s="98"/>
      <c r="X293" s="98"/>
      <c r="Y293" s="98"/>
      <c r="Z293" s="98"/>
      <c r="AA293" s="98"/>
      <c r="AB293" s="19"/>
      <c r="AC293" s="105"/>
    </row>
    <row r="294" spans="1:29" x14ac:dyDescent="0.2">
      <c r="A294" s="96"/>
      <c r="B294" s="103">
        <f>IF(AND('AES Indiana Bill Calc.'!$D$17="SH",'AES Indiana Bill Calc.'!$D$18="Yes 50%",'AES Indiana Bill Calc.'!$D$20="Yes 2022"),'AES Indiana Bill Calc.'!$D$19,-1)</f>
        <v>-1</v>
      </c>
      <c r="C294" s="1" t="s">
        <v>139</v>
      </c>
      <c r="F294" s="36" t="s">
        <v>170</v>
      </c>
      <c r="G294" s="17">
        <f>SUM(J294:M294,O294:P294,R294:AA294)</f>
        <v>54.870000000000005</v>
      </c>
      <c r="H294" s="19" t="e">
        <f>IF(ISBLANK(B294),0,+#REF!/B294)</f>
        <v>#REF!</v>
      </c>
      <c r="I294" s="19"/>
      <c r="J294" s="82">
        <f>IF(ISBLANK(B294),0,+J$227)</f>
        <v>55</v>
      </c>
      <c r="K294" s="82">
        <f>ROUND($B294*K$227,2)</f>
        <v>-0.12</v>
      </c>
      <c r="L294" s="82"/>
      <c r="M294" s="41"/>
      <c r="N294" s="17">
        <f>SUM(K294:L294)</f>
        <v>-0.12</v>
      </c>
      <c r="O294" s="41"/>
      <c r="P294" s="41"/>
      <c r="Q294" s="41"/>
      <c r="R294" s="41"/>
      <c r="S294" s="42">
        <f>ROUND($B294*S$227*S293,2)</f>
        <v>0</v>
      </c>
      <c r="T294" s="42">
        <f>ROUND($B294*T$227,2)</f>
        <v>0</v>
      </c>
      <c r="U294" s="42">
        <f>ROUND($B294*U$227,2)</f>
        <v>0</v>
      </c>
      <c r="V294" s="41">
        <f>ROUND($B294*V$222,2)</f>
        <v>0</v>
      </c>
      <c r="W294" s="42">
        <f>ROUND($B294*W$227,2)</f>
        <v>0</v>
      </c>
      <c r="X294" s="42">
        <f>ROUND($B294*X$227,2)</f>
        <v>-0.01</v>
      </c>
      <c r="Y294" s="42">
        <f>ROUND($B294*Y$227,2)</f>
        <v>0</v>
      </c>
      <c r="Z294" s="42">
        <f>ROUND($B294*Z$227,2)</f>
        <v>0</v>
      </c>
      <c r="AA294" s="42">
        <f>ROUND($B294*AA$227,2)</f>
        <v>0</v>
      </c>
      <c r="AB294" s="19">
        <f>SUM(U$227:AA$227)+(-V$227+V259)</f>
        <v>1.6456999999999999E-2</v>
      </c>
      <c r="AC294" s="94" t="str">
        <f>+F294</f>
        <v>SH2</v>
      </c>
    </row>
    <row r="295" spans="1:29" x14ac:dyDescent="0.2">
      <c r="A295" s="96"/>
      <c r="B295" s="97">
        <v>-1</v>
      </c>
      <c r="C295" s="9"/>
      <c r="F295" s="36"/>
      <c r="G295" s="98"/>
      <c r="H295" s="19"/>
      <c r="I295" s="19"/>
      <c r="J295" s="104"/>
      <c r="K295" s="104"/>
      <c r="L295" s="104"/>
      <c r="M295" s="87"/>
      <c r="N295" s="87"/>
      <c r="O295" s="87"/>
      <c r="P295" s="87"/>
      <c r="Q295" s="87"/>
      <c r="R295" s="87"/>
      <c r="S295" s="50">
        <v>0.25</v>
      </c>
      <c r="T295" s="98"/>
      <c r="U295" s="98"/>
      <c r="V295" s="87"/>
      <c r="W295" s="98"/>
      <c r="X295" s="98"/>
      <c r="Y295" s="98"/>
      <c r="Z295" s="98"/>
      <c r="AA295" s="98"/>
      <c r="AB295" s="19"/>
      <c r="AC295" s="105"/>
    </row>
    <row r="296" spans="1:29" x14ac:dyDescent="0.2">
      <c r="A296" s="96"/>
      <c r="B296" s="103">
        <f>IF(AND('AES Indiana Bill Calc.'!$D$17="SH",'AES Indiana Bill Calc.'!$D$18="Yes 25%",'AES Indiana Bill Calc.'!$D$20="Yes 2022"),'AES Indiana Bill Calc.'!$D$19,-1)</f>
        <v>-1</v>
      </c>
      <c r="C296" s="1" t="s">
        <v>140</v>
      </c>
      <c r="F296" s="36" t="s">
        <v>170</v>
      </c>
      <c r="G296" s="17">
        <f>SUM(J296:M296,O296:P296,R296:AA296)</f>
        <v>54.870000000000005</v>
      </c>
      <c r="H296" s="19" t="e">
        <f>IF(ISBLANK(B296),0,+#REF!/B296)</f>
        <v>#REF!</v>
      </c>
      <c r="I296" s="19"/>
      <c r="J296" s="82">
        <f>IF(ISBLANK(B296),0,+J$227)</f>
        <v>55</v>
      </c>
      <c r="K296" s="82">
        <f>ROUND($B296*K$227,2)</f>
        <v>-0.12</v>
      </c>
      <c r="L296" s="82"/>
      <c r="M296" s="41"/>
      <c r="N296" s="17">
        <f>SUM(K296:L296)</f>
        <v>-0.12</v>
      </c>
      <c r="O296" s="41"/>
      <c r="P296" s="41"/>
      <c r="Q296" s="41"/>
      <c r="R296" s="41"/>
      <c r="S296" s="42">
        <f>ROUND($B296*S$227*S295,2)</f>
        <v>0</v>
      </c>
      <c r="T296" s="42">
        <f>ROUND($B296*T$227,2)</f>
        <v>0</v>
      </c>
      <c r="U296" s="42">
        <f>ROUND($B296*U$227,2)</f>
        <v>0</v>
      </c>
      <c r="V296" s="41">
        <f>ROUND($B296*V$222,2)</f>
        <v>0</v>
      </c>
      <c r="W296" s="42">
        <f>ROUND($B296*W$227,2)</f>
        <v>0</v>
      </c>
      <c r="X296" s="42">
        <f>ROUND($B296*X$227,2)</f>
        <v>-0.01</v>
      </c>
      <c r="Y296" s="42">
        <f>ROUND($B296*Y$227,2)</f>
        <v>0</v>
      </c>
      <c r="Z296" s="42">
        <f>ROUND($B296*Z$227,2)</f>
        <v>0</v>
      </c>
      <c r="AA296" s="42">
        <f>ROUND($B296*AA$227,2)</f>
        <v>0</v>
      </c>
      <c r="AB296" s="19">
        <f>SUM(U$227:AA$227)+(-V$227+V261)</f>
        <v>1.6456999999999999E-2</v>
      </c>
      <c r="AC296" s="94" t="str">
        <f>+F296</f>
        <v>SH2</v>
      </c>
    </row>
    <row r="297" spans="1:29" x14ac:dyDescent="0.2">
      <c r="A297" s="96"/>
      <c r="B297" s="97">
        <v>-1</v>
      </c>
      <c r="C297" s="9"/>
      <c r="F297" s="36"/>
      <c r="G297" s="98"/>
      <c r="H297" s="19"/>
      <c r="I297" s="19"/>
      <c r="J297" s="104"/>
      <c r="K297" s="104"/>
      <c r="L297" s="104"/>
      <c r="M297" s="87"/>
      <c r="N297" s="87"/>
      <c r="O297" s="87"/>
      <c r="P297" s="87"/>
      <c r="Q297" s="87"/>
      <c r="R297" s="87"/>
      <c r="S297" s="50">
        <v>0.1</v>
      </c>
      <c r="T297" s="98"/>
      <c r="U297" s="98"/>
      <c r="V297" s="87"/>
      <c r="W297" s="98"/>
      <c r="X297" s="98"/>
      <c r="Y297" s="98"/>
      <c r="Z297" s="98"/>
      <c r="AA297" s="98"/>
      <c r="AB297" s="19"/>
      <c r="AC297" s="105"/>
    </row>
    <row r="298" spans="1:29" x14ac:dyDescent="0.2">
      <c r="A298" s="96"/>
      <c r="B298" s="103">
        <f>IF(AND('AES Indiana Bill Calc.'!$D$17="SH",'AES Indiana Bill Calc.'!$D$18="Yes 10%",'AES Indiana Bill Calc.'!$D$20="Yes 2022"),'AES Indiana Bill Calc.'!$D$19,-1)</f>
        <v>-1</v>
      </c>
      <c r="C298" s="1" t="s">
        <v>154</v>
      </c>
      <c r="F298" s="36" t="s">
        <v>170</v>
      </c>
      <c r="G298" s="17">
        <f>SUM(J298:M298,O298:P298,R298:AA298)</f>
        <v>54.870000000000005</v>
      </c>
      <c r="H298" s="19" t="e">
        <f>IF(ISBLANK(B298),0,+#REF!/B298)</f>
        <v>#REF!</v>
      </c>
      <c r="I298" s="19"/>
      <c r="J298" s="82">
        <f>IF(ISBLANK(B298),0,+J$227)</f>
        <v>55</v>
      </c>
      <c r="K298" s="82">
        <f>ROUND($B298*K$227,2)</f>
        <v>-0.12</v>
      </c>
      <c r="L298" s="82"/>
      <c r="M298" s="41"/>
      <c r="N298" s="17">
        <f>SUM(K298:L298)</f>
        <v>-0.12</v>
      </c>
      <c r="O298" s="41"/>
      <c r="P298" s="41"/>
      <c r="Q298" s="41"/>
      <c r="R298" s="41"/>
      <c r="S298" s="42">
        <f>ROUND($B298*S$227*S297,2)</f>
        <v>0</v>
      </c>
      <c r="T298" s="42">
        <f>ROUND($B298*T$227,2)</f>
        <v>0</v>
      </c>
      <c r="U298" s="42">
        <f>ROUND($B298*U$227,2)</f>
        <v>0</v>
      </c>
      <c r="V298" s="41">
        <f>ROUND($B298*V$222,2)</f>
        <v>0</v>
      </c>
      <c r="W298" s="42">
        <f>ROUND($B298*W$227,2)</f>
        <v>0</v>
      </c>
      <c r="X298" s="42">
        <f>ROUND($B298*X$227,2)</f>
        <v>-0.01</v>
      </c>
      <c r="Y298" s="42">
        <f>ROUND($B298*Y$227,2)</f>
        <v>0</v>
      </c>
      <c r="Z298" s="42">
        <f>ROUND($B298*Z$227,2)</f>
        <v>0</v>
      </c>
      <c r="AA298" s="42">
        <f>ROUND($B298*AA$227,2)</f>
        <v>0</v>
      </c>
      <c r="AB298" s="19">
        <f>SUM(U$227:AA$227)+(-V$227+V263)</f>
        <v>1.6456999999999999E-2</v>
      </c>
      <c r="AC298" s="94" t="str">
        <f>+F298</f>
        <v>SH2</v>
      </c>
    </row>
    <row r="299" spans="1:29" x14ac:dyDescent="0.2">
      <c r="A299" s="96"/>
      <c r="B299" s="97">
        <v>-1</v>
      </c>
      <c r="C299" s="9"/>
      <c r="F299" s="36"/>
      <c r="G299" s="98"/>
      <c r="H299" s="19"/>
      <c r="I299" s="19"/>
      <c r="J299" s="104"/>
      <c r="K299" s="104"/>
      <c r="L299" s="104"/>
      <c r="M299" s="87"/>
      <c r="N299" s="87"/>
      <c r="O299" s="87"/>
      <c r="P299" s="87"/>
      <c r="Q299" s="87"/>
      <c r="R299" s="87"/>
      <c r="S299" s="50">
        <v>0</v>
      </c>
      <c r="T299" s="98"/>
      <c r="U299" s="98"/>
      <c r="V299" s="87"/>
      <c r="W299" s="98"/>
      <c r="X299" s="98"/>
      <c r="Y299" s="98"/>
      <c r="Z299" s="98"/>
      <c r="AA299" s="98"/>
      <c r="AB299" s="19"/>
      <c r="AC299" s="105"/>
    </row>
    <row r="300" spans="1:29" x14ac:dyDescent="0.2">
      <c r="A300" s="96"/>
      <c r="B300" s="103">
        <f>IF(AND('AES Indiana Bill Calc.'!$D$17="SH",'AES Indiana Bill Calc.'!$D$18="No",'AES Indiana Bill Calc.'!$D$20="Yes 2022"),'AES Indiana Bill Calc.'!$D$19,-1)</f>
        <v>-1</v>
      </c>
      <c r="C300" s="1" t="s">
        <v>137</v>
      </c>
      <c r="F300" s="36" t="s">
        <v>170</v>
      </c>
      <c r="G300" s="17">
        <f>SUM(J300:M300,O300:P300,R300:AA300)</f>
        <v>54.870000000000005</v>
      </c>
      <c r="H300" s="19" t="e">
        <f>IF(ISBLANK(B300),0,+#REF!/B300)</f>
        <v>#REF!</v>
      </c>
      <c r="I300" s="19"/>
      <c r="J300" s="82">
        <f>IF(ISBLANK(B300),0,+J$227)</f>
        <v>55</v>
      </c>
      <c r="K300" s="82">
        <f>ROUND($B300*K$227,2)</f>
        <v>-0.12</v>
      </c>
      <c r="L300" s="82"/>
      <c r="M300" s="41"/>
      <c r="N300" s="17">
        <f>SUM(K300:L300)</f>
        <v>-0.12</v>
      </c>
      <c r="O300" s="41"/>
      <c r="P300" s="41"/>
      <c r="Q300" s="41"/>
      <c r="R300" s="41"/>
      <c r="S300" s="42">
        <f>ROUND($B300*S$227*S299,2)</f>
        <v>0</v>
      </c>
      <c r="T300" s="42">
        <f>ROUND($B300*T$227,2)</f>
        <v>0</v>
      </c>
      <c r="U300" s="42">
        <f>ROUND($B300*U$227,2)</f>
        <v>0</v>
      </c>
      <c r="V300" s="41">
        <f>ROUND($B300*V$222,2)</f>
        <v>0</v>
      </c>
      <c r="W300" s="42">
        <f>ROUND($B300*W$227,2)</f>
        <v>0</v>
      </c>
      <c r="X300" s="42">
        <f>ROUND($B300*X$227,2)</f>
        <v>-0.01</v>
      </c>
      <c r="Y300" s="42">
        <f>ROUND($B300*Y$227,2)</f>
        <v>0</v>
      </c>
      <c r="Z300" s="42">
        <f>ROUND($B300*Z$227,2)</f>
        <v>0</v>
      </c>
      <c r="AA300" s="42">
        <f>ROUND($B300*AA$227,2)</f>
        <v>0</v>
      </c>
      <c r="AB300" s="19">
        <f>SUM(U$227:AA$227)+(-V$227+V265)</f>
        <v>1.6456999999999999E-2</v>
      </c>
      <c r="AC300" s="94" t="str">
        <f>+F300</f>
        <v>SH2</v>
      </c>
    </row>
    <row r="301" spans="1:29" x14ac:dyDescent="0.2">
      <c r="A301" s="96"/>
      <c r="B301" s="103">
        <v>-1</v>
      </c>
      <c r="C301" s="1"/>
      <c r="F301" s="36"/>
      <c r="G301" s="17"/>
      <c r="H301" s="19"/>
      <c r="I301" s="19"/>
      <c r="J301" s="82"/>
      <c r="K301" s="82"/>
      <c r="L301" s="82"/>
      <c r="M301" s="41"/>
      <c r="N301" s="17"/>
      <c r="O301" s="41"/>
      <c r="P301" s="41"/>
      <c r="Q301" s="41"/>
      <c r="R301" s="41"/>
      <c r="S301" s="50">
        <v>1</v>
      </c>
      <c r="T301" s="42"/>
      <c r="U301" s="42"/>
      <c r="V301" s="41"/>
      <c r="W301" s="42"/>
      <c r="X301" s="42"/>
      <c r="Y301" s="42"/>
      <c r="Z301" s="42"/>
      <c r="AA301" s="42"/>
      <c r="AB301" s="19"/>
      <c r="AC301" s="94"/>
    </row>
    <row r="302" spans="1:29" x14ac:dyDescent="0.2">
      <c r="A302" s="96"/>
      <c r="B302" s="103">
        <f>IF(AND('AES Indiana Bill Calc.'!$D$17="SH",'AES Indiana Bill Calc.'!$D$18="Yes 100%",'AES Indiana Bill Calc.'!$D$20="Yes 2023"),'AES Indiana Bill Calc.'!$D$19,-1)</f>
        <v>-1</v>
      </c>
      <c r="C302" s="1" t="s">
        <v>138</v>
      </c>
      <c r="F302" s="36" t="s">
        <v>171</v>
      </c>
      <c r="G302" s="17">
        <f>SUM(J302:M302,O302:P302,R302:AA302)</f>
        <v>54.870000000000005</v>
      </c>
      <c r="H302" s="19" t="e">
        <f>IF(ISBLANK(B302),0,+#REF!/B302)</f>
        <v>#REF!</v>
      </c>
      <c r="I302" s="19"/>
      <c r="J302" s="82">
        <f>IF(ISBLANK(B302),0,+J$227)</f>
        <v>55</v>
      </c>
      <c r="K302" s="82">
        <f>ROUND($B302*K$227,2)</f>
        <v>-0.12</v>
      </c>
      <c r="L302" s="82"/>
      <c r="M302" s="41"/>
      <c r="N302" s="17">
        <f>SUM(K302:L302)</f>
        <v>-0.12</v>
      </c>
      <c r="O302" s="41"/>
      <c r="P302" s="41"/>
      <c r="Q302" s="41"/>
      <c r="R302" s="41"/>
      <c r="S302" s="42">
        <f>ROUND($B302*S$227*S301,2)</f>
        <v>0</v>
      </c>
      <c r="T302" s="42">
        <f>ROUND($B302*T$227,2)</f>
        <v>0</v>
      </c>
      <c r="U302" s="42">
        <f>ROUND($B302*U$227,2)</f>
        <v>0</v>
      </c>
      <c r="V302" s="41">
        <f>ROUND($B302*V$222,2)</f>
        <v>0</v>
      </c>
      <c r="W302" s="42">
        <f>ROUND($B302*W$227,2)</f>
        <v>0</v>
      </c>
      <c r="X302" s="42">
        <f>ROUND($B302*X$227,2)</f>
        <v>-0.01</v>
      </c>
      <c r="Y302" s="42">
        <f>ROUND($B302*Y$227,2)</f>
        <v>0</v>
      </c>
      <c r="Z302" s="42">
        <f>ROUND($B302*Z$227,2)</f>
        <v>0</v>
      </c>
      <c r="AA302" s="42">
        <f>ROUND($B302*AA$227,2)</f>
        <v>0</v>
      </c>
      <c r="AB302" s="19">
        <f>SUM(U$227:AA$227)+(-V$227+V267)</f>
        <v>1.6456999999999999E-2</v>
      </c>
      <c r="AC302" s="94" t="str">
        <f>+F302</f>
        <v>SH3</v>
      </c>
    </row>
    <row r="303" spans="1:29" x14ac:dyDescent="0.2">
      <c r="A303" s="96"/>
      <c r="B303" s="97">
        <v>-1</v>
      </c>
      <c r="C303" s="9"/>
      <c r="F303" s="36"/>
      <c r="G303" s="98"/>
      <c r="H303" s="19"/>
      <c r="I303" s="19"/>
      <c r="J303" s="104"/>
      <c r="K303" s="104"/>
      <c r="L303" s="104"/>
      <c r="M303" s="87"/>
      <c r="N303" s="87"/>
      <c r="O303" s="87"/>
      <c r="P303" s="87"/>
      <c r="Q303" s="87"/>
      <c r="R303" s="87"/>
      <c r="S303" s="50">
        <v>0.5</v>
      </c>
      <c r="T303" s="98"/>
      <c r="U303" s="98"/>
      <c r="V303" s="87"/>
      <c r="W303" s="98"/>
      <c r="X303" s="98"/>
      <c r="Y303" s="98"/>
      <c r="Z303" s="98"/>
      <c r="AA303" s="98"/>
      <c r="AB303" s="19"/>
      <c r="AC303" s="105"/>
    </row>
    <row r="304" spans="1:29" x14ac:dyDescent="0.2">
      <c r="A304" s="96"/>
      <c r="B304" s="103">
        <f>IF(AND('AES Indiana Bill Calc.'!$D$17="SH",'AES Indiana Bill Calc.'!$D$18="Yes 50%",'AES Indiana Bill Calc.'!$D$20="Yes 2023"),'AES Indiana Bill Calc.'!$D$19,-1)</f>
        <v>-1</v>
      </c>
      <c r="C304" s="1" t="s">
        <v>139</v>
      </c>
      <c r="F304" s="36" t="s">
        <v>171</v>
      </c>
      <c r="G304" s="17">
        <f>SUM(J304:M304,O304:P304,R304:AA304)</f>
        <v>54.870000000000005</v>
      </c>
      <c r="H304" s="19" t="e">
        <f>IF(ISBLANK(B304),0,+#REF!/B304)</f>
        <v>#REF!</v>
      </c>
      <c r="I304" s="19"/>
      <c r="J304" s="82">
        <f>IF(ISBLANK(B304),0,+J$227)</f>
        <v>55</v>
      </c>
      <c r="K304" s="82">
        <f>ROUND($B304*K$227,2)</f>
        <v>-0.12</v>
      </c>
      <c r="L304" s="82"/>
      <c r="M304" s="41"/>
      <c r="N304" s="17">
        <f>SUM(K304:L304)</f>
        <v>-0.12</v>
      </c>
      <c r="O304" s="41"/>
      <c r="P304" s="41"/>
      <c r="Q304" s="41"/>
      <c r="R304" s="41"/>
      <c r="S304" s="42">
        <f>ROUND($B304*S$227*S303,2)</f>
        <v>0</v>
      </c>
      <c r="T304" s="42">
        <f>ROUND($B304*T$227,2)</f>
        <v>0</v>
      </c>
      <c r="U304" s="42">
        <f>ROUND($B304*U$227,2)</f>
        <v>0</v>
      </c>
      <c r="V304" s="41">
        <f>ROUND($B304*V$223,2)</f>
        <v>0</v>
      </c>
      <c r="W304" s="42">
        <f>ROUND($B304*W$227,2)</f>
        <v>0</v>
      </c>
      <c r="X304" s="42">
        <f>ROUND($B304*X$227,2)</f>
        <v>-0.01</v>
      </c>
      <c r="Y304" s="42">
        <f>ROUND($B304*Y$227,2)</f>
        <v>0</v>
      </c>
      <c r="Z304" s="42">
        <f>ROUND($B304*Z$227,2)</f>
        <v>0</v>
      </c>
      <c r="AA304" s="42">
        <f>ROUND($B304*AA$227,2)</f>
        <v>0</v>
      </c>
      <c r="AB304" s="19">
        <f>SUM(U$227:AA$227)+(-V$227+V269)</f>
        <v>1.6456999999999999E-2</v>
      </c>
      <c r="AC304" s="94" t="str">
        <f>+F304</f>
        <v>SH3</v>
      </c>
    </row>
    <row r="305" spans="1:29" x14ac:dyDescent="0.2">
      <c r="A305" s="96"/>
      <c r="B305" s="97">
        <v>-1</v>
      </c>
      <c r="C305" s="9"/>
      <c r="F305" s="36"/>
      <c r="G305" s="98"/>
      <c r="H305" s="19"/>
      <c r="I305" s="19"/>
      <c r="J305" s="104"/>
      <c r="K305" s="104"/>
      <c r="L305" s="104"/>
      <c r="M305" s="87"/>
      <c r="N305" s="87"/>
      <c r="O305" s="87"/>
      <c r="P305" s="87"/>
      <c r="Q305" s="87"/>
      <c r="R305" s="87"/>
      <c r="S305" s="50">
        <v>0.25</v>
      </c>
      <c r="T305" s="98"/>
      <c r="U305" s="98"/>
      <c r="V305" s="87"/>
      <c r="W305" s="98"/>
      <c r="X305" s="98"/>
      <c r="Y305" s="98"/>
      <c r="Z305" s="98"/>
      <c r="AA305" s="98"/>
      <c r="AB305" s="19"/>
      <c r="AC305" s="105"/>
    </row>
    <row r="306" spans="1:29" x14ac:dyDescent="0.2">
      <c r="A306" s="96"/>
      <c r="B306" s="103">
        <f>IF(AND('AES Indiana Bill Calc.'!$D$17="SH",'AES Indiana Bill Calc.'!$D$18="Yes 25%",'AES Indiana Bill Calc.'!$D$20="Yes 2023"),'AES Indiana Bill Calc.'!$D$19,-1)</f>
        <v>-1</v>
      </c>
      <c r="C306" s="1" t="s">
        <v>140</v>
      </c>
      <c r="F306" s="36" t="s">
        <v>171</v>
      </c>
      <c r="G306" s="17">
        <f>SUM(J306:M306,O306:P306,R306:AA306)</f>
        <v>54.870000000000005</v>
      </c>
      <c r="H306" s="19" t="e">
        <f>IF(ISBLANK(B306),0,+#REF!/B306)</f>
        <v>#REF!</v>
      </c>
      <c r="I306" s="19"/>
      <c r="J306" s="82">
        <f>IF(ISBLANK(B306),0,+J$227)</f>
        <v>55</v>
      </c>
      <c r="K306" s="82">
        <f>ROUND($B306*K$227,2)</f>
        <v>-0.12</v>
      </c>
      <c r="L306" s="82"/>
      <c r="M306" s="41"/>
      <c r="N306" s="17">
        <f>SUM(K306:L306)</f>
        <v>-0.12</v>
      </c>
      <c r="O306" s="41"/>
      <c r="P306" s="41"/>
      <c r="Q306" s="41"/>
      <c r="R306" s="41"/>
      <c r="S306" s="42">
        <f>ROUND($B306*S$227*S305,2)</f>
        <v>0</v>
      </c>
      <c r="T306" s="42">
        <f>ROUND($B306*T$227,2)</f>
        <v>0</v>
      </c>
      <c r="U306" s="42">
        <f>ROUND($B306*U$227,2)</f>
        <v>0</v>
      </c>
      <c r="V306" s="41">
        <f>ROUND($B306*V$223,2)</f>
        <v>0</v>
      </c>
      <c r="W306" s="42">
        <f>ROUND($B306*W$227,2)</f>
        <v>0</v>
      </c>
      <c r="X306" s="42">
        <f>ROUND($B306*X$227,2)</f>
        <v>-0.01</v>
      </c>
      <c r="Y306" s="42">
        <f>ROUND($B306*Y$227,2)</f>
        <v>0</v>
      </c>
      <c r="Z306" s="42">
        <f>ROUND($B306*Z$227,2)</f>
        <v>0</v>
      </c>
      <c r="AA306" s="42">
        <f>ROUND($B306*AA$227,2)</f>
        <v>0</v>
      </c>
      <c r="AB306" s="19">
        <f>SUM(U$227:AA$227)+(-V$227+V271)</f>
        <v>1.6456999999999999E-2</v>
      </c>
      <c r="AC306" s="94" t="str">
        <f>+F306</f>
        <v>SH3</v>
      </c>
    </row>
    <row r="307" spans="1:29" x14ac:dyDescent="0.2">
      <c r="A307" s="96"/>
      <c r="B307" s="97">
        <v>-1</v>
      </c>
      <c r="C307" s="9"/>
      <c r="F307" s="36"/>
      <c r="G307" s="98"/>
      <c r="H307" s="19"/>
      <c r="I307" s="19"/>
      <c r="J307" s="104"/>
      <c r="K307" s="104"/>
      <c r="L307" s="104"/>
      <c r="M307" s="87"/>
      <c r="N307" s="87"/>
      <c r="O307" s="87"/>
      <c r="P307" s="87"/>
      <c r="Q307" s="87"/>
      <c r="R307" s="87"/>
      <c r="S307" s="50">
        <v>0.1</v>
      </c>
      <c r="T307" s="98"/>
      <c r="U307" s="98"/>
      <c r="V307" s="87"/>
      <c r="W307" s="98"/>
      <c r="X307" s="98"/>
      <c r="Y307" s="98"/>
      <c r="Z307" s="98"/>
      <c r="AA307" s="98"/>
      <c r="AB307" s="19"/>
      <c r="AC307" s="105"/>
    </row>
    <row r="308" spans="1:29" x14ac:dyDescent="0.2">
      <c r="A308" s="96"/>
      <c r="B308" s="103">
        <f>IF(AND('AES Indiana Bill Calc.'!$D$17="SH",'AES Indiana Bill Calc.'!$D$18="Yes 10%",'AES Indiana Bill Calc.'!$D$20="Yes 2023"),'AES Indiana Bill Calc.'!$D$19,-1)</f>
        <v>-1</v>
      </c>
      <c r="C308" s="1" t="s">
        <v>154</v>
      </c>
      <c r="F308" s="36" t="s">
        <v>171</v>
      </c>
      <c r="G308" s="17">
        <f>SUM(J308:M308,O308:P308,R308:AA308)</f>
        <v>54.870000000000005</v>
      </c>
      <c r="H308" s="19" t="e">
        <f>IF(ISBLANK(B308),0,+#REF!/B308)</f>
        <v>#REF!</v>
      </c>
      <c r="I308" s="19"/>
      <c r="J308" s="82">
        <f>IF(ISBLANK(B308),0,+J$227)</f>
        <v>55</v>
      </c>
      <c r="K308" s="82">
        <f>ROUND($B308*K$227,2)</f>
        <v>-0.12</v>
      </c>
      <c r="L308" s="82"/>
      <c r="M308" s="41"/>
      <c r="N308" s="17">
        <f>SUM(K308:L308)</f>
        <v>-0.12</v>
      </c>
      <c r="O308" s="41"/>
      <c r="P308" s="41"/>
      <c r="Q308" s="41"/>
      <c r="R308" s="41"/>
      <c r="S308" s="42">
        <f>ROUND($B308*S$227*S307,2)</f>
        <v>0</v>
      </c>
      <c r="T308" s="42">
        <f>ROUND($B308*T$227,2)</f>
        <v>0</v>
      </c>
      <c r="U308" s="42">
        <f>ROUND($B308*U$227,2)</f>
        <v>0</v>
      </c>
      <c r="V308" s="41">
        <f>ROUND($B308*V$223,2)</f>
        <v>0</v>
      </c>
      <c r="W308" s="42">
        <f>ROUND($B308*W$227,2)</f>
        <v>0</v>
      </c>
      <c r="X308" s="42">
        <f>ROUND($B308*X$227,2)</f>
        <v>-0.01</v>
      </c>
      <c r="Y308" s="42">
        <f>ROUND($B308*Y$227,2)</f>
        <v>0</v>
      </c>
      <c r="Z308" s="42">
        <f>ROUND($B308*Z$227,2)</f>
        <v>0</v>
      </c>
      <c r="AA308" s="42">
        <f>ROUND($B308*AA$227,2)</f>
        <v>0</v>
      </c>
      <c r="AB308" s="19">
        <f>SUM(U$227:AA$227)+(-V$227+V273)</f>
        <v>1.6456999999999999E-2</v>
      </c>
      <c r="AC308" s="94" t="str">
        <f>+F308</f>
        <v>SH3</v>
      </c>
    </row>
    <row r="309" spans="1:29" x14ac:dyDescent="0.2">
      <c r="A309" s="96"/>
      <c r="B309" s="97">
        <v>-1</v>
      </c>
      <c r="C309" s="9"/>
      <c r="F309" s="36"/>
      <c r="G309" s="98"/>
      <c r="H309" s="19"/>
      <c r="I309" s="19"/>
      <c r="J309" s="104"/>
      <c r="K309" s="104"/>
      <c r="L309" s="104"/>
      <c r="M309" s="87"/>
      <c r="N309" s="87"/>
      <c r="O309" s="87"/>
      <c r="P309" s="87"/>
      <c r="Q309" s="87"/>
      <c r="R309" s="87"/>
      <c r="S309" s="50">
        <v>0</v>
      </c>
      <c r="T309" s="98"/>
      <c r="U309" s="98"/>
      <c r="V309" s="87"/>
      <c r="W309" s="98"/>
      <c r="X309" s="98"/>
      <c r="Y309" s="98"/>
      <c r="Z309" s="98"/>
      <c r="AA309" s="98"/>
      <c r="AB309" s="19"/>
      <c r="AC309" s="105"/>
    </row>
    <row r="310" spans="1:29" x14ac:dyDescent="0.2">
      <c r="A310" s="96"/>
      <c r="B310" s="103">
        <f>IF(AND('AES Indiana Bill Calc.'!$D$17="SH",'AES Indiana Bill Calc.'!$D$18="No",'AES Indiana Bill Calc.'!$D$20="Yes 2023"),'AES Indiana Bill Calc.'!$D$19,-1)</f>
        <v>-1</v>
      </c>
      <c r="C310" s="1" t="s">
        <v>137</v>
      </c>
      <c r="F310" s="36" t="s">
        <v>171</v>
      </c>
      <c r="G310" s="17">
        <f>SUM(J310:M310,O310:P310,R310:AA310)</f>
        <v>54.870000000000005</v>
      </c>
      <c r="H310" s="19" t="e">
        <f>IF(ISBLANK(B310),0,+#REF!/B310)</f>
        <v>#REF!</v>
      </c>
      <c r="I310" s="19"/>
      <c r="J310" s="82">
        <f>IF(ISBLANK(B310),0,+J$227)</f>
        <v>55</v>
      </c>
      <c r="K310" s="82">
        <f>ROUND($B310*K$227,2)</f>
        <v>-0.12</v>
      </c>
      <c r="L310" s="82"/>
      <c r="M310" s="41"/>
      <c r="N310" s="17">
        <f>SUM(K310:L310)</f>
        <v>-0.12</v>
      </c>
      <c r="O310" s="41"/>
      <c r="P310" s="41"/>
      <c r="Q310" s="41"/>
      <c r="R310" s="41"/>
      <c r="S310" s="42">
        <f>ROUND($B310*S$227*S309,2)</f>
        <v>0</v>
      </c>
      <c r="T310" s="42">
        <f>ROUND($B310*T$227,2)</f>
        <v>0</v>
      </c>
      <c r="U310" s="42">
        <f>ROUND($B310*U$227,2)</f>
        <v>0</v>
      </c>
      <c r="V310" s="41">
        <f>ROUND($B310*V$223,2)</f>
        <v>0</v>
      </c>
      <c r="W310" s="42">
        <f>ROUND($B310*W$227,2)</f>
        <v>0</v>
      </c>
      <c r="X310" s="42">
        <f>ROUND($B310*X$227,2)</f>
        <v>-0.01</v>
      </c>
      <c r="Y310" s="42">
        <f>ROUND($B310*Y$227,2)</f>
        <v>0</v>
      </c>
      <c r="Z310" s="42">
        <f>ROUND($B310*Z$227,2)</f>
        <v>0</v>
      </c>
      <c r="AA310" s="42">
        <f>ROUND($B310*AA$227,2)</f>
        <v>0</v>
      </c>
      <c r="AB310" s="19">
        <f>SUM(U$227:AA$227)+(-V$227+V275)</f>
        <v>1.6456999999999999E-2</v>
      </c>
      <c r="AC310" s="94" t="str">
        <f>+F310</f>
        <v>SH3</v>
      </c>
    </row>
    <row r="311" spans="1:29" x14ac:dyDescent="0.2">
      <c r="A311" s="96"/>
      <c r="B311" s="103">
        <v>-1</v>
      </c>
      <c r="C311" s="1"/>
      <c r="F311" s="36"/>
      <c r="G311" s="17"/>
      <c r="H311" s="19"/>
      <c r="I311" s="19"/>
      <c r="J311" s="82"/>
      <c r="K311" s="82"/>
      <c r="L311" s="82"/>
      <c r="M311" s="41"/>
      <c r="N311" s="17"/>
      <c r="O311" s="41"/>
      <c r="P311" s="41"/>
      <c r="Q311" s="41"/>
      <c r="R311" s="41"/>
      <c r="S311" s="50">
        <v>1</v>
      </c>
      <c r="T311" s="42"/>
      <c r="U311" s="42"/>
      <c r="V311" s="41"/>
      <c r="W311" s="42"/>
      <c r="X311" s="42"/>
      <c r="Y311" s="42"/>
      <c r="Z311" s="42"/>
      <c r="AA311" s="42"/>
      <c r="AB311" s="19"/>
      <c r="AC311" s="94"/>
    </row>
    <row r="312" spans="1:29" x14ac:dyDescent="0.2">
      <c r="A312" s="96"/>
      <c r="B312" s="103">
        <f>IF(AND('AES Indiana Bill Calc.'!$D$17="SH",'AES Indiana Bill Calc.'!$D$18="Yes 100%",'AES Indiana Bill Calc.'!$D$20="Yes 2024"),'AES Indiana Bill Calc.'!$D$19,-1)</f>
        <v>-1</v>
      </c>
      <c r="C312" s="1" t="s">
        <v>138</v>
      </c>
      <c r="F312" s="36" t="s">
        <v>292</v>
      </c>
      <c r="G312" s="17">
        <f>SUM(J312:M312,O312:P312,R312:AA312)</f>
        <v>54.870000000000005</v>
      </c>
      <c r="H312" s="19" t="e">
        <f>IF(ISBLANK(B312),0,+#REF!/B312)</f>
        <v>#REF!</v>
      </c>
      <c r="I312" s="19"/>
      <c r="J312" s="82">
        <f>IF(ISBLANK(B312),0,+J$227)</f>
        <v>55</v>
      </c>
      <c r="K312" s="82">
        <f>ROUND($B312*K$227,2)</f>
        <v>-0.12</v>
      </c>
      <c r="L312" s="82"/>
      <c r="M312" s="41"/>
      <c r="N312" s="17">
        <f>SUM(K312:L312)</f>
        <v>-0.12</v>
      </c>
      <c r="O312" s="41"/>
      <c r="P312" s="41"/>
      <c r="Q312" s="41"/>
      <c r="R312" s="41"/>
      <c r="S312" s="42">
        <f>ROUND($B312*S$227*S311,2)</f>
        <v>0</v>
      </c>
      <c r="T312" s="42">
        <f>ROUND($B312*T$227,2)</f>
        <v>0</v>
      </c>
      <c r="U312" s="42">
        <f>ROUND($B312*U$227,2)</f>
        <v>0</v>
      </c>
      <c r="V312" s="41">
        <f>ROUND($B312*V$224,2)</f>
        <v>0</v>
      </c>
      <c r="W312" s="42">
        <f>ROUND($B312*W$227,2)</f>
        <v>0</v>
      </c>
      <c r="X312" s="42">
        <f>ROUND($B312*X$227,2)</f>
        <v>-0.01</v>
      </c>
      <c r="Y312" s="42">
        <f>ROUND($B312*Y$227,2)</f>
        <v>0</v>
      </c>
      <c r="Z312" s="42">
        <f>ROUND($B312*Z$227,2)</f>
        <v>0</v>
      </c>
      <c r="AA312" s="42">
        <f>ROUND($B312*AA$227,2)</f>
        <v>0</v>
      </c>
      <c r="AB312" s="19">
        <f>SUM(U$227:AA$227)+(-V$227+V277)</f>
        <v>1.6456999999999999E-2</v>
      </c>
      <c r="AC312" s="94" t="str">
        <f>+F312</f>
        <v>SH4</v>
      </c>
    </row>
    <row r="313" spans="1:29" x14ac:dyDescent="0.2">
      <c r="A313" s="96"/>
      <c r="B313" s="97">
        <v>-1</v>
      </c>
      <c r="C313" s="9"/>
      <c r="F313" s="36"/>
      <c r="G313" s="98"/>
      <c r="H313" s="19"/>
      <c r="I313" s="19"/>
      <c r="J313" s="104"/>
      <c r="K313" s="104"/>
      <c r="L313" s="104"/>
      <c r="M313" s="87"/>
      <c r="N313" s="87"/>
      <c r="O313" s="87"/>
      <c r="P313" s="87"/>
      <c r="Q313" s="87"/>
      <c r="R313" s="87"/>
      <c r="S313" s="50">
        <v>0.5</v>
      </c>
      <c r="T313" s="98"/>
      <c r="U313" s="98"/>
      <c r="V313" s="87"/>
      <c r="W313" s="98"/>
      <c r="X313" s="98"/>
      <c r="Y313" s="98"/>
      <c r="Z313" s="98"/>
      <c r="AA313" s="98"/>
      <c r="AB313" s="19"/>
      <c r="AC313" s="105"/>
    </row>
    <row r="314" spans="1:29" x14ac:dyDescent="0.2">
      <c r="A314" s="96"/>
      <c r="B314" s="103">
        <f>IF(AND('AES Indiana Bill Calc.'!$D$17="SH",'AES Indiana Bill Calc.'!$D$18="Yes 50%",'AES Indiana Bill Calc.'!$D$20="Yes 2024"),'AES Indiana Bill Calc.'!$D$19,-1)</f>
        <v>-1</v>
      </c>
      <c r="C314" s="1" t="s">
        <v>139</v>
      </c>
      <c r="F314" s="36" t="s">
        <v>292</v>
      </c>
      <c r="G314" s="17">
        <f>SUM(J314:M314,O314:P314,R314:AA314)</f>
        <v>54.870000000000005</v>
      </c>
      <c r="H314" s="19" t="e">
        <f>IF(ISBLANK(B314),0,+#REF!/B314)</f>
        <v>#REF!</v>
      </c>
      <c r="I314" s="19"/>
      <c r="J314" s="82">
        <f>IF(ISBLANK(B314),0,+J$227)</f>
        <v>55</v>
      </c>
      <c r="K314" s="82">
        <f>ROUND($B314*K$227,2)</f>
        <v>-0.12</v>
      </c>
      <c r="L314" s="82"/>
      <c r="M314" s="41"/>
      <c r="N314" s="17">
        <f>SUM(K314:L314)</f>
        <v>-0.12</v>
      </c>
      <c r="O314" s="41"/>
      <c r="P314" s="41"/>
      <c r="Q314" s="41"/>
      <c r="R314" s="41"/>
      <c r="S314" s="42">
        <f>ROUND($B314*S$227*S313,2)</f>
        <v>0</v>
      </c>
      <c r="T314" s="42">
        <f>ROUND($B314*T$227,2)</f>
        <v>0</v>
      </c>
      <c r="U314" s="42">
        <f>ROUND($B314*U$227,2)</f>
        <v>0</v>
      </c>
      <c r="V314" s="41">
        <f>ROUND($B314*V$224,2)</f>
        <v>0</v>
      </c>
      <c r="W314" s="42">
        <f>ROUND($B314*W$227,2)</f>
        <v>0</v>
      </c>
      <c r="X314" s="42">
        <f>ROUND($B314*X$227,2)</f>
        <v>-0.01</v>
      </c>
      <c r="Y314" s="42">
        <f>ROUND($B314*Y$227,2)</f>
        <v>0</v>
      </c>
      <c r="Z314" s="42">
        <f>ROUND($B314*Z$227,2)</f>
        <v>0</v>
      </c>
      <c r="AA314" s="42">
        <f>ROUND($B314*AA$227,2)</f>
        <v>0</v>
      </c>
      <c r="AB314" s="19">
        <f>SUM(U$227:AA$227)+(-V$227+V279)</f>
        <v>1.6456999999999999E-2</v>
      </c>
      <c r="AC314" s="94" t="str">
        <f>+F314</f>
        <v>SH4</v>
      </c>
    </row>
    <row r="315" spans="1:29" x14ac:dyDescent="0.2">
      <c r="A315" s="96"/>
      <c r="B315" s="97">
        <v>-1</v>
      </c>
      <c r="C315" s="9"/>
      <c r="F315" s="36"/>
      <c r="G315" s="98"/>
      <c r="H315" s="19"/>
      <c r="I315" s="19"/>
      <c r="J315" s="104"/>
      <c r="K315" s="104"/>
      <c r="L315" s="104"/>
      <c r="M315" s="87"/>
      <c r="N315" s="87"/>
      <c r="O315" s="87"/>
      <c r="P315" s="87"/>
      <c r="Q315" s="87"/>
      <c r="R315" s="87"/>
      <c r="S315" s="50">
        <v>0.25</v>
      </c>
      <c r="T315" s="98"/>
      <c r="U315" s="98"/>
      <c r="V315" s="87"/>
      <c r="W315" s="98"/>
      <c r="X315" s="98"/>
      <c r="Y315" s="98"/>
      <c r="Z315" s="98"/>
      <c r="AA315" s="98"/>
      <c r="AB315" s="19"/>
      <c r="AC315" s="105"/>
    </row>
    <row r="316" spans="1:29" x14ac:dyDescent="0.2">
      <c r="A316" s="96"/>
      <c r="B316" s="103">
        <f>IF(AND('AES Indiana Bill Calc.'!$D$17="SH",'AES Indiana Bill Calc.'!$D$18="Yes 25%",'AES Indiana Bill Calc.'!$D$20="Yes 2024"),'AES Indiana Bill Calc.'!$D$19,-1)</f>
        <v>-1</v>
      </c>
      <c r="C316" s="1" t="s">
        <v>140</v>
      </c>
      <c r="F316" s="36" t="s">
        <v>292</v>
      </c>
      <c r="G316" s="17">
        <f>SUM(J316:M316,O316:P316,R316:AA316)</f>
        <v>54.870000000000005</v>
      </c>
      <c r="H316" s="19" t="e">
        <f>IF(ISBLANK(B316),0,+#REF!/B316)</f>
        <v>#REF!</v>
      </c>
      <c r="I316" s="19"/>
      <c r="J316" s="82">
        <f>IF(ISBLANK(B316),0,+J$227)</f>
        <v>55</v>
      </c>
      <c r="K316" s="82">
        <f>ROUND($B316*K$227,2)</f>
        <v>-0.12</v>
      </c>
      <c r="L316" s="82"/>
      <c r="M316" s="41"/>
      <c r="N316" s="17">
        <f>SUM(K316:L316)</f>
        <v>-0.12</v>
      </c>
      <c r="O316" s="41"/>
      <c r="P316" s="41"/>
      <c r="Q316" s="41"/>
      <c r="R316" s="41"/>
      <c r="S316" s="42">
        <f>ROUND($B316*S$227*S315,2)</f>
        <v>0</v>
      </c>
      <c r="T316" s="42">
        <f>ROUND($B316*T$227,2)</f>
        <v>0</v>
      </c>
      <c r="U316" s="42">
        <f>ROUND($B316*U$227,2)</f>
        <v>0</v>
      </c>
      <c r="V316" s="41">
        <f>ROUND($B316*V$224,2)</f>
        <v>0</v>
      </c>
      <c r="W316" s="42">
        <f>ROUND($B316*W$227,2)</f>
        <v>0</v>
      </c>
      <c r="X316" s="42">
        <f>ROUND($B316*X$227,2)</f>
        <v>-0.01</v>
      </c>
      <c r="Y316" s="42">
        <f>ROUND($B316*Y$227,2)</f>
        <v>0</v>
      </c>
      <c r="Z316" s="42">
        <f>ROUND($B316*Z$227,2)</f>
        <v>0</v>
      </c>
      <c r="AA316" s="42">
        <f>ROUND($B316*AA$227,2)</f>
        <v>0</v>
      </c>
      <c r="AB316" s="19">
        <f>SUM(U$227:AA$227)+(-V$227+V281)</f>
        <v>1.6456999999999999E-2</v>
      </c>
      <c r="AC316" s="94" t="str">
        <f>+F316</f>
        <v>SH4</v>
      </c>
    </row>
    <row r="317" spans="1:29" x14ac:dyDescent="0.2">
      <c r="A317" s="96"/>
      <c r="B317" s="97">
        <v>-1</v>
      </c>
      <c r="C317" s="9"/>
      <c r="F317" s="36"/>
      <c r="G317" s="98"/>
      <c r="H317" s="19"/>
      <c r="I317" s="19"/>
      <c r="J317" s="104"/>
      <c r="K317" s="104"/>
      <c r="L317" s="104"/>
      <c r="M317" s="87"/>
      <c r="N317" s="87"/>
      <c r="O317" s="87"/>
      <c r="P317" s="87"/>
      <c r="Q317" s="87"/>
      <c r="R317" s="87"/>
      <c r="S317" s="50">
        <v>0.1</v>
      </c>
      <c r="T317" s="98"/>
      <c r="U317" s="98"/>
      <c r="V317" s="87"/>
      <c r="W317" s="98"/>
      <c r="X317" s="98"/>
      <c r="Y317" s="98"/>
      <c r="Z317" s="98"/>
      <c r="AA317" s="98"/>
      <c r="AB317" s="19"/>
      <c r="AC317" s="105"/>
    </row>
    <row r="318" spans="1:29" x14ac:dyDescent="0.2">
      <c r="A318" s="96"/>
      <c r="B318" s="103">
        <f>IF(AND('AES Indiana Bill Calc.'!$D$17="SH",'AES Indiana Bill Calc.'!$D$18="Yes 10%",'AES Indiana Bill Calc.'!$D$20="Yes 2024"),'AES Indiana Bill Calc.'!$D$19,-1)</f>
        <v>-1</v>
      </c>
      <c r="C318" s="1" t="s">
        <v>154</v>
      </c>
      <c r="F318" s="36" t="s">
        <v>292</v>
      </c>
      <c r="G318" s="17">
        <f>SUM(J318:M318,O318:P318,R318:AA318)</f>
        <v>54.870000000000005</v>
      </c>
      <c r="H318" s="19" t="e">
        <f>IF(ISBLANK(B318),0,+#REF!/B318)</f>
        <v>#REF!</v>
      </c>
      <c r="I318" s="19"/>
      <c r="J318" s="82">
        <f>IF(ISBLANK(B318),0,+J$227)</f>
        <v>55</v>
      </c>
      <c r="K318" s="82">
        <f>ROUND($B318*K$227,2)</f>
        <v>-0.12</v>
      </c>
      <c r="L318" s="82"/>
      <c r="M318" s="41"/>
      <c r="N318" s="17">
        <f>SUM(K318:L318)</f>
        <v>-0.12</v>
      </c>
      <c r="O318" s="41"/>
      <c r="P318" s="41"/>
      <c r="Q318" s="41"/>
      <c r="R318" s="41"/>
      <c r="S318" s="42">
        <f>ROUND($B318*S$227*S317,2)</f>
        <v>0</v>
      </c>
      <c r="T318" s="42">
        <f>ROUND($B318*T$227,2)</f>
        <v>0</v>
      </c>
      <c r="U318" s="42">
        <f>ROUND($B318*U$227,2)</f>
        <v>0</v>
      </c>
      <c r="V318" s="41">
        <f>ROUND($B318*V$224,2)</f>
        <v>0</v>
      </c>
      <c r="W318" s="42">
        <f>ROUND($B318*W$227,2)</f>
        <v>0</v>
      </c>
      <c r="X318" s="42">
        <f>ROUND($B318*X$227,2)</f>
        <v>-0.01</v>
      </c>
      <c r="Y318" s="42">
        <f>ROUND($B318*Y$227,2)</f>
        <v>0</v>
      </c>
      <c r="Z318" s="42">
        <f>ROUND($B318*Z$227,2)</f>
        <v>0</v>
      </c>
      <c r="AA318" s="42">
        <f>ROUND($B318*AA$227,2)</f>
        <v>0</v>
      </c>
      <c r="AB318" s="19">
        <f>SUM(U$227:AA$227)+(-V$227+V283)</f>
        <v>1.6456999999999999E-2</v>
      </c>
      <c r="AC318" s="94" t="str">
        <f>+F318</f>
        <v>SH4</v>
      </c>
    </row>
    <row r="319" spans="1:29" x14ac:dyDescent="0.2">
      <c r="A319" s="96"/>
      <c r="B319" s="97">
        <v>-1</v>
      </c>
      <c r="C319" s="9"/>
      <c r="F319" s="36"/>
      <c r="G319" s="98"/>
      <c r="H319" s="19"/>
      <c r="I319" s="19"/>
      <c r="J319" s="104"/>
      <c r="K319" s="104"/>
      <c r="L319" s="104"/>
      <c r="M319" s="87"/>
      <c r="N319" s="87"/>
      <c r="O319" s="87"/>
      <c r="P319" s="87"/>
      <c r="Q319" s="87"/>
      <c r="R319" s="87"/>
      <c r="S319" s="50">
        <v>0</v>
      </c>
      <c r="T319" s="98"/>
      <c r="U319" s="98"/>
      <c r="V319" s="87"/>
      <c r="W319" s="98"/>
      <c r="X319" s="98"/>
      <c r="Y319" s="98"/>
      <c r="Z319" s="98"/>
      <c r="AA319" s="98"/>
      <c r="AB319" s="19"/>
      <c r="AC319" s="105"/>
    </row>
    <row r="320" spans="1:29" x14ac:dyDescent="0.2">
      <c r="A320" s="96"/>
      <c r="B320" s="103">
        <f>IF(AND('AES Indiana Bill Calc.'!$D$17="SH",'AES Indiana Bill Calc.'!$D$18="No",'AES Indiana Bill Calc.'!$D$20="Yes 2024"),'AES Indiana Bill Calc.'!$D$19,-1)</f>
        <v>-1</v>
      </c>
      <c r="C320" s="1" t="s">
        <v>137</v>
      </c>
      <c r="F320" s="36" t="s">
        <v>292</v>
      </c>
      <c r="G320" s="17">
        <f>SUM(J320:M320,O320:P320,R320:AA320)</f>
        <v>54.870000000000005</v>
      </c>
      <c r="H320" s="19" t="e">
        <f>IF(ISBLANK(B320),0,+#REF!/B320)</f>
        <v>#REF!</v>
      </c>
      <c r="I320" s="19"/>
      <c r="J320" s="82">
        <f>IF(ISBLANK(B320),0,+J$227)</f>
        <v>55</v>
      </c>
      <c r="K320" s="82">
        <f>ROUND($B320*K$227,2)</f>
        <v>-0.12</v>
      </c>
      <c r="L320" s="82"/>
      <c r="M320" s="41"/>
      <c r="N320" s="17">
        <f>SUM(K320:L320)</f>
        <v>-0.12</v>
      </c>
      <c r="O320" s="41"/>
      <c r="P320" s="41"/>
      <c r="Q320" s="41"/>
      <c r="R320" s="41"/>
      <c r="S320" s="42">
        <f>ROUND($B320*S$227*S319,2)</f>
        <v>0</v>
      </c>
      <c r="T320" s="42">
        <f>ROUND($B320*T$227,2)</f>
        <v>0</v>
      </c>
      <c r="U320" s="42">
        <f>ROUND($B320*U$227,2)</f>
        <v>0</v>
      </c>
      <c r="V320" s="41">
        <f>ROUND($B320*V$224,2)</f>
        <v>0</v>
      </c>
      <c r="W320" s="42">
        <f>ROUND($B320*W$227,2)</f>
        <v>0</v>
      </c>
      <c r="X320" s="42">
        <f>ROUND($B320*X$227,2)</f>
        <v>-0.01</v>
      </c>
      <c r="Y320" s="42">
        <f>ROUND($B320*Y$227,2)</f>
        <v>0</v>
      </c>
      <c r="Z320" s="42">
        <f>ROUND($B320*Z$227,2)</f>
        <v>0</v>
      </c>
      <c r="AA320" s="42">
        <f>ROUND($B320*AA$227,2)</f>
        <v>0</v>
      </c>
      <c r="AB320" s="19">
        <f>SUM(U$227:AA$227)+(-V$227+V285)</f>
        <v>1.6456999999999999E-2</v>
      </c>
      <c r="AC320" s="94" t="str">
        <f>+F320</f>
        <v>SH4</v>
      </c>
    </row>
    <row r="321" spans="1:29" x14ac:dyDescent="0.2">
      <c r="A321" s="96"/>
      <c r="B321" s="103">
        <v>-1</v>
      </c>
      <c r="C321" s="1"/>
      <c r="F321" s="36"/>
      <c r="G321" s="17"/>
      <c r="H321" s="19"/>
      <c r="I321" s="19"/>
      <c r="J321" s="82"/>
      <c r="K321" s="82"/>
      <c r="L321" s="82"/>
      <c r="M321" s="41"/>
      <c r="N321" s="17"/>
      <c r="O321" s="41"/>
      <c r="P321" s="41"/>
      <c r="Q321" s="41"/>
      <c r="R321" s="41"/>
      <c r="S321" s="50">
        <v>1</v>
      </c>
      <c r="T321" s="42"/>
      <c r="U321" s="42"/>
      <c r="V321" s="41"/>
      <c r="W321" s="42"/>
      <c r="X321" s="42"/>
      <c r="Y321" s="42"/>
      <c r="Z321" s="42"/>
      <c r="AA321" s="42"/>
      <c r="AB321" s="19"/>
      <c r="AC321" s="94"/>
    </row>
    <row r="322" spans="1:29" x14ac:dyDescent="0.2">
      <c r="A322" s="96"/>
      <c r="B322" s="103">
        <f>IF(AND('AES Indiana Bill Calc.'!$D$17="SH",'AES Indiana Bill Calc.'!$D$18="Yes 100%",'AES Indiana Bill Calc.'!$D$20="Yes 2025"),'AES Indiana Bill Calc.'!$D$19,-1)</f>
        <v>-1</v>
      </c>
      <c r="C322" s="1" t="s">
        <v>138</v>
      </c>
      <c r="F322" s="36" t="s">
        <v>316</v>
      </c>
      <c r="G322" s="17">
        <f>SUM(J322:M322,O322:P322,R322:AA322)</f>
        <v>54.870000000000005</v>
      </c>
      <c r="H322" s="19" t="e">
        <f>IF(ISBLANK(B322),0,+#REF!/B322)</f>
        <v>#REF!</v>
      </c>
      <c r="I322" s="19"/>
      <c r="J322" s="82">
        <f>IF(ISBLANK(B322),0,+J$227)</f>
        <v>55</v>
      </c>
      <c r="K322" s="82">
        <f>ROUND($B322*K$227,2)</f>
        <v>-0.12</v>
      </c>
      <c r="L322" s="82"/>
      <c r="M322" s="41"/>
      <c r="N322" s="17">
        <f>SUM(K322:L322)</f>
        <v>-0.12</v>
      </c>
      <c r="O322" s="41"/>
      <c r="P322" s="41"/>
      <c r="Q322" s="41"/>
      <c r="R322" s="41"/>
      <c r="S322" s="42">
        <f>ROUND($B322*S$227*S321,2)</f>
        <v>0</v>
      </c>
      <c r="T322" s="42">
        <f>ROUND($B322*T$227,2)</f>
        <v>0</v>
      </c>
      <c r="U322" s="42">
        <f>ROUND($B322*U$227,2)</f>
        <v>0</v>
      </c>
      <c r="V322" s="41">
        <f>ROUND($B322*V$225,2)</f>
        <v>0</v>
      </c>
      <c r="W322" s="42">
        <f>ROUND($B322*W$227,2)</f>
        <v>0</v>
      </c>
      <c r="X322" s="42">
        <f>ROUND($B322*X$227,2)</f>
        <v>-0.01</v>
      </c>
      <c r="Y322" s="42">
        <f>ROUND($B322*Y$227,2)</f>
        <v>0</v>
      </c>
      <c r="Z322" s="42">
        <f>ROUND($B322*Z$227,2)</f>
        <v>0</v>
      </c>
      <c r="AA322" s="42">
        <f>ROUND($B322*AA$227,2)</f>
        <v>0</v>
      </c>
      <c r="AB322" s="19">
        <f>SUM(U$227:AA$227)+(-V$227+V287)</f>
        <v>1.6456999999999999E-2</v>
      </c>
      <c r="AC322" s="94" t="str">
        <f>+F322</f>
        <v>SH5</v>
      </c>
    </row>
    <row r="323" spans="1:29" x14ac:dyDescent="0.2">
      <c r="A323" s="96"/>
      <c r="B323" s="97">
        <v>-1</v>
      </c>
      <c r="C323" s="9"/>
      <c r="F323" s="36"/>
      <c r="G323" s="98"/>
      <c r="H323" s="19"/>
      <c r="I323" s="19"/>
      <c r="J323" s="104"/>
      <c r="K323" s="104"/>
      <c r="L323" s="104"/>
      <c r="M323" s="87"/>
      <c r="N323" s="87"/>
      <c r="O323" s="87"/>
      <c r="P323" s="87"/>
      <c r="Q323" s="87"/>
      <c r="R323" s="87"/>
      <c r="S323" s="50">
        <v>0.5</v>
      </c>
      <c r="T323" s="98"/>
      <c r="U323" s="98"/>
      <c r="V323" s="87"/>
      <c r="W323" s="98"/>
      <c r="X323" s="98"/>
      <c r="Y323" s="98"/>
      <c r="Z323" s="98"/>
      <c r="AA323" s="98"/>
      <c r="AB323" s="19"/>
      <c r="AC323" s="105"/>
    </row>
    <row r="324" spans="1:29" x14ac:dyDescent="0.2">
      <c r="A324" s="96"/>
      <c r="B324" s="103">
        <f>IF(AND('AES Indiana Bill Calc.'!$D$17="SH",'AES Indiana Bill Calc.'!$D$18="Yes 50%",'AES Indiana Bill Calc.'!$D$20="Yes 2025"),'AES Indiana Bill Calc.'!$D$19,-1)</f>
        <v>-1</v>
      </c>
      <c r="C324" s="1" t="s">
        <v>139</v>
      </c>
      <c r="F324" s="36" t="s">
        <v>316</v>
      </c>
      <c r="G324" s="17">
        <f>SUM(J324:M324,O324:P324,R324:AA324)</f>
        <v>54.870000000000005</v>
      </c>
      <c r="H324" s="19" t="e">
        <f>IF(ISBLANK(B324),0,+#REF!/B324)</f>
        <v>#REF!</v>
      </c>
      <c r="I324" s="19"/>
      <c r="J324" s="82">
        <f>IF(ISBLANK(B324),0,+J$227)</f>
        <v>55</v>
      </c>
      <c r="K324" s="82">
        <f>ROUND($B324*K$227,2)</f>
        <v>-0.12</v>
      </c>
      <c r="L324" s="82"/>
      <c r="M324" s="41"/>
      <c r="N324" s="17">
        <f>SUM(K324:L324)</f>
        <v>-0.12</v>
      </c>
      <c r="O324" s="41"/>
      <c r="P324" s="41"/>
      <c r="Q324" s="41"/>
      <c r="R324" s="41"/>
      <c r="S324" s="42">
        <f>ROUND($B324*S$227*S323,2)</f>
        <v>0</v>
      </c>
      <c r="T324" s="42">
        <f>ROUND($B324*T$227,2)</f>
        <v>0</v>
      </c>
      <c r="U324" s="42">
        <f>ROUND($B324*U$227,2)</f>
        <v>0</v>
      </c>
      <c r="V324" s="41">
        <f>ROUND($B324*V$225,2)</f>
        <v>0</v>
      </c>
      <c r="W324" s="42">
        <f>ROUND($B324*W$227,2)</f>
        <v>0</v>
      </c>
      <c r="X324" s="42">
        <f>ROUND($B324*X$227,2)</f>
        <v>-0.01</v>
      </c>
      <c r="Y324" s="42">
        <f>ROUND($B324*Y$227,2)</f>
        <v>0</v>
      </c>
      <c r="Z324" s="42">
        <f>ROUND($B324*Z$227,2)</f>
        <v>0</v>
      </c>
      <c r="AA324" s="42">
        <f>ROUND($B324*AA$227,2)</f>
        <v>0</v>
      </c>
      <c r="AB324" s="19">
        <f>SUM(U$227:AA$227)+(-V$227+V289)</f>
        <v>1.6456999999999999E-2</v>
      </c>
      <c r="AC324" s="94" t="str">
        <f>+F324</f>
        <v>SH5</v>
      </c>
    </row>
    <row r="325" spans="1:29" x14ac:dyDescent="0.2">
      <c r="A325" s="96"/>
      <c r="B325" s="97">
        <v>-1</v>
      </c>
      <c r="C325" s="9"/>
      <c r="F325" s="36"/>
      <c r="G325" s="98"/>
      <c r="H325" s="19"/>
      <c r="I325" s="19"/>
      <c r="J325" s="104"/>
      <c r="K325" s="104"/>
      <c r="L325" s="104"/>
      <c r="M325" s="87"/>
      <c r="N325" s="87"/>
      <c r="O325" s="87"/>
      <c r="P325" s="87"/>
      <c r="Q325" s="87"/>
      <c r="R325" s="87"/>
      <c r="S325" s="50">
        <v>0.25</v>
      </c>
      <c r="T325" s="98"/>
      <c r="U325" s="98"/>
      <c r="V325" s="87"/>
      <c r="W325" s="98"/>
      <c r="X325" s="98"/>
      <c r="Y325" s="98"/>
      <c r="Z325" s="98"/>
      <c r="AA325" s="98"/>
      <c r="AB325" s="19"/>
      <c r="AC325" s="105"/>
    </row>
    <row r="326" spans="1:29" x14ac:dyDescent="0.2">
      <c r="A326" s="96"/>
      <c r="B326" s="103">
        <f>IF(AND('AES Indiana Bill Calc.'!$D$17="SH",'AES Indiana Bill Calc.'!$D$18="Yes 25%",'AES Indiana Bill Calc.'!$D$20="Yes 2025"),'AES Indiana Bill Calc.'!$D$19,-1)</f>
        <v>-1</v>
      </c>
      <c r="C326" s="1" t="s">
        <v>140</v>
      </c>
      <c r="F326" s="36" t="s">
        <v>316</v>
      </c>
      <c r="G326" s="17">
        <f>SUM(J326:M326,O326:P326,R326:AA326)</f>
        <v>54.870000000000005</v>
      </c>
      <c r="H326" s="19" t="e">
        <f>IF(ISBLANK(B326),0,+#REF!/B326)</f>
        <v>#REF!</v>
      </c>
      <c r="I326" s="19"/>
      <c r="J326" s="82">
        <f>IF(ISBLANK(B326),0,+J$227)</f>
        <v>55</v>
      </c>
      <c r="K326" s="82">
        <f>ROUND($B326*K$227,2)</f>
        <v>-0.12</v>
      </c>
      <c r="L326" s="82"/>
      <c r="M326" s="41"/>
      <c r="N326" s="17">
        <f>SUM(K326:L326)</f>
        <v>-0.12</v>
      </c>
      <c r="O326" s="41"/>
      <c r="P326" s="41"/>
      <c r="Q326" s="41"/>
      <c r="R326" s="41"/>
      <c r="S326" s="42">
        <f>ROUND($B326*S$227*S325,2)</f>
        <v>0</v>
      </c>
      <c r="T326" s="42">
        <f>ROUND($B326*T$227,2)</f>
        <v>0</v>
      </c>
      <c r="U326" s="42">
        <f>ROUND($B326*U$227,2)</f>
        <v>0</v>
      </c>
      <c r="V326" s="41">
        <f>ROUND($B326*V$225,2)</f>
        <v>0</v>
      </c>
      <c r="W326" s="42">
        <f>ROUND($B326*W$227,2)</f>
        <v>0</v>
      </c>
      <c r="X326" s="42">
        <f>ROUND($B326*X$227,2)</f>
        <v>-0.01</v>
      </c>
      <c r="Y326" s="42">
        <f>ROUND($B326*Y$227,2)</f>
        <v>0</v>
      </c>
      <c r="Z326" s="42">
        <f>ROUND($B326*Z$227,2)</f>
        <v>0</v>
      </c>
      <c r="AA326" s="42">
        <f>ROUND($B326*AA$227,2)</f>
        <v>0</v>
      </c>
      <c r="AB326" s="19">
        <f>SUM(U$227:AA$227)+(-V$227+V291)</f>
        <v>1.6456999999999999E-2</v>
      </c>
      <c r="AC326" s="94" t="str">
        <f>+F326</f>
        <v>SH5</v>
      </c>
    </row>
    <row r="327" spans="1:29" x14ac:dyDescent="0.2">
      <c r="A327" s="96"/>
      <c r="B327" s="97">
        <v>-1</v>
      </c>
      <c r="C327" s="9"/>
      <c r="F327" s="36"/>
      <c r="G327" s="98"/>
      <c r="H327" s="19"/>
      <c r="I327" s="19"/>
      <c r="J327" s="104"/>
      <c r="K327" s="104"/>
      <c r="L327" s="104"/>
      <c r="M327" s="87"/>
      <c r="N327" s="87"/>
      <c r="O327" s="87"/>
      <c r="P327" s="87"/>
      <c r="Q327" s="87"/>
      <c r="R327" s="87"/>
      <c r="S327" s="50">
        <v>0.1</v>
      </c>
      <c r="T327" s="98"/>
      <c r="U327" s="98"/>
      <c r="V327" s="87"/>
      <c r="W327" s="98"/>
      <c r="X327" s="98"/>
      <c r="Y327" s="98"/>
      <c r="Z327" s="98"/>
      <c r="AA327" s="98"/>
      <c r="AB327" s="19"/>
      <c r="AC327" s="105"/>
    </row>
    <row r="328" spans="1:29" x14ac:dyDescent="0.2">
      <c r="A328" s="96"/>
      <c r="B328" s="103">
        <f>IF(AND('AES Indiana Bill Calc.'!$D$17="SH",'AES Indiana Bill Calc.'!$D$18="Yes 10%",'AES Indiana Bill Calc.'!$D$20="Yes 2025"),'AES Indiana Bill Calc.'!$D$19,-1)</f>
        <v>-1</v>
      </c>
      <c r="C328" s="1" t="s">
        <v>154</v>
      </c>
      <c r="F328" s="36" t="s">
        <v>316</v>
      </c>
      <c r="G328" s="17">
        <f>SUM(J328:M328,O328:P328,R328:AA328)</f>
        <v>54.870000000000005</v>
      </c>
      <c r="H328" s="19" t="e">
        <f>IF(ISBLANK(B328),0,+#REF!/B328)</f>
        <v>#REF!</v>
      </c>
      <c r="I328" s="19"/>
      <c r="J328" s="82">
        <f>IF(ISBLANK(B328),0,+J$227)</f>
        <v>55</v>
      </c>
      <c r="K328" s="82">
        <f>ROUND($B328*K$227,2)</f>
        <v>-0.12</v>
      </c>
      <c r="L328" s="82"/>
      <c r="M328" s="41"/>
      <c r="N328" s="17">
        <f>SUM(K328:L328)</f>
        <v>-0.12</v>
      </c>
      <c r="O328" s="41"/>
      <c r="P328" s="41"/>
      <c r="Q328" s="41"/>
      <c r="R328" s="41"/>
      <c r="S328" s="42">
        <f>ROUND($B328*S$227*S327,2)</f>
        <v>0</v>
      </c>
      <c r="T328" s="42">
        <f>ROUND($B328*T$227,2)</f>
        <v>0</v>
      </c>
      <c r="U328" s="42">
        <f>ROUND($B328*U$227,2)</f>
        <v>0</v>
      </c>
      <c r="V328" s="41">
        <f>ROUND($B328*V$225,2)</f>
        <v>0</v>
      </c>
      <c r="W328" s="42">
        <f>ROUND($B328*W$227,2)</f>
        <v>0</v>
      </c>
      <c r="X328" s="42">
        <f>ROUND($B328*X$227,2)</f>
        <v>-0.01</v>
      </c>
      <c r="Y328" s="42">
        <f>ROUND($B328*Y$227,2)</f>
        <v>0</v>
      </c>
      <c r="Z328" s="42">
        <f>ROUND($B328*Z$227,2)</f>
        <v>0</v>
      </c>
      <c r="AA328" s="42">
        <f>ROUND($B328*AA$227,2)</f>
        <v>0</v>
      </c>
      <c r="AB328" s="19">
        <f>SUM(U$227:AA$227)+(-V$227+V293)</f>
        <v>1.6456999999999999E-2</v>
      </c>
      <c r="AC328" s="94" t="str">
        <f>+F328</f>
        <v>SH5</v>
      </c>
    </row>
    <row r="329" spans="1:29" x14ac:dyDescent="0.2">
      <c r="A329" s="96"/>
      <c r="B329" s="97">
        <v>-1</v>
      </c>
      <c r="C329" s="9"/>
      <c r="F329" s="36"/>
      <c r="G329" s="98"/>
      <c r="H329" s="19"/>
      <c r="I329" s="19"/>
      <c r="J329" s="104"/>
      <c r="K329" s="104"/>
      <c r="L329" s="104"/>
      <c r="M329" s="87"/>
      <c r="N329" s="87"/>
      <c r="O329" s="87"/>
      <c r="P329" s="87"/>
      <c r="Q329" s="87"/>
      <c r="R329" s="87"/>
      <c r="S329" s="50">
        <v>0</v>
      </c>
      <c r="T329" s="98"/>
      <c r="U329" s="98"/>
      <c r="V329" s="87"/>
      <c r="W329" s="98"/>
      <c r="X329" s="98"/>
      <c r="Y329" s="98"/>
      <c r="Z329" s="98"/>
      <c r="AA329" s="98"/>
      <c r="AB329" s="19"/>
      <c r="AC329" s="105"/>
    </row>
    <row r="330" spans="1:29" x14ac:dyDescent="0.2">
      <c r="A330" s="96"/>
      <c r="B330" s="103">
        <f>IF(AND('AES Indiana Bill Calc.'!$D$17="SH",'AES Indiana Bill Calc.'!$D$18="No",'AES Indiana Bill Calc.'!$D$20="Yes 2025"),'AES Indiana Bill Calc.'!$D$19,-1)</f>
        <v>-1</v>
      </c>
      <c r="C330" s="1" t="s">
        <v>137</v>
      </c>
      <c r="F330" s="36" t="s">
        <v>316</v>
      </c>
      <c r="G330" s="17">
        <f>SUM(J330:M330,O330:P330,R330:AA330)</f>
        <v>54.870000000000005</v>
      </c>
      <c r="H330" s="19" t="e">
        <f>IF(ISBLANK(B330),0,+#REF!/B330)</f>
        <v>#REF!</v>
      </c>
      <c r="I330" s="19"/>
      <c r="J330" s="82">
        <f>IF(ISBLANK(B330),0,+J$227)</f>
        <v>55</v>
      </c>
      <c r="K330" s="82">
        <f>ROUND($B330*K$227,2)</f>
        <v>-0.12</v>
      </c>
      <c r="L330" s="82"/>
      <c r="M330" s="41"/>
      <c r="N330" s="17">
        <f>SUM(K330:L330)</f>
        <v>-0.12</v>
      </c>
      <c r="O330" s="41"/>
      <c r="P330" s="41"/>
      <c r="Q330" s="41"/>
      <c r="R330" s="41"/>
      <c r="S330" s="42">
        <f>ROUND($B330*S$227*S329,2)</f>
        <v>0</v>
      </c>
      <c r="T330" s="42">
        <f>ROUND($B330*T$227,2)</f>
        <v>0</v>
      </c>
      <c r="U330" s="42">
        <f>ROUND($B330*U$227,2)</f>
        <v>0</v>
      </c>
      <c r="V330" s="41">
        <f>ROUND($B330*V$225,2)</f>
        <v>0</v>
      </c>
      <c r="W330" s="42">
        <f>ROUND($B330*W$227,2)</f>
        <v>0</v>
      </c>
      <c r="X330" s="42">
        <f>ROUND($B330*X$227,2)</f>
        <v>-0.01</v>
      </c>
      <c r="Y330" s="42">
        <f>ROUND($B330*Y$227,2)</f>
        <v>0</v>
      </c>
      <c r="Z330" s="42">
        <f>ROUND($B330*Z$227,2)</f>
        <v>0</v>
      </c>
      <c r="AA330" s="42">
        <f>ROUND($B330*AA$227,2)</f>
        <v>0</v>
      </c>
      <c r="AB330" s="19">
        <f>SUM(U$227:AA$227)+(-V$227+V295)</f>
        <v>1.6456999999999999E-2</v>
      </c>
      <c r="AC330" s="94" t="str">
        <f>+F330</f>
        <v>SH5</v>
      </c>
    </row>
    <row r="331" spans="1:29" x14ac:dyDescent="0.2">
      <c r="A331" s="96"/>
      <c r="B331" s="103">
        <v>-1</v>
      </c>
      <c r="C331" s="1"/>
      <c r="F331" s="36"/>
      <c r="G331" s="17"/>
      <c r="H331" s="19"/>
      <c r="I331" s="19"/>
      <c r="J331" s="82"/>
      <c r="K331" s="82"/>
      <c r="L331" s="82"/>
      <c r="M331" s="41"/>
      <c r="N331" s="17"/>
      <c r="O331" s="41"/>
      <c r="P331" s="41"/>
      <c r="Q331" s="41"/>
      <c r="R331" s="41"/>
      <c r="S331" s="50">
        <v>1</v>
      </c>
      <c r="T331" s="42"/>
      <c r="U331" s="42"/>
      <c r="V331" s="41"/>
      <c r="W331" s="42"/>
      <c r="X331" s="42"/>
      <c r="Y331" s="42"/>
      <c r="Z331" s="42"/>
      <c r="AA331" s="42"/>
      <c r="AB331" s="19"/>
      <c r="AC331" s="94"/>
    </row>
    <row r="332" spans="1:29" x14ac:dyDescent="0.2">
      <c r="A332" s="96"/>
      <c r="B332" s="103">
        <f>IF(AND('AES Indiana Bill Calc.'!$D$17="SH",'AES Indiana Bill Calc.'!$D$18="Yes 100%",'AES Indiana Bill Calc.'!$D$20="Yes 2026"),'AES Indiana Bill Calc.'!$D$19,-1)</f>
        <v>-1</v>
      </c>
      <c r="C332" s="1" t="s">
        <v>138</v>
      </c>
      <c r="F332" s="36" t="s">
        <v>376</v>
      </c>
      <c r="G332" s="17">
        <f>SUM(J332:M332,O332:P332,R332:AA332)</f>
        <v>54.860000000000007</v>
      </c>
      <c r="H332" s="19" t="e">
        <f>IF(ISBLANK(B332),0,+#REF!/B332)</f>
        <v>#REF!</v>
      </c>
      <c r="I332" s="19"/>
      <c r="J332" s="82">
        <f>IF(ISBLANK(B332),0,+J$227)</f>
        <v>55</v>
      </c>
      <c r="K332" s="82">
        <f>ROUND($B332*K$227,2)</f>
        <v>-0.12</v>
      </c>
      <c r="L332" s="82"/>
      <c r="M332" s="41"/>
      <c r="N332" s="17">
        <f>SUM(K332:L332)</f>
        <v>-0.12</v>
      </c>
      <c r="O332" s="41"/>
      <c r="P332" s="41"/>
      <c r="Q332" s="41"/>
      <c r="R332" s="41"/>
      <c r="S332" s="42">
        <f>ROUND($B332*S$227*S331,2)</f>
        <v>0</v>
      </c>
      <c r="T332" s="42">
        <f>ROUND($B332*T$227,2)</f>
        <v>0</v>
      </c>
      <c r="U332" s="42">
        <f>ROUND($B332*U$227,2)</f>
        <v>0</v>
      </c>
      <c r="V332" s="41">
        <f>ROUND($B332*V$226,2)</f>
        <v>-0.01</v>
      </c>
      <c r="W332" s="42">
        <f>ROUND($B332*W$227,2)</f>
        <v>0</v>
      </c>
      <c r="X332" s="42">
        <f>ROUND($B332*X$227,2)</f>
        <v>-0.01</v>
      </c>
      <c r="Y332" s="42">
        <f>ROUND($B332*Y$227,2)</f>
        <v>0</v>
      </c>
      <c r="Z332" s="42">
        <f>ROUND($B332*Z$227,2)</f>
        <v>0</v>
      </c>
      <c r="AA332" s="42">
        <f>ROUND($B332*AA$227,2)</f>
        <v>0</v>
      </c>
      <c r="AB332" s="19">
        <f>SUM(U$227:AA$227)+(-V$227+V297)</f>
        <v>1.6456999999999999E-2</v>
      </c>
      <c r="AC332" s="94" t="str">
        <f>+F332</f>
        <v>SH6</v>
      </c>
    </row>
    <row r="333" spans="1:29" x14ac:dyDescent="0.2">
      <c r="A333" s="96"/>
      <c r="B333" s="97">
        <v>-1</v>
      </c>
      <c r="C333" s="9"/>
      <c r="F333" s="36"/>
      <c r="G333" s="98"/>
      <c r="H333" s="19"/>
      <c r="I333" s="19"/>
      <c r="J333" s="104"/>
      <c r="K333" s="104"/>
      <c r="L333" s="104"/>
      <c r="M333" s="87"/>
      <c r="N333" s="87"/>
      <c r="O333" s="87"/>
      <c r="P333" s="87"/>
      <c r="Q333" s="87"/>
      <c r="R333" s="87"/>
      <c r="S333" s="50">
        <v>0.5</v>
      </c>
      <c r="T333" s="98"/>
      <c r="U333" s="98"/>
      <c r="V333" s="87"/>
      <c r="W333" s="98"/>
      <c r="X333" s="98"/>
      <c r="Y333" s="98"/>
      <c r="Z333" s="98"/>
      <c r="AA333" s="98"/>
      <c r="AB333" s="19"/>
      <c r="AC333" s="105"/>
    </row>
    <row r="334" spans="1:29" x14ac:dyDescent="0.2">
      <c r="A334" s="96"/>
      <c r="B334" s="103">
        <f>IF(AND('AES Indiana Bill Calc.'!$D$17="SH",'AES Indiana Bill Calc.'!$D$18="Yes 50%",'AES Indiana Bill Calc.'!$D$20="Yes 2026"),'AES Indiana Bill Calc.'!$D$19,-1)</f>
        <v>-1</v>
      </c>
      <c r="C334" s="1" t="s">
        <v>139</v>
      </c>
      <c r="F334" s="36" t="s">
        <v>376</v>
      </c>
      <c r="G334" s="17">
        <f>SUM(J334:M334,O334:P334,R334:AA334)</f>
        <v>54.860000000000007</v>
      </c>
      <c r="H334" s="19" t="e">
        <f>IF(ISBLANK(B334),0,+#REF!/B334)</f>
        <v>#REF!</v>
      </c>
      <c r="I334" s="19"/>
      <c r="J334" s="82">
        <f>IF(ISBLANK(B334),0,+J$227)</f>
        <v>55</v>
      </c>
      <c r="K334" s="82">
        <f>ROUND($B334*K$227,2)</f>
        <v>-0.12</v>
      </c>
      <c r="L334" s="82"/>
      <c r="M334" s="41"/>
      <c r="N334" s="17">
        <f>SUM(K334:L334)</f>
        <v>-0.12</v>
      </c>
      <c r="O334" s="41"/>
      <c r="P334" s="41"/>
      <c r="Q334" s="41"/>
      <c r="R334" s="41"/>
      <c r="S334" s="42">
        <f>ROUND($B334*S$227*S333,2)</f>
        <v>0</v>
      </c>
      <c r="T334" s="42">
        <f>ROUND($B334*T$227,2)</f>
        <v>0</v>
      </c>
      <c r="U334" s="42">
        <f>ROUND($B334*U$227,2)</f>
        <v>0</v>
      </c>
      <c r="V334" s="41">
        <f>ROUND($B334*V$226,2)</f>
        <v>-0.01</v>
      </c>
      <c r="W334" s="42">
        <f>ROUND($B334*W$227,2)</f>
        <v>0</v>
      </c>
      <c r="X334" s="42">
        <f>ROUND($B334*X$227,2)</f>
        <v>-0.01</v>
      </c>
      <c r="Y334" s="42">
        <f>ROUND($B334*Y$227,2)</f>
        <v>0</v>
      </c>
      <c r="Z334" s="42">
        <f>ROUND($B334*Z$227,2)</f>
        <v>0</v>
      </c>
      <c r="AA334" s="42">
        <f>ROUND($B334*AA$227,2)</f>
        <v>0</v>
      </c>
      <c r="AB334" s="19">
        <f>SUM(U$227:AA$227)+(-V$227+V299)</f>
        <v>1.6456999999999999E-2</v>
      </c>
      <c r="AC334" s="94" t="str">
        <f>+F334</f>
        <v>SH6</v>
      </c>
    </row>
    <row r="335" spans="1:29" x14ac:dyDescent="0.2">
      <c r="A335" s="96"/>
      <c r="B335" s="97">
        <v>-1</v>
      </c>
      <c r="C335" s="9"/>
      <c r="F335" s="36"/>
      <c r="G335" s="98"/>
      <c r="H335" s="19"/>
      <c r="I335" s="19"/>
      <c r="J335" s="104"/>
      <c r="K335" s="104"/>
      <c r="L335" s="104"/>
      <c r="M335" s="87"/>
      <c r="N335" s="87"/>
      <c r="O335" s="87"/>
      <c r="P335" s="87"/>
      <c r="Q335" s="87"/>
      <c r="R335" s="87"/>
      <c r="S335" s="50">
        <v>0.25</v>
      </c>
      <c r="T335" s="98"/>
      <c r="U335" s="98"/>
      <c r="V335" s="87"/>
      <c r="W335" s="98"/>
      <c r="X335" s="98"/>
      <c r="Y335" s="98"/>
      <c r="Z335" s="98"/>
      <c r="AA335" s="98"/>
      <c r="AB335" s="19"/>
      <c r="AC335" s="105"/>
    </row>
    <row r="336" spans="1:29" x14ac:dyDescent="0.2">
      <c r="A336" s="96"/>
      <c r="B336" s="103">
        <f>IF(AND('AES Indiana Bill Calc.'!$D$17="SH",'AES Indiana Bill Calc.'!$D$18="Yes 25%",'AES Indiana Bill Calc.'!$D$20="Yes 2026"),'AES Indiana Bill Calc.'!$D$19,-1)</f>
        <v>-1</v>
      </c>
      <c r="C336" s="1" t="s">
        <v>140</v>
      </c>
      <c r="F336" s="36" t="s">
        <v>376</v>
      </c>
      <c r="G336" s="17">
        <f>SUM(J336:M336,O336:P336,R336:AA336)</f>
        <v>54.860000000000007</v>
      </c>
      <c r="H336" s="19" t="e">
        <f>IF(ISBLANK(B336),0,+#REF!/B336)</f>
        <v>#REF!</v>
      </c>
      <c r="I336" s="19"/>
      <c r="J336" s="82">
        <f>IF(ISBLANK(B336),0,+J$227)</f>
        <v>55</v>
      </c>
      <c r="K336" s="82">
        <f>ROUND($B336*K$227,2)</f>
        <v>-0.12</v>
      </c>
      <c r="L336" s="82"/>
      <c r="M336" s="41"/>
      <c r="N336" s="17">
        <f>SUM(K336:L336)</f>
        <v>-0.12</v>
      </c>
      <c r="O336" s="41"/>
      <c r="P336" s="41"/>
      <c r="Q336" s="41"/>
      <c r="R336" s="41"/>
      <c r="S336" s="42">
        <f>ROUND($B336*S$227*S335,2)</f>
        <v>0</v>
      </c>
      <c r="T336" s="42">
        <f>ROUND($B336*T$227,2)</f>
        <v>0</v>
      </c>
      <c r="U336" s="42">
        <f>ROUND($B336*U$227,2)</f>
        <v>0</v>
      </c>
      <c r="V336" s="41">
        <f>ROUND($B336*V$226,2)</f>
        <v>-0.01</v>
      </c>
      <c r="W336" s="42">
        <f>ROUND($B336*W$227,2)</f>
        <v>0</v>
      </c>
      <c r="X336" s="42">
        <f>ROUND($B336*X$227,2)</f>
        <v>-0.01</v>
      </c>
      <c r="Y336" s="42">
        <f>ROUND($B336*Y$227,2)</f>
        <v>0</v>
      </c>
      <c r="Z336" s="42">
        <f>ROUND($B336*Z$227,2)</f>
        <v>0</v>
      </c>
      <c r="AA336" s="42">
        <f>ROUND($B336*AA$227,2)</f>
        <v>0</v>
      </c>
      <c r="AB336" s="19">
        <f>SUM(U$227:AA$227)+(-V$227+V301)</f>
        <v>1.6456999999999999E-2</v>
      </c>
      <c r="AC336" s="94" t="str">
        <f>+F336</f>
        <v>SH6</v>
      </c>
    </row>
    <row r="337" spans="1:29" x14ac:dyDescent="0.2">
      <c r="A337" s="96"/>
      <c r="B337" s="97">
        <v>-1</v>
      </c>
      <c r="C337" s="9"/>
      <c r="F337" s="36"/>
      <c r="G337" s="98"/>
      <c r="H337" s="19"/>
      <c r="I337" s="19"/>
      <c r="J337" s="104"/>
      <c r="K337" s="104"/>
      <c r="L337" s="104"/>
      <c r="M337" s="87"/>
      <c r="N337" s="87"/>
      <c r="O337" s="87"/>
      <c r="P337" s="87"/>
      <c r="Q337" s="87"/>
      <c r="R337" s="87"/>
      <c r="S337" s="50">
        <v>0.1</v>
      </c>
      <c r="T337" s="98"/>
      <c r="U337" s="98"/>
      <c r="V337" s="87"/>
      <c r="W337" s="98"/>
      <c r="X337" s="98"/>
      <c r="Y337" s="98"/>
      <c r="Z337" s="98"/>
      <c r="AA337" s="98"/>
      <c r="AB337" s="19"/>
      <c r="AC337" s="105"/>
    </row>
    <row r="338" spans="1:29" x14ac:dyDescent="0.2">
      <c r="A338" s="96"/>
      <c r="B338" s="103">
        <f>IF(AND('AES Indiana Bill Calc.'!$D$17="SH",'AES Indiana Bill Calc.'!$D$18="Yes 10%",'AES Indiana Bill Calc.'!$D$20="Yes 2026"),'AES Indiana Bill Calc.'!$D$19,-1)</f>
        <v>-1</v>
      </c>
      <c r="C338" s="1" t="s">
        <v>154</v>
      </c>
      <c r="F338" s="36" t="s">
        <v>376</v>
      </c>
      <c r="G338" s="17">
        <f>SUM(J338:M338,O338:P338,R338:AA338)</f>
        <v>54.860000000000007</v>
      </c>
      <c r="H338" s="19" t="e">
        <f>IF(ISBLANK(B338),0,+#REF!/B338)</f>
        <v>#REF!</v>
      </c>
      <c r="I338" s="19"/>
      <c r="J338" s="82">
        <f>IF(ISBLANK(B338),0,+J$227)</f>
        <v>55</v>
      </c>
      <c r="K338" s="82">
        <f>ROUND($B338*K$227,2)</f>
        <v>-0.12</v>
      </c>
      <c r="L338" s="82"/>
      <c r="M338" s="41"/>
      <c r="N338" s="17">
        <f>SUM(K338:L338)</f>
        <v>-0.12</v>
      </c>
      <c r="O338" s="41"/>
      <c r="P338" s="41"/>
      <c r="Q338" s="41"/>
      <c r="R338" s="41"/>
      <c r="S338" s="42">
        <f>ROUND($B338*S$227*S337,2)</f>
        <v>0</v>
      </c>
      <c r="T338" s="42">
        <f>ROUND($B338*T$227,2)</f>
        <v>0</v>
      </c>
      <c r="U338" s="42">
        <f>ROUND($B338*U$227,2)</f>
        <v>0</v>
      </c>
      <c r="V338" s="41">
        <f>ROUND($B338*V$226,2)</f>
        <v>-0.01</v>
      </c>
      <c r="W338" s="42">
        <f>ROUND($B338*W$227,2)</f>
        <v>0</v>
      </c>
      <c r="X338" s="42">
        <f>ROUND($B338*X$227,2)</f>
        <v>-0.01</v>
      </c>
      <c r="Y338" s="42">
        <f>ROUND($B338*Y$227,2)</f>
        <v>0</v>
      </c>
      <c r="Z338" s="42">
        <f>ROUND($B338*Z$227,2)</f>
        <v>0</v>
      </c>
      <c r="AA338" s="42">
        <f>ROUND($B338*AA$227,2)</f>
        <v>0</v>
      </c>
      <c r="AB338" s="19">
        <f>SUM(U$227:AA$227)+(-V$227+V303)</f>
        <v>1.6456999999999999E-2</v>
      </c>
      <c r="AC338" s="94" t="str">
        <f>+F338</f>
        <v>SH6</v>
      </c>
    </row>
    <row r="339" spans="1:29" x14ac:dyDescent="0.2">
      <c r="A339" s="96"/>
      <c r="B339" s="97">
        <v>-1</v>
      </c>
      <c r="C339" s="9"/>
      <c r="F339" s="36"/>
      <c r="G339" s="98"/>
      <c r="H339" s="19"/>
      <c r="I339" s="19"/>
      <c r="J339" s="104"/>
      <c r="K339" s="104"/>
      <c r="L339" s="104"/>
      <c r="M339" s="87"/>
      <c r="N339" s="87"/>
      <c r="O339" s="87"/>
      <c r="P339" s="87"/>
      <c r="Q339" s="87"/>
      <c r="R339" s="87"/>
      <c r="S339" s="50">
        <v>0</v>
      </c>
      <c r="T339" s="98"/>
      <c r="U339" s="98"/>
      <c r="V339" s="87"/>
      <c r="W339" s="98"/>
      <c r="X339" s="98"/>
      <c r="Y339" s="98"/>
      <c r="Z339" s="98"/>
      <c r="AA339" s="98"/>
      <c r="AB339" s="19"/>
      <c r="AC339" s="105"/>
    </row>
    <row r="340" spans="1:29" x14ac:dyDescent="0.2">
      <c r="A340" s="96"/>
      <c r="B340" s="103">
        <f>IF(AND('AES Indiana Bill Calc.'!$D$17="SH",'AES Indiana Bill Calc.'!$D$18="No",'AES Indiana Bill Calc.'!$D$20="Yes 2026"),'AES Indiana Bill Calc.'!$D$19,-1)</f>
        <v>-1</v>
      </c>
      <c r="C340" s="1" t="s">
        <v>137</v>
      </c>
      <c r="F340" s="36" t="s">
        <v>376</v>
      </c>
      <c r="G340" s="17">
        <f>SUM(J340:M340,O340:P340,R340:AA340)</f>
        <v>54.860000000000007</v>
      </c>
      <c r="H340" s="19" t="e">
        <f>IF(ISBLANK(B340),0,+#REF!/B340)</f>
        <v>#REF!</v>
      </c>
      <c r="I340" s="19"/>
      <c r="J340" s="82">
        <f>IF(ISBLANK(B340),0,+J$227)</f>
        <v>55</v>
      </c>
      <c r="K340" s="82">
        <f>ROUND($B340*K$227,2)</f>
        <v>-0.12</v>
      </c>
      <c r="L340" s="82"/>
      <c r="M340" s="41"/>
      <c r="N340" s="17">
        <f>SUM(K340:L340)</f>
        <v>-0.12</v>
      </c>
      <c r="O340" s="41"/>
      <c r="P340" s="41"/>
      <c r="Q340" s="41"/>
      <c r="R340" s="41"/>
      <c r="S340" s="42">
        <f>ROUND($B340*S$227*S339,2)</f>
        <v>0</v>
      </c>
      <c r="T340" s="42">
        <f>ROUND($B340*T$227,2)</f>
        <v>0</v>
      </c>
      <c r="U340" s="42">
        <f>ROUND($B340*U$227,2)</f>
        <v>0</v>
      </c>
      <c r="V340" s="41">
        <f>ROUND($B340*V$226,2)</f>
        <v>-0.01</v>
      </c>
      <c r="W340" s="42">
        <f>ROUND($B340*W$227,2)</f>
        <v>0</v>
      </c>
      <c r="X340" s="42">
        <f>ROUND($B340*X$227,2)</f>
        <v>-0.01</v>
      </c>
      <c r="Y340" s="42">
        <f>ROUND($B340*Y$227,2)</f>
        <v>0</v>
      </c>
      <c r="Z340" s="42">
        <f>ROUND($B340*Z$227,2)</f>
        <v>0</v>
      </c>
      <c r="AA340" s="42">
        <f>ROUND($B340*AA$227,2)</f>
        <v>0</v>
      </c>
      <c r="AB340" s="19">
        <f>SUM(U$227:AA$227)+(-V$227+V305)</f>
        <v>1.6456999999999999E-2</v>
      </c>
      <c r="AC340" s="94" t="str">
        <f>+F340</f>
        <v>SH6</v>
      </c>
    </row>
    <row r="341" spans="1:29" x14ac:dyDescent="0.2">
      <c r="A341" s="96"/>
      <c r="B341" s="103">
        <v>-1</v>
      </c>
      <c r="C341" s="1"/>
      <c r="F341" s="36"/>
      <c r="G341" s="17"/>
      <c r="H341" s="19"/>
      <c r="I341" s="19"/>
      <c r="J341" s="82"/>
      <c r="K341" s="82"/>
      <c r="L341" s="82"/>
      <c r="M341" s="41"/>
      <c r="N341" s="17"/>
      <c r="O341" s="41"/>
      <c r="P341" s="41"/>
      <c r="Q341" s="41"/>
      <c r="R341" s="41"/>
      <c r="S341" s="42"/>
      <c r="T341" s="42"/>
      <c r="U341" s="42"/>
      <c r="V341" s="41"/>
      <c r="W341" s="42"/>
      <c r="X341" s="42"/>
      <c r="Y341" s="42"/>
      <c r="Z341" s="42"/>
      <c r="AA341" s="42"/>
      <c r="AB341" s="19"/>
      <c r="AC341" s="94"/>
    </row>
    <row r="342" spans="1:29" x14ac:dyDescent="0.2">
      <c r="B342" s="103">
        <v>-1</v>
      </c>
      <c r="C342" s="9"/>
      <c r="G342" s="17"/>
      <c r="H342" s="19"/>
      <c r="I342" s="19"/>
      <c r="J342" s="16"/>
      <c r="K342" s="16"/>
      <c r="L342" s="16"/>
      <c r="M342" s="8"/>
      <c r="N342" s="8"/>
      <c r="O342" s="8"/>
      <c r="P342" s="8"/>
      <c r="Q342" s="8"/>
      <c r="R342" s="8"/>
      <c r="S342" s="17"/>
      <c r="T342" s="17"/>
      <c r="U342" s="17"/>
      <c r="V342" s="27">
        <f>+T9</f>
        <v>0</v>
      </c>
      <c r="W342" s="6" t="s">
        <v>162</v>
      </c>
      <c r="X342" s="17"/>
      <c r="Y342" s="17"/>
      <c r="Z342" s="17"/>
      <c r="AA342" s="17"/>
      <c r="AB342" s="19" t="e">
        <f>+AB$227-V$227+#REF!</f>
        <v>#REF!</v>
      </c>
    </row>
    <row r="343" spans="1:29" x14ac:dyDescent="0.2">
      <c r="B343" s="103">
        <v>-1</v>
      </c>
      <c r="C343" s="9"/>
      <c r="H343" s="19"/>
      <c r="I343" s="19"/>
      <c r="J343" s="16"/>
      <c r="K343" s="16"/>
      <c r="L343" s="16"/>
      <c r="M343" s="8"/>
      <c r="N343" s="8"/>
      <c r="O343" s="8"/>
      <c r="P343" s="8"/>
      <c r="Q343" s="8"/>
      <c r="R343" s="8"/>
      <c r="S343" s="17"/>
      <c r="T343" s="17"/>
      <c r="U343" s="17"/>
      <c r="V343" s="27">
        <f>+T11</f>
        <v>0</v>
      </c>
      <c r="W343" s="6" t="s">
        <v>144</v>
      </c>
      <c r="X343" s="17"/>
      <c r="Y343" s="17"/>
      <c r="Z343" s="17"/>
      <c r="AA343" s="17"/>
      <c r="AB343" s="19">
        <f>+AB$227-V$227+V342</f>
        <v>1.575E-2</v>
      </c>
    </row>
    <row r="344" spans="1:29" x14ac:dyDescent="0.2">
      <c r="B344" s="103">
        <v>-1</v>
      </c>
      <c r="C344" s="9"/>
      <c r="H344" s="19"/>
      <c r="I344" s="19"/>
      <c r="J344" s="16"/>
      <c r="K344" s="16"/>
      <c r="L344" s="16"/>
      <c r="M344" s="8"/>
      <c r="N344" s="8"/>
      <c r="O344" s="8"/>
      <c r="P344" s="8"/>
      <c r="Q344" s="8"/>
      <c r="R344" s="8"/>
      <c r="S344" s="17"/>
      <c r="T344" s="17"/>
      <c r="U344" s="17"/>
      <c r="V344" s="27">
        <f>+T13</f>
        <v>0</v>
      </c>
      <c r="W344" s="6" t="s">
        <v>145</v>
      </c>
      <c r="X344" s="17"/>
      <c r="Y344" s="17"/>
      <c r="Z344" s="17"/>
      <c r="AA344" s="17"/>
      <c r="AB344" s="19">
        <f>+AB$227-V$227+V343</f>
        <v>1.575E-2</v>
      </c>
    </row>
    <row r="345" spans="1:29" x14ac:dyDescent="0.2">
      <c r="B345" s="103">
        <v>-1</v>
      </c>
      <c r="C345" s="9"/>
      <c r="H345" s="19"/>
      <c r="I345" s="19"/>
      <c r="J345" s="16"/>
      <c r="K345" s="16"/>
      <c r="L345" s="16"/>
      <c r="M345" s="8"/>
      <c r="N345" s="8"/>
      <c r="O345" s="8"/>
      <c r="P345" s="8"/>
      <c r="Q345" s="8"/>
      <c r="R345" s="8"/>
      <c r="S345" s="17"/>
      <c r="T345" s="17"/>
      <c r="U345" s="17"/>
      <c r="V345" s="27">
        <f>T15</f>
        <v>0</v>
      </c>
      <c r="W345" s="6" t="s">
        <v>146</v>
      </c>
      <c r="X345" s="17"/>
      <c r="Y345" s="17"/>
      <c r="Z345" s="17"/>
      <c r="AA345" s="17"/>
      <c r="AB345" s="19"/>
    </row>
    <row r="346" spans="1:29" x14ac:dyDescent="0.2">
      <c r="B346" s="103">
        <v>-1</v>
      </c>
      <c r="C346" s="9"/>
      <c r="H346" s="19"/>
      <c r="I346" s="19"/>
      <c r="J346" s="16"/>
      <c r="K346" s="16"/>
      <c r="L346" s="16"/>
      <c r="M346" s="8"/>
      <c r="N346" s="8"/>
      <c r="O346" s="8"/>
      <c r="P346" s="8"/>
      <c r="Q346" s="8"/>
      <c r="R346" s="8"/>
      <c r="S346" s="17"/>
      <c r="T346" s="17"/>
      <c r="U346" s="17"/>
      <c r="V346" s="27">
        <f>$T$18</f>
        <v>0</v>
      </c>
      <c r="W346" s="6" t="s">
        <v>147</v>
      </c>
      <c r="X346" s="17"/>
      <c r="Y346" s="17"/>
      <c r="Z346" s="17"/>
      <c r="AA346" s="17"/>
      <c r="AB346" s="19"/>
    </row>
    <row r="347" spans="1:29" x14ac:dyDescent="0.2">
      <c r="B347" s="103">
        <v>-1</v>
      </c>
      <c r="C347" s="9"/>
      <c r="H347" s="19"/>
      <c r="I347" s="19"/>
      <c r="J347" s="16"/>
      <c r="K347" s="16"/>
      <c r="L347" s="16"/>
      <c r="M347" s="8"/>
      <c r="N347" s="8"/>
      <c r="O347" s="8"/>
      <c r="P347" s="8"/>
      <c r="Q347" s="8"/>
      <c r="R347" s="8"/>
      <c r="S347" s="17"/>
      <c r="T347" s="17"/>
      <c r="U347" s="17"/>
      <c r="V347" s="27">
        <f>$T$20</f>
        <v>0</v>
      </c>
      <c r="W347" s="6" t="s">
        <v>148</v>
      </c>
      <c r="X347" s="17"/>
      <c r="Y347" s="17"/>
      <c r="Z347" s="17"/>
      <c r="AA347" s="17"/>
      <c r="AB347" s="19"/>
    </row>
    <row r="348" spans="1:29" x14ac:dyDescent="0.2">
      <c r="B348" s="103">
        <v>-1</v>
      </c>
      <c r="C348" s="9"/>
      <c r="H348" s="19"/>
      <c r="I348" s="19"/>
      <c r="J348" s="16"/>
      <c r="K348" s="16"/>
      <c r="L348" s="16"/>
      <c r="M348" s="8"/>
      <c r="N348" s="8"/>
      <c r="O348" s="8"/>
      <c r="P348" s="8"/>
      <c r="Q348" s="8"/>
      <c r="R348" s="8"/>
      <c r="S348" s="17"/>
      <c r="T348" s="17"/>
      <c r="U348" s="17"/>
      <c r="V348" s="27">
        <f>$T$22</f>
        <v>-2.5219999999999999E-3</v>
      </c>
      <c r="W348" s="6" t="s">
        <v>149</v>
      </c>
      <c r="X348" s="17"/>
      <c r="Y348" s="17"/>
      <c r="Z348" s="17"/>
      <c r="AA348" s="17"/>
      <c r="AB348" s="19"/>
    </row>
    <row r="349" spans="1:29" x14ac:dyDescent="0.2">
      <c r="B349" s="103">
        <v>-1</v>
      </c>
      <c r="C349" s="9"/>
      <c r="H349" s="19"/>
      <c r="I349" s="19"/>
      <c r="J349" s="16"/>
      <c r="K349" s="16"/>
      <c r="L349" s="16"/>
      <c r="M349" s="8"/>
      <c r="N349" s="8"/>
      <c r="O349" s="8"/>
      <c r="P349" s="8"/>
      <c r="Q349" s="8"/>
      <c r="R349" s="8"/>
      <c r="S349" s="17"/>
      <c r="T349" s="17"/>
      <c r="U349" s="17"/>
      <c r="V349" s="27">
        <f>$T$24</f>
        <v>0</v>
      </c>
      <c r="W349" s="6" t="s">
        <v>150</v>
      </c>
      <c r="X349" s="17"/>
      <c r="Y349" s="17"/>
      <c r="Z349" s="17"/>
      <c r="AA349" s="17"/>
      <c r="AB349" s="19"/>
    </row>
    <row r="350" spans="1:29" x14ac:dyDescent="0.2">
      <c r="B350" s="103">
        <v>-1</v>
      </c>
      <c r="C350" s="9"/>
      <c r="H350" s="19"/>
      <c r="I350" s="19"/>
      <c r="J350" s="16"/>
      <c r="K350" s="16"/>
      <c r="L350" s="16"/>
      <c r="M350" s="8"/>
      <c r="N350" s="8"/>
      <c r="O350" s="8"/>
      <c r="P350" s="8"/>
      <c r="Q350" s="8"/>
      <c r="R350" s="8"/>
      <c r="S350" s="17"/>
      <c r="T350" s="17"/>
      <c r="U350" s="17"/>
      <c r="V350" s="19">
        <f>T26</f>
        <v>0</v>
      </c>
      <c r="W350" s="6" t="s">
        <v>151</v>
      </c>
      <c r="X350" s="17"/>
      <c r="Y350" s="17"/>
      <c r="Z350" s="17"/>
      <c r="AA350" s="17"/>
      <c r="AB350" s="19"/>
    </row>
    <row r="351" spans="1:29" x14ac:dyDescent="0.2">
      <c r="B351" s="103">
        <v>-1</v>
      </c>
      <c r="C351" s="9"/>
      <c r="H351" s="19"/>
      <c r="I351" s="19"/>
      <c r="J351" s="16"/>
      <c r="K351" s="16"/>
      <c r="L351" s="16"/>
      <c r="M351" s="8"/>
      <c r="N351" s="8"/>
      <c r="O351" s="8"/>
      <c r="P351" s="8"/>
      <c r="Q351" s="8"/>
      <c r="R351" s="8"/>
      <c r="S351" s="17"/>
      <c r="T351" s="17"/>
      <c r="U351" s="17"/>
      <c r="V351" s="19">
        <f>T28</f>
        <v>-1.1789999999999999E-3</v>
      </c>
      <c r="W351" s="6" t="s">
        <v>285</v>
      </c>
      <c r="X351" s="17"/>
      <c r="Y351" s="17"/>
      <c r="Z351" s="17"/>
      <c r="AA351" s="17"/>
      <c r="AB351" s="19"/>
    </row>
    <row r="352" spans="1:29" x14ac:dyDescent="0.2">
      <c r="B352" s="103">
        <v>-1</v>
      </c>
      <c r="C352" s="9"/>
      <c r="H352" s="19"/>
      <c r="I352" s="19"/>
      <c r="J352" s="16"/>
      <c r="K352" s="16"/>
      <c r="L352" s="16"/>
      <c r="M352" s="8"/>
      <c r="N352" s="8"/>
      <c r="O352" s="8"/>
      <c r="P352" s="8"/>
      <c r="Q352" s="8"/>
      <c r="R352" s="8"/>
      <c r="S352" s="17"/>
      <c r="T352" s="17"/>
      <c r="U352" s="17"/>
      <c r="V352" s="19">
        <f>T30</f>
        <v>0</v>
      </c>
      <c r="W352" s="6" t="s">
        <v>162</v>
      </c>
      <c r="X352" s="17"/>
      <c r="Y352" s="17"/>
      <c r="Z352" s="17"/>
      <c r="AA352" s="17"/>
      <c r="AB352" s="19"/>
    </row>
    <row r="353" spans="1:29" x14ac:dyDescent="0.2">
      <c r="B353" s="103"/>
      <c r="C353" s="9"/>
      <c r="H353" s="19"/>
      <c r="I353" s="19"/>
      <c r="J353" s="16"/>
      <c r="K353" s="16"/>
      <c r="L353" s="16"/>
      <c r="M353" s="8"/>
      <c r="N353" s="8"/>
      <c r="O353" s="8"/>
      <c r="P353" s="8"/>
      <c r="Q353" s="8"/>
      <c r="R353" s="8"/>
      <c r="S353" s="17"/>
      <c r="T353" s="17"/>
      <c r="U353" s="17"/>
      <c r="V353" s="19">
        <f>T32</f>
        <v>5.8520000000000004E-3</v>
      </c>
      <c r="W353" s="6" t="s">
        <v>144</v>
      </c>
      <c r="X353" s="17"/>
      <c r="Y353" s="17"/>
      <c r="Z353" s="17"/>
      <c r="AA353" s="17"/>
      <c r="AB353" s="19"/>
    </row>
    <row r="354" spans="1:29" x14ac:dyDescent="0.2">
      <c r="B354" s="103">
        <v>-1</v>
      </c>
      <c r="C354" s="4"/>
      <c r="D354" s="73">
        <v>155</v>
      </c>
      <c r="F354" s="72"/>
      <c r="G354" s="70"/>
      <c r="H354" s="70"/>
      <c r="I354" s="75"/>
      <c r="J354" s="157">
        <v>55</v>
      </c>
      <c r="K354" s="158">
        <v>0.13331799999999999</v>
      </c>
      <c r="L354" s="158">
        <v>0.118838</v>
      </c>
      <c r="M354" s="158">
        <v>0.105146</v>
      </c>
      <c r="N354" s="71"/>
      <c r="O354" s="71"/>
      <c r="P354" s="71"/>
      <c r="Q354" s="71"/>
      <c r="R354" s="5"/>
      <c r="S354" s="27">
        <f>+M$4</f>
        <v>1.8E-3</v>
      </c>
      <c r="T354" s="27">
        <f t="shared" ref="T354:AA354" si="22">+R$4</f>
        <v>2.3900000000000001E-4</v>
      </c>
      <c r="U354" s="117">
        <f>+S$4</f>
        <v>3.4810000000000002E-3</v>
      </c>
      <c r="V354" s="27">
        <f t="shared" si="22"/>
        <v>1.2638E-2</v>
      </c>
      <c r="W354" s="27">
        <f t="shared" si="22"/>
        <v>0</v>
      </c>
      <c r="X354" s="27">
        <f t="shared" si="22"/>
        <v>8.8730000000000007E-3</v>
      </c>
      <c r="Y354" s="27">
        <f t="shared" si="22"/>
        <v>-8.1800000000000004E-4</v>
      </c>
      <c r="Z354" s="27">
        <f t="shared" si="22"/>
        <v>4.2139999999999999E-3</v>
      </c>
      <c r="AA354" s="27">
        <f t="shared" si="22"/>
        <v>7.0699999999999995E-4</v>
      </c>
      <c r="AB354" s="19">
        <f>SUM(U354:Z354)</f>
        <v>2.8388E-2</v>
      </c>
    </row>
    <row r="355" spans="1:29" x14ac:dyDescent="0.2">
      <c r="A355" s="1"/>
      <c r="B355" s="103">
        <v>-1</v>
      </c>
      <c r="C355" s="1" t="s">
        <v>172</v>
      </c>
      <c r="D355" s="147" t="s">
        <v>172</v>
      </c>
      <c r="F355" s="72"/>
      <c r="G355" s="70"/>
      <c r="H355" s="70"/>
      <c r="I355" s="75"/>
      <c r="J355" s="73"/>
      <c r="K355" s="73">
        <v>5000</v>
      </c>
      <c r="L355" s="70"/>
      <c r="M355" s="70"/>
      <c r="N355" s="70"/>
      <c r="O355" s="70"/>
      <c r="P355" s="70"/>
      <c r="Q355" s="140" t="s">
        <v>163</v>
      </c>
    </row>
    <row r="356" spans="1:29" x14ac:dyDescent="0.2">
      <c r="B356" s="103">
        <v>-1</v>
      </c>
      <c r="C356" s="33" t="s">
        <v>117</v>
      </c>
      <c r="D356" s="33" t="s">
        <v>117</v>
      </c>
      <c r="F356" s="12"/>
      <c r="I356" s="19"/>
      <c r="J356" s="12" t="s">
        <v>127</v>
      </c>
      <c r="K356" s="254" t="s">
        <v>28</v>
      </c>
      <c r="L356" s="254"/>
      <c r="M356" s="12"/>
      <c r="N356" s="12"/>
      <c r="O356" s="12"/>
      <c r="P356" s="12"/>
      <c r="Q356" s="12"/>
      <c r="R356" s="12"/>
      <c r="S356" s="12">
        <v>21</v>
      </c>
      <c r="T356" s="12">
        <v>6</v>
      </c>
      <c r="U356" s="12">
        <v>3</v>
      </c>
      <c r="V356" s="12">
        <v>22</v>
      </c>
      <c r="W356" s="12">
        <v>13</v>
      </c>
      <c r="X356" s="12">
        <v>20</v>
      </c>
      <c r="Y356" s="12">
        <v>24</v>
      </c>
      <c r="Z356" s="12">
        <v>25</v>
      </c>
      <c r="AA356" s="12">
        <v>26</v>
      </c>
    </row>
    <row r="357" spans="1:29" x14ac:dyDescent="0.2">
      <c r="A357" s="13"/>
      <c r="B357" s="103" t="s">
        <v>130</v>
      </c>
      <c r="C357" s="31" t="s">
        <v>173</v>
      </c>
      <c r="D357" s="13" t="s">
        <v>130</v>
      </c>
      <c r="F357" s="13" t="s">
        <v>131</v>
      </c>
      <c r="G357" s="13" t="s">
        <v>132</v>
      </c>
      <c r="H357" s="13" t="s">
        <v>133</v>
      </c>
      <c r="I357" s="19"/>
      <c r="J357" s="13" t="s">
        <v>134</v>
      </c>
      <c r="K357" s="13" t="s">
        <v>152</v>
      </c>
      <c r="L357" s="13" t="s">
        <v>153</v>
      </c>
      <c r="M357" s="13" t="s">
        <v>174</v>
      </c>
      <c r="N357" s="140" t="s">
        <v>128</v>
      </c>
      <c r="O357" s="13"/>
      <c r="P357" s="13"/>
      <c r="Q357" s="13"/>
      <c r="R357" s="13"/>
      <c r="S357" s="13" t="s">
        <v>96</v>
      </c>
      <c r="T357" s="13" t="s">
        <v>36</v>
      </c>
      <c r="U357" s="136" t="s">
        <v>38</v>
      </c>
      <c r="V357" s="13" t="s">
        <v>97</v>
      </c>
      <c r="W357" s="13" t="s">
        <v>98</v>
      </c>
      <c r="X357" s="13" t="s">
        <v>99</v>
      </c>
      <c r="Y357" s="136" t="s">
        <v>44</v>
      </c>
      <c r="Z357" s="136" t="s">
        <v>46</v>
      </c>
      <c r="AA357" s="136" t="s">
        <v>48</v>
      </c>
      <c r="AB357" s="66" t="s">
        <v>100</v>
      </c>
    </row>
    <row r="358" spans="1:29" x14ac:dyDescent="0.2">
      <c r="B358" s="103">
        <v>-1</v>
      </c>
      <c r="C358" s="34"/>
      <c r="F358" s="12"/>
      <c r="G358" s="12"/>
      <c r="H358" s="12"/>
      <c r="I358" s="19"/>
      <c r="J358" s="12"/>
      <c r="K358" s="35">
        <f>IF(D359&gt;K$355,+K$355,D359)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x14ac:dyDescent="0.2">
      <c r="A359" s="1" t="s">
        <v>138</v>
      </c>
      <c r="B359" s="103">
        <f>IF(AND('AES Indiana Bill Calc.'!$D$17="SE",'AES Indiana Bill Calc.'!$D$18="Yes 100%",'AES Indiana Bill Calc.'!$D$20="No"),'AES Indiana Bill Calc.'!$D$19,-1)</f>
        <v>-1</v>
      </c>
      <c r="C359" s="103" t="b">
        <f>IF(AND('AES Indiana Bill Calc.'!$D$17="SE",'AES Indiana Bill Calc.'!$D$18="Yes 100%",'AES Indiana Bill Calc.'!$D$20="No"),'AES Indiana Bill Calc.'!$D$23)</f>
        <v>0</v>
      </c>
      <c r="D359" s="2">
        <f>ROUND(C359*D$354,0)</f>
        <v>0</v>
      </c>
      <c r="F359" s="36" t="s">
        <v>57</v>
      </c>
      <c r="G359" s="17">
        <f>SUM(J359:M359,O359:P359,R359:AA359)</f>
        <v>54.980000000000004</v>
      </c>
      <c r="H359" s="19" t="e">
        <f>IF(ISBLANK(B359),0,+#REF!/B359)</f>
        <v>#REF!</v>
      </c>
      <c r="I359" s="19"/>
      <c r="J359" s="16">
        <f>IF(ISBLANK(B359),0,+J$354)</f>
        <v>55</v>
      </c>
      <c r="K359" s="16">
        <f>ROUND(K358*K$354,2)</f>
        <v>0</v>
      </c>
      <c r="L359" s="16">
        <f>ROUND(L358*L$354,2)</f>
        <v>0</v>
      </c>
      <c r="M359" s="16">
        <f>ROUND(M358*M$354,2)</f>
        <v>0</v>
      </c>
      <c r="N359" s="16">
        <f>SUM(K359:M359)</f>
        <v>0</v>
      </c>
      <c r="O359" s="16"/>
      <c r="P359" s="16"/>
      <c r="Q359" s="16"/>
      <c r="R359" s="8"/>
      <c r="S359" s="17">
        <f>ROUND($B359*S$354*S358,2)</f>
        <v>0</v>
      </c>
      <c r="T359" s="17">
        <f t="shared" ref="T359:AA359" si="23">ROUND($B359*T$354,2)</f>
        <v>0</v>
      </c>
      <c r="U359" s="17">
        <f t="shared" si="23"/>
        <v>0</v>
      </c>
      <c r="V359" s="17">
        <f t="shared" si="23"/>
        <v>-0.01</v>
      </c>
      <c r="W359" s="17">
        <f t="shared" si="23"/>
        <v>0</v>
      </c>
      <c r="X359" s="17">
        <f t="shared" si="23"/>
        <v>-0.01</v>
      </c>
      <c r="Y359" s="17">
        <f t="shared" si="23"/>
        <v>0</v>
      </c>
      <c r="Z359" s="17">
        <f t="shared" si="23"/>
        <v>0</v>
      </c>
      <c r="AA359" s="17">
        <f t="shared" si="23"/>
        <v>0</v>
      </c>
      <c r="AB359" s="19">
        <f>SUM(U354:AA354)</f>
        <v>2.9094999999999999E-2</v>
      </c>
      <c r="AC359" s="67" t="str">
        <f>+F359</f>
        <v>SE</v>
      </c>
    </row>
    <row r="360" spans="1:29" x14ac:dyDescent="0.2">
      <c r="A360" s="9"/>
      <c r="B360" s="103">
        <v>-1</v>
      </c>
      <c r="C360" s="34"/>
      <c r="F360" s="12"/>
      <c r="G360" s="12"/>
      <c r="H360" s="12"/>
      <c r="I360" s="19"/>
      <c r="J360" s="12"/>
      <c r="K360" s="35">
        <f>IF(D361&gt;K$355,+K$355,D361)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x14ac:dyDescent="0.2">
      <c r="A361" s="1" t="s">
        <v>139</v>
      </c>
      <c r="B361" s="103">
        <f>IF(AND('AES Indiana Bill Calc.'!$D$17="SE",'AES Indiana Bill Calc.'!$D$18="Yes 50%",'AES Indiana Bill Calc.'!$D$20="No"),'AES Indiana Bill Calc.'!$D$19,-1)</f>
        <v>-1</v>
      </c>
      <c r="C361" s="103" t="b">
        <f>IF(AND('AES Indiana Bill Calc.'!$D$17="SE",'AES Indiana Bill Calc.'!$D$18="Yes 50%",'AES Indiana Bill Calc.'!$D$20="No"),'AES Indiana Bill Calc.'!$D$23)</f>
        <v>0</v>
      </c>
      <c r="D361" s="2">
        <f>ROUND(C361*D$354,0)</f>
        <v>0</v>
      </c>
      <c r="F361" s="36" t="s">
        <v>57</v>
      </c>
      <c r="G361" s="17">
        <f>SUM(J361:M361,O361:P361,R361:AA361)</f>
        <v>54.980000000000004</v>
      </c>
      <c r="H361" s="19" t="e">
        <f>IF(ISBLANK(B361),0,+#REF!/B361)</f>
        <v>#REF!</v>
      </c>
      <c r="I361" s="19"/>
      <c r="J361" s="16">
        <f>IF(ISBLANK(B361),0,+J$354)</f>
        <v>55</v>
      </c>
      <c r="K361" s="16">
        <f>ROUND(K360*K$354,2)</f>
        <v>0</v>
      </c>
      <c r="L361" s="16">
        <f>ROUND(L360*L$354,2)</f>
        <v>0</v>
      </c>
      <c r="M361" s="16">
        <f>ROUND(M360*M$354,2)</f>
        <v>0</v>
      </c>
      <c r="N361" s="16">
        <f>SUM(K361:M361)</f>
        <v>0</v>
      </c>
      <c r="O361" s="16"/>
      <c r="P361" s="16"/>
      <c r="Q361" s="16"/>
      <c r="R361" s="8"/>
      <c r="S361" s="17">
        <f>ROUND($B361*S$354*S360,2)</f>
        <v>0</v>
      </c>
      <c r="T361" s="17">
        <f t="shared" ref="T361:AA361" si="24">ROUND($B361*T$354,2)</f>
        <v>0</v>
      </c>
      <c r="U361" s="17">
        <f t="shared" si="24"/>
        <v>0</v>
      </c>
      <c r="V361" s="17">
        <f t="shared" si="24"/>
        <v>-0.01</v>
      </c>
      <c r="W361" s="17">
        <f t="shared" si="24"/>
        <v>0</v>
      </c>
      <c r="X361" s="17">
        <f t="shared" si="24"/>
        <v>-0.01</v>
      </c>
      <c r="Y361" s="17">
        <f t="shared" si="24"/>
        <v>0</v>
      </c>
      <c r="Z361" s="17">
        <f t="shared" si="24"/>
        <v>0</v>
      </c>
      <c r="AA361" s="17">
        <f t="shared" si="24"/>
        <v>0</v>
      </c>
      <c r="AB361" s="19">
        <f>SUM(U356:AA356)</f>
        <v>133</v>
      </c>
      <c r="AC361" s="67" t="str">
        <f>+F361</f>
        <v>SE</v>
      </c>
    </row>
    <row r="362" spans="1:29" x14ac:dyDescent="0.2">
      <c r="A362" s="9"/>
      <c r="B362" s="103">
        <v>-1</v>
      </c>
      <c r="C362" s="34"/>
      <c r="F362" s="12"/>
      <c r="G362" s="12"/>
      <c r="H362" s="12"/>
      <c r="I362" s="19"/>
      <c r="J362" s="12"/>
      <c r="K362" s="35">
        <f>IF(D363&gt;K$355,+K$355,D363)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x14ac:dyDescent="0.2">
      <c r="A363" s="1" t="s">
        <v>140</v>
      </c>
      <c r="B363" s="103">
        <f>IF(AND('AES Indiana Bill Calc.'!$D$17="SE",'AES Indiana Bill Calc.'!$D$18="Yes 25%",'AES Indiana Bill Calc.'!$D$20="No"),'AES Indiana Bill Calc.'!$D$19,-1)</f>
        <v>-1</v>
      </c>
      <c r="C363" s="103" t="b">
        <f>IF(AND('AES Indiana Bill Calc.'!$D$17="SE",'AES Indiana Bill Calc.'!$D$18="Yes 25%",'AES Indiana Bill Calc.'!$D$20="No"),'AES Indiana Bill Calc.'!$D$23)</f>
        <v>0</v>
      </c>
      <c r="D363" s="2">
        <f>ROUND(C363*D$354,0)</f>
        <v>0</v>
      </c>
      <c r="F363" s="36" t="s">
        <v>57</v>
      </c>
      <c r="G363" s="17">
        <f>SUM(J363:M363,O363:P363,R363:AA363)</f>
        <v>54.980000000000004</v>
      </c>
      <c r="H363" s="19" t="e">
        <f>IF(ISBLANK(B363),0,+#REF!/B363)</f>
        <v>#REF!</v>
      </c>
      <c r="I363" s="19"/>
      <c r="J363" s="16">
        <f>IF(ISBLANK(B363),0,+J$354)</f>
        <v>55</v>
      </c>
      <c r="K363" s="16">
        <f>ROUND(K362*K$354,2)</f>
        <v>0</v>
      </c>
      <c r="L363" s="16">
        <f>ROUND(L362*L$354,2)</f>
        <v>0</v>
      </c>
      <c r="M363" s="16">
        <f>ROUND(M362*M$354,2)</f>
        <v>0</v>
      </c>
      <c r="N363" s="16">
        <f>SUM(K363:M363)</f>
        <v>0</v>
      </c>
      <c r="O363" s="16"/>
      <c r="P363" s="16"/>
      <c r="Q363" s="16"/>
      <c r="R363" s="8"/>
      <c r="S363" s="17">
        <f>ROUND($B363*S$354*S362,2)</f>
        <v>0</v>
      </c>
      <c r="T363" s="17">
        <f t="shared" ref="T363:AA363" si="25">ROUND($B363*T$354,2)</f>
        <v>0</v>
      </c>
      <c r="U363" s="17">
        <f t="shared" si="25"/>
        <v>0</v>
      </c>
      <c r="V363" s="17">
        <f t="shared" si="25"/>
        <v>-0.01</v>
      </c>
      <c r="W363" s="17">
        <f t="shared" si="25"/>
        <v>0</v>
      </c>
      <c r="X363" s="17">
        <f t="shared" si="25"/>
        <v>-0.01</v>
      </c>
      <c r="Y363" s="17">
        <f t="shared" si="25"/>
        <v>0</v>
      </c>
      <c r="Z363" s="17">
        <f t="shared" si="25"/>
        <v>0</v>
      </c>
      <c r="AA363" s="17">
        <f t="shared" si="25"/>
        <v>0</v>
      </c>
      <c r="AB363" s="19">
        <f>SUM(U358:AA358)</f>
        <v>0</v>
      </c>
      <c r="AC363" s="67" t="str">
        <f>+F363</f>
        <v>SE</v>
      </c>
    </row>
    <row r="364" spans="1:29" x14ac:dyDescent="0.2">
      <c r="A364" s="9"/>
      <c r="B364" s="103">
        <v>-1</v>
      </c>
      <c r="C364" s="34"/>
      <c r="F364" s="12"/>
      <c r="G364" s="12"/>
      <c r="H364" s="12"/>
      <c r="I364" s="19"/>
      <c r="J364" s="12"/>
      <c r="K364" s="35">
        <f>IF(D365&gt;K$355,+K$355,D365)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x14ac:dyDescent="0.2">
      <c r="A365" s="1" t="s">
        <v>154</v>
      </c>
      <c r="B365" s="103">
        <f>IF(AND('AES Indiana Bill Calc.'!$D$17="SE",'AES Indiana Bill Calc.'!$D$18="Yes 10%",'AES Indiana Bill Calc.'!$D$20="No"),'AES Indiana Bill Calc.'!$D$19,-1)</f>
        <v>-1</v>
      </c>
      <c r="C365" s="103" t="b">
        <f>IF(AND('AES Indiana Bill Calc.'!$D$17="SE",'AES Indiana Bill Calc.'!$D$18="Yes 10%",'AES Indiana Bill Calc.'!$D$20="No"),'AES Indiana Bill Calc.'!$D$23)</f>
        <v>0</v>
      </c>
      <c r="D365" s="2">
        <f>ROUND(C365*D$354,0)</f>
        <v>0</v>
      </c>
      <c r="F365" s="36" t="s">
        <v>57</v>
      </c>
      <c r="G365" s="17">
        <f>SUM(J365:M365,O365:P365,R365:AA365)</f>
        <v>54.980000000000004</v>
      </c>
      <c r="H365" s="19" t="e">
        <f>IF(ISBLANK(B365),0,+#REF!/B365)</f>
        <v>#REF!</v>
      </c>
      <c r="I365" s="19"/>
      <c r="J365" s="16">
        <f>IF(ISBLANK(B365),0,+J$354)</f>
        <v>55</v>
      </c>
      <c r="K365" s="16">
        <f>ROUND(K364*K$354,2)</f>
        <v>0</v>
      </c>
      <c r="L365" s="16">
        <f>ROUND(L364*L$354,2)</f>
        <v>0</v>
      </c>
      <c r="M365" s="16">
        <f>ROUND(M364*M$354,2)</f>
        <v>0</v>
      </c>
      <c r="N365" s="16">
        <f>SUM(K365:M365)</f>
        <v>0</v>
      </c>
      <c r="O365" s="16"/>
      <c r="P365" s="16"/>
      <c r="Q365" s="16"/>
      <c r="R365" s="8"/>
      <c r="S365" s="17">
        <f>ROUND($B365*S$354*S364,2)</f>
        <v>0</v>
      </c>
      <c r="T365" s="17">
        <f t="shared" ref="T365:AA365" si="26">ROUND($B365*T$354,2)</f>
        <v>0</v>
      </c>
      <c r="U365" s="17">
        <f t="shared" si="26"/>
        <v>0</v>
      </c>
      <c r="V365" s="17">
        <f t="shared" si="26"/>
        <v>-0.01</v>
      </c>
      <c r="W365" s="17">
        <f t="shared" si="26"/>
        <v>0</v>
      </c>
      <c r="X365" s="17">
        <f t="shared" si="26"/>
        <v>-0.01</v>
      </c>
      <c r="Y365" s="17">
        <f t="shared" si="26"/>
        <v>0</v>
      </c>
      <c r="Z365" s="17">
        <f t="shared" si="26"/>
        <v>0</v>
      </c>
      <c r="AA365" s="17">
        <f t="shared" si="26"/>
        <v>0</v>
      </c>
      <c r="AB365" s="19">
        <f>SUM(U360:AA360)</f>
        <v>0</v>
      </c>
      <c r="AC365" s="67" t="str">
        <f>+F365</f>
        <v>SE</v>
      </c>
    </row>
    <row r="366" spans="1:29" x14ac:dyDescent="0.2">
      <c r="A366" s="9"/>
      <c r="B366" s="103">
        <v>-1</v>
      </c>
      <c r="C366" s="34"/>
      <c r="F366" s="12"/>
      <c r="G366" s="12"/>
      <c r="H366" s="12"/>
      <c r="I366" s="19"/>
      <c r="J366" s="12"/>
      <c r="K366" s="35">
        <f>IF(D367&gt;K$355,+K$355,D367)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x14ac:dyDescent="0.2">
      <c r="A367" s="1" t="s">
        <v>137</v>
      </c>
      <c r="B367" s="103">
        <f>IF(AND('AES Indiana Bill Calc.'!$D$17="SE",'AES Indiana Bill Calc.'!$D$18="No",'AES Indiana Bill Calc.'!$D$20="No"),'AES Indiana Bill Calc.'!$D$19,-1)</f>
        <v>-1</v>
      </c>
      <c r="C367" s="103" t="b">
        <f>IF(AND('AES Indiana Bill Calc.'!$D$17="SE",'AES Indiana Bill Calc.'!$D$18="No",'AES Indiana Bill Calc.'!$D$20="No"),'AES Indiana Bill Calc.'!$D$23)</f>
        <v>0</v>
      </c>
      <c r="D367" s="2">
        <f>ROUND(C367*D$354,0)</f>
        <v>0</v>
      </c>
      <c r="F367" s="36" t="s">
        <v>57</v>
      </c>
      <c r="G367" s="17">
        <f>SUM(J367:M367,O367:P367,R367:AA367)</f>
        <v>54.980000000000004</v>
      </c>
      <c r="H367" s="19" t="e">
        <f>IF(ISBLANK(B367),0,+#REF!/B367)</f>
        <v>#REF!</v>
      </c>
      <c r="I367" s="19"/>
      <c r="J367" s="16">
        <f>IF(ISBLANK(B367),0,+J$354)</f>
        <v>55</v>
      </c>
      <c r="K367" s="16">
        <f>ROUND(K366*K$354,2)</f>
        <v>0</v>
      </c>
      <c r="L367" s="16">
        <f>ROUND(L366*L$354,2)</f>
        <v>0</v>
      </c>
      <c r="M367" s="16">
        <f>ROUND(M366*M$354,2)</f>
        <v>0</v>
      </c>
      <c r="N367" s="16">
        <f>SUM(K367:M367)</f>
        <v>0</v>
      </c>
      <c r="O367" s="16"/>
      <c r="P367" s="16"/>
      <c r="Q367" s="16"/>
      <c r="R367" s="8"/>
      <c r="S367" s="17">
        <f>ROUND($B367*S$354*S366,2)</f>
        <v>0</v>
      </c>
      <c r="T367" s="17">
        <f t="shared" ref="T367:AA367" si="27">ROUND($B367*T$354,2)</f>
        <v>0</v>
      </c>
      <c r="U367" s="17">
        <f t="shared" si="27"/>
        <v>0</v>
      </c>
      <c r="V367" s="17">
        <f t="shared" si="27"/>
        <v>-0.01</v>
      </c>
      <c r="W367" s="17">
        <f t="shared" si="27"/>
        <v>0</v>
      </c>
      <c r="X367" s="17">
        <f t="shared" si="27"/>
        <v>-0.01</v>
      </c>
      <c r="Y367" s="17">
        <f t="shared" si="27"/>
        <v>0</v>
      </c>
      <c r="Z367" s="17">
        <f t="shared" si="27"/>
        <v>0</v>
      </c>
      <c r="AA367" s="17">
        <f t="shared" si="27"/>
        <v>0</v>
      </c>
      <c r="AB367" s="19">
        <f>SUM(U362:AA362)</f>
        <v>0</v>
      </c>
      <c r="AC367" s="67" t="str">
        <f>+F367</f>
        <v>SE</v>
      </c>
    </row>
    <row r="368" spans="1:29" x14ac:dyDescent="0.2">
      <c r="B368" s="103">
        <v>-1</v>
      </c>
      <c r="C368" s="34"/>
      <c r="F368" s="12"/>
      <c r="G368" s="12"/>
      <c r="H368" s="12"/>
      <c r="I368" s="19"/>
      <c r="J368" s="12"/>
      <c r="K368" s="35">
        <f>IF(D369&gt;K$355,+K$355,D369)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x14ac:dyDescent="0.2">
      <c r="A369" s="1" t="s">
        <v>138</v>
      </c>
      <c r="B369" s="103">
        <f>IF(AND('AES Indiana Bill Calc.'!$D$17="SE",'AES Indiana Bill Calc.'!$D$18="Yes 100%",'AES Indiana Bill Calc.'!$D$20="Yes Before 2018"),'AES Indiana Bill Calc.'!$D$19,-1)</f>
        <v>-1</v>
      </c>
      <c r="C369" s="103" t="b">
        <f>IF(AND('AES Indiana Bill Calc.'!$D$17="SE",'AES Indiana Bill Calc.'!$D$18="Yes 100%",'AES Indiana Bill Calc.'!$D$20="Yes Before 2018"),'AES Indiana Bill Calc.'!$D$23)</f>
        <v>0</v>
      </c>
      <c r="D369" s="2">
        <f>ROUND(C369*D$354,0)</f>
        <v>0</v>
      </c>
      <c r="F369" s="36" t="s">
        <v>175</v>
      </c>
      <c r="G369" s="17">
        <f>SUM(J369:M369,O369:P369,R369:AA369)</f>
        <v>54.99</v>
      </c>
      <c r="H369" s="19" t="e">
        <f>IF(ISBLANK(B369),0,+#REF!/B369)</f>
        <v>#REF!</v>
      </c>
      <c r="I369" s="19"/>
      <c r="J369" s="16">
        <f>IF(ISBLANK(B369),0,+J$354)</f>
        <v>55</v>
      </c>
      <c r="K369" s="16">
        <f>ROUND(K368*K$354,2)</f>
        <v>0</v>
      </c>
      <c r="L369" s="16">
        <f>ROUND(L368*L$354,2)</f>
        <v>0</v>
      </c>
      <c r="M369" s="16">
        <f>ROUND(M368*M$354,2)</f>
        <v>0</v>
      </c>
      <c r="N369" s="16">
        <f>SUM(K369:M369)</f>
        <v>0</v>
      </c>
      <c r="O369" s="16"/>
      <c r="P369" s="16"/>
      <c r="Q369" s="16"/>
      <c r="R369" s="8"/>
      <c r="S369" s="17">
        <f>ROUND($B369*S$354*S368,2)</f>
        <v>0</v>
      </c>
      <c r="T369" s="17">
        <f>ROUND($B369*T$354,2)</f>
        <v>0</v>
      </c>
      <c r="U369" s="17">
        <f>ROUND($B369*U$354,2)</f>
        <v>0</v>
      </c>
      <c r="V369" s="17">
        <f>ROUND($B369*V$344,2)</f>
        <v>0</v>
      </c>
      <c r="W369" s="17">
        <f>ROUND($B369*W$354,2)</f>
        <v>0</v>
      </c>
      <c r="X369" s="17">
        <f>ROUND($B369*X$354,2)</f>
        <v>-0.01</v>
      </c>
      <c r="Y369" s="17">
        <f>ROUND($B369*Y$354,2)</f>
        <v>0</v>
      </c>
      <c r="Z369" s="17">
        <f>ROUND($B369*Z$354,2)</f>
        <v>0</v>
      </c>
      <c r="AA369" s="17">
        <f>ROUND($B369*AA$354,2)</f>
        <v>0</v>
      </c>
      <c r="AB369" s="19">
        <f>SUM(U364:AA364)</f>
        <v>0</v>
      </c>
      <c r="AC369" s="67" t="str">
        <f>+F369</f>
        <v>SE7</v>
      </c>
    </row>
    <row r="370" spans="1:29" x14ac:dyDescent="0.2">
      <c r="A370" s="9"/>
      <c r="B370" s="103">
        <v>-1</v>
      </c>
      <c r="C370" s="34"/>
      <c r="F370" s="12"/>
      <c r="G370" s="12"/>
      <c r="H370" s="12"/>
      <c r="I370" s="19"/>
      <c r="J370" s="12"/>
      <c r="K370" s="35">
        <f>IF(D371&gt;K$355,+K$355,D371)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x14ac:dyDescent="0.2">
      <c r="A371" s="1" t="s">
        <v>139</v>
      </c>
      <c r="B371" s="103">
        <f>IF(AND('AES Indiana Bill Calc.'!$D$17="SE",'AES Indiana Bill Calc.'!$D$18="Yes 50%",'AES Indiana Bill Calc.'!$D$20="Yes Before 2018"),'AES Indiana Bill Calc.'!$D$19,-1)</f>
        <v>-1</v>
      </c>
      <c r="C371" s="103" t="b">
        <f>IF(AND('AES Indiana Bill Calc.'!$D$17="SE",'AES Indiana Bill Calc.'!$D$18="Yes 50%",'AES Indiana Bill Calc.'!$D$20="Yes Before 2018"),'AES Indiana Bill Calc.'!$D$23)</f>
        <v>0</v>
      </c>
      <c r="D371" s="2">
        <f>ROUND(C371*D$354,0)</f>
        <v>0</v>
      </c>
      <c r="F371" s="36" t="s">
        <v>175</v>
      </c>
      <c r="G371" s="17">
        <f>SUM(J371:M371,O371:P371,R371:AA371)</f>
        <v>54.99</v>
      </c>
      <c r="H371" s="19" t="e">
        <f>IF(ISBLANK(B371),0,+#REF!/B371)</f>
        <v>#REF!</v>
      </c>
      <c r="I371" s="19"/>
      <c r="J371" s="16">
        <f>IF(ISBLANK(B371),0,+J$354)</f>
        <v>55</v>
      </c>
      <c r="K371" s="16">
        <f>ROUND(K370*K$354,2)</f>
        <v>0</v>
      </c>
      <c r="L371" s="16">
        <f>ROUND(L370*L$354,2)</f>
        <v>0</v>
      </c>
      <c r="M371" s="16">
        <f>ROUND(M370*M$354,2)</f>
        <v>0</v>
      </c>
      <c r="N371" s="16">
        <f>SUM(K371:M371)</f>
        <v>0</v>
      </c>
      <c r="O371" s="16"/>
      <c r="P371" s="16"/>
      <c r="Q371" s="16"/>
      <c r="R371" s="8"/>
      <c r="S371" s="17">
        <f>ROUND($B371*S$354*S370,2)</f>
        <v>0</v>
      </c>
      <c r="T371" s="17">
        <f>ROUND($B371*T$354,2)</f>
        <v>0</v>
      </c>
      <c r="U371" s="17">
        <f>ROUND($B371*U$354,2)</f>
        <v>0</v>
      </c>
      <c r="V371" s="17">
        <f>ROUND($B371*V$344,2)</f>
        <v>0</v>
      </c>
      <c r="W371" s="17">
        <f>ROUND($B371*W$354,2)</f>
        <v>0</v>
      </c>
      <c r="X371" s="17">
        <f>ROUND($B371*X$354,2)</f>
        <v>-0.01</v>
      </c>
      <c r="Y371" s="17">
        <f>ROUND($B371*Y$354,2)</f>
        <v>0</v>
      </c>
      <c r="Z371" s="17">
        <f>ROUND($B371*Z$354,2)</f>
        <v>0</v>
      </c>
      <c r="AA371" s="17">
        <f>ROUND($B371*AA$354,2)</f>
        <v>0</v>
      </c>
      <c r="AB371" s="19">
        <f>SUM(U366:AA366)</f>
        <v>0</v>
      </c>
      <c r="AC371" s="67" t="str">
        <f>+F371</f>
        <v>SE7</v>
      </c>
    </row>
    <row r="372" spans="1:29" x14ac:dyDescent="0.2">
      <c r="A372" s="9"/>
      <c r="B372" s="103">
        <v>-1</v>
      </c>
      <c r="C372" s="34"/>
      <c r="F372" s="12"/>
      <c r="G372" s="12"/>
      <c r="H372" s="12"/>
      <c r="I372" s="19"/>
      <c r="J372" s="12"/>
      <c r="K372" s="35">
        <f>IF(D373&gt;K$355,+K$355,D373)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x14ac:dyDescent="0.2">
      <c r="A373" s="1" t="s">
        <v>140</v>
      </c>
      <c r="B373" s="103">
        <f>IF(AND('AES Indiana Bill Calc.'!$D$17="SE",'AES Indiana Bill Calc.'!$D$18="Yes 25%",'AES Indiana Bill Calc.'!$D$20="Yes Before 2018"),'AES Indiana Bill Calc.'!$D$19,-1)</f>
        <v>-1</v>
      </c>
      <c r="C373" s="103" t="b">
        <f>IF(AND('AES Indiana Bill Calc.'!$D$17="SE",'AES Indiana Bill Calc.'!$D$18="Yes 25%",'AES Indiana Bill Calc.'!$D$20="Yes Before 2018"),'AES Indiana Bill Calc.'!$D$23)</f>
        <v>0</v>
      </c>
      <c r="D373" s="2">
        <f>ROUND(C373*D$354,0)</f>
        <v>0</v>
      </c>
      <c r="F373" s="36" t="s">
        <v>175</v>
      </c>
      <c r="G373" s="17">
        <f>SUM(J373:M373,O373:P373,R373:AA373)</f>
        <v>54.99</v>
      </c>
      <c r="H373" s="19" t="e">
        <f>IF(ISBLANK(B373),0,+#REF!/B373)</f>
        <v>#REF!</v>
      </c>
      <c r="I373" s="19"/>
      <c r="J373" s="16">
        <f>IF(ISBLANK(B373),0,+J$354)</f>
        <v>55</v>
      </c>
      <c r="K373" s="16">
        <f>ROUND(K372*K$354,2)</f>
        <v>0</v>
      </c>
      <c r="L373" s="16">
        <f>ROUND(L372*L$354,2)</f>
        <v>0</v>
      </c>
      <c r="M373" s="16">
        <f>ROUND(M372*M$354,2)</f>
        <v>0</v>
      </c>
      <c r="N373" s="16">
        <f>SUM(K373:M373)</f>
        <v>0</v>
      </c>
      <c r="O373" s="16"/>
      <c r="P373" s="16"/>
      <c r="Q373" s="16"/>
      <c r="R373" s="8"/>
      <c r="S373" s="17">
        <f>ROUND($B373*S$354*S372,2)</f>
        <v>0</v>
      </c>
      <c r="T373" s="17">
        <f>ROUND($B373*T$354,2)</f>
        <v>0</v>
      </c>
      <c r="U373" s="17">
        <f>ROUND($B373*U$354,2)</f>
        <v>0</v>
      </c>
      <c r="V373" s="17">
        <f>ROUND($B373*V$344,2)</f>
        <v>0</v>
      </c>
      <c r="W373" s="17">
        <f>ROUND($B373*W$354,2)</f>
        <v>0</v>
      </c>
      <c r="X373" s="17">
        <f>ROUND($B373*X$354,2)</f>
        <v>-0.01</v>
      </c>
      <c r="Y373" s="17">
        <f>ROUND($B373*Y$354,2)</f>
        <v>0</v>
      </c>
      <c r="Z373" s="17">
        <f>ROUND($B373*Z$354,2)</f>
        <v>0</v>
      </c>
      <c r="AA373" s="17">
        <f>ROUND($B373*AA$354,2)</f>
        <v>0</v>
      </c>
      <c r="AB373" s="19">
        <f>SUM(U368:AA368)</f>
        <v>0</v>
      </c>
      <c r="AC373" s="67" t="str">
        <f>+F373</f>
        <v>SE7</v>
      </c>
    </row>
    <row r="374" spans="1:29" x14ac:dyDescent="0.2">
      <c r="A374" s="9"/>
      <c r="B374" s="103">
        <v>-1</v>
      </c>
      <c r="C374" s="34"/>
      <c r="F374" s="12"/>
      <c r="G374" s="12"/>
      <c r="H374" s="12"/>
      <c r="I374" s="19"/>
      <c r="J374" s="12"/>
      <c r="K374" s="35">
        <f>IF(D375&gt;K$355,+K$355,D375)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x14ac:dyDescent="0.2">
      <c r="A375" s="1" t="s">
        <v>154</v>
      </c>
      <c r="B375" s="103">
        <f>IF(AND('AES Indiana Bill Calc.'!$D$17="SE",'AES Indiana Bill Calc.'!$D$18="Yes 10%",'AES Indiana Bill Calc.'!$D$20="Yes Before 2018"),'AES Indiana Bill Calc.'!$D$19,-1)</f>
        <v>-1</v>
      </c>
      <c r="C375" s="103" t="b">
        <f>IF(AND('AES Indiana Bill Calc.'!$D$17="SE",'AES Indiana Bill Calc.'!$D$18="Yes 10%",'AES Indiana Bill Calc.'!$D$20="Yes Before 2018"),'AES Indiana Bill Calc.'!$D$23)</f>
        <v>0</v>
      </c>
      <c r="D375" s="2">
        <f>ROUND(C375*D$354,0)</f>
        <v>0</v>
      </c>
      <c r="F375" s="36" t="s">
        <v>175</v>
      </c>
      <c r="G375" s="17">
        <f>SUM(J375:M375,O375:P375,R375:AA375)</f>
        <v>54.99</v>
      </c>
      <c r="H375" s="19" t="e">
        <f>IF(ISBLANK(B375),0,+#REF!/B375)</f>
        <v>#REF!</v>
      </c>
      <c r="I375" s="19"/>
      <c r="J375" s="16">
        <f>IF(ISBLANK(B375),0,+J$354)</f>
        <v>55</v>
      </c>
      <c r="K375" s="16">
        <f>ROUND(K374*K$354,2)</f>
        <v>0</v>
      </c>
      <c r="L375" s="16">
        <f>ROUND(L374*L$354,2)</f>
        <v>0</v>
      </c>
      <c r="M375" s="16">
        <f>ROUND(M374*M$354,2)</f>
        <v>0</v>
      </c>
      <c r="N375" s="16">
        <f>SUM(K375:M375)</f>
        <v>0</v>
      </c>
      <c r="O375" s="16"/>
      <c r="P375" s="16"/>
      <c r="Q375" s="16"/>
      <c r="R375" s="8"/>
      <c r="S375" s="17">
        <f>ROUND($B375*S$354*S374,2)</f>
        <v>0</v>
      </c>
      <c r="T375" s="17">
        <f>ROUND($B375*T$354,2)</f>
        <v>0</v>
      </c>
      <c r="U375" s="17">
        <f>ROUND($B375*U$354,2)</f>
        <v>0</v>
      </c>
      <c r="V375" s="17">
        <f>ROUND($B375*V$344,2)</f>
        <v>0</v>
      </c>
      <c r="W375" s="17">
        <f>ROUND($B375*W$354,2)</f>
        <v>0</v>
      </c>
      <c r="X375" s="17">
        <f>ROUND($B375*X$354,2)</f>
        <v>-0.01</v>
      </c>
      <c r="Y375" s="17">
        <f>ROUND($B375*Y$354,2)</f>
        <v>0</v>
      </c>
      <c r="Z375" s="17">
        <f>ROUND($B375*Z$354,2)</f>
        <v>0</v>
      </c>
      <c r="AA375" s="17">
        <f>ROUND($B375*AA$354,2)</f>
        <v>0</v>
      </c>
      <c r="AB375" s="19">
        <f>SUM(U370:AA370)</f>
        <v>0</v>
      </c>
      <c r="AC375" s="67" t="str">
        <f>+F375</f>
        <v>SE7</v>
      </c>
    </row>
    <row r="376" spans="1:29" x14ac:dyDescent="0.2">
      <c r="A376" s="9"/>
      <c r="B376" s="103">
        <v>-1</v>
      </c>
      <c r="C376" s="34"/>
      <c r="F376" s="12"/>
      <c r="G376" s="12"/>
      <c r="H376" s="12"/>
      <c r="I376" s="19"/>
      <c r="J376" s="12"/>
      <c r="K376" s="35">
        <f>IF(D377&gt;K$355,+K$355,D377)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x14ac:dyDescent="0.2">
      <c r="A377" s="1" t="s">
        <v>137</v>
      </c>
      <c r="B377" s="103">
        <f>IF(AND('AES Indiana Bill Calc.'!$D$17="SE",'AES Indiana Bill Calc.'!$D$18="No",'AES Indiana Bill Calc.'!$D$20="Yes Before 2018"),'AES Indiana Bill Calc.'!$D$19,-1)</f>
        <v>-1</v>
      </c>
      <c r="C377" s="103" t="b">
        <f>IF(AND('AES Indiana Bill Calc.'!$D$17="SE",'AES Indiana Bill Calc.'!$D$18="No",'AES Indiana Bill Calc.'!$D$20="Yes Before 2018"),'AES Indiana Bill Calc.'!$D$23)</f>
        <v>0</v>
      </c>
      <c r="D377" s="2">
        <f>ROUND(C377*D$354,0)</f>
        <v>0</v>
      </c>
      <c r="F377" s="36" t="s">
        <v>175</v>
      </c>
      <c r="G377" s="17">
        <f>SUM(J377:M377,O377:P377,R377:AA377)</f>
        <v>54.99</v>
      </c>
      <c r="H377" s="19" t="e">
        <f>IF(ISBLANK(B377),0,+#REF!/B377)</f>
        <v>#REF!</v>
      </c>
      <c r="I377" s="19"/>
      <c r="J377" s="16">
        <f>IF(ISBLANK(B377),0,+J$354)</f>
        <v>55</v>
      </c>
      <c r="K377" s="16">
        <f>ROUND(K376*K$354,2)</f>
        <v>0</v>
      </c>
      <c r="L377" s="16">
        <f>ROUND(L376*L$354,2)</f>
        <v>0</v>
      </c>
      <c r="M377" s="16">
        <f>ROUND(M376*M$354,2)</f>
        <v>0</v>
      </c>
      <c r="N377" s="16">
        <f>SUM(K377:M377)</f>
        <v>0</v>
      </c>
      <c r="O377" s="16"/>
      <c r="P377" s="16"/>
      <c r="Q377" s="16"/>
      <c r="R377" s="8"/>
      <c r="S377" s="17">
        <f>ROUND($B377*S$354*S376,2)</f>
        <v>0</v>
      </c>
      <c r="T377" s="17">
        <f>ROUND($B377*T$354,2)</f>
        <v>0</v>
      </c>
      <c r="U377" s="17">
        <f>ROUND($B377*U$354,2)</f>
        <v>0</v>
      </c>
      <c r="V377" s="17">
        <f>ROUND($B377*V$344,2)</f>
        <v>0</v>
      </c>
      <c r="W377" s="17">
        <f>ROUND($B377*W$354,2)</f>
        <v>0</v>
      </c>
      <c r="X377" s="17">
        <f>ROUND($B377*X$354,2)</f>
        <v>-0.01</v>
      </c>
      <c r="Y377" s="17">
        <f>ROUND($B377*Y$354,2)</f>
        <v>0</v>
      </c>
      <c r="Z377" s="17">
        <f>ROUND($B377*Z$354,2)</f>
        <v>0</v>
      </c>
      <c r="AA377" s="17">
        <f>ROUND($B377*AA$354,2)</f>
        <v>0</v>
      </c>
      <c r="AB377" s="19">
        <f>SUM(U372:AA372)</f>
        <v>0</v>
      </c>
      <c r="AC377" s="67" t="str">
        <f>+F377</f>
        <v>SE7</v>
      </c>
    </row>
    <row r="378" spans="1:29" x14ac:dyDescent="0.2">
      <c r="B378" s="103">
        <v>-1</v>
      </c>
      <c r="C378" s="34"/>
      <c r="F378" s="12"/>
      <c r="G378" s="12"/>
      <c r="H378" s="12"/>
      <c r="I378" s="19"/>
      <c r="J378" s="12"/>
      <c r="K378" s="35">
        <f>IF(D379&gt;K$355,+K$355,D379)</f>
        <v>0</v>
      </c>
      <c r="L378" s="35">
        <f>IF(D379&gt;K378,+D379-K378,0)</f>
        <v>0</v>
      </c>
      <c r="M378" s="34">
        <f>IF(B379&gt;D379,+B379-D379,0)</f>
        <v>0</v>
      </c>
      <c r="N378" s="34"/>
      <c r="O378" s="34"/>
      <c r="P378" s="34"/>
      <c r="Q378" s="34"/>
      <c r="R378" s="12"/>
      <c r="S378" s="50">
        <v>1</v>
      </c>
      <c r="T378" s="12"/>
      <c r="U378" s="12"/>
      <c r="V378" s="12"/>
      <c r="W378" s="12"/>
      <c r="X378" s="12"/>
      <c r="Y378" s="12"/>
      <c r="Z378" s="12"/>
      <c r="AA378" s="12"/>
    </row>
    <row r="379" spans="1:29" x14ac:dyDescent="0.2">
      <c r="A379" s="1" t="s">
        <v>138</v>
      </c>
      <c r="B379" s="103">
        <f>IF(AND('AES Indiana Bill Calc.'!$D$17="SE",'AES Indiana Bill Calc.'!$D$18="Yes 100%",'AES Indiana Bill Calc.'!$D$20="Yes 2018"),'AES Indiana Bill Calc.'!$D$19,-1)</f>
        <v>-1</v>
      </c>
      <c r="C379" s="103" t="b">
        <f>IF(AND('AES Indiana Bill Calc.'!$D$17="SE",'AES Indiana Bill Calc.'!$D$18="Yes 100%",'AES Indiana Bill Calc.'!$D$20="Yes 2018"),'AES Indiana Bill Calc.'!$D$23)</f>
        <v>0</v>
      </c>
      <c r="D379" s="2">
        <f>ROUND(C379*D$354,0)</f>
        <v>0</v>
      </c>
      <c r="F379" s="36" t="s">
        <v>176</v>
      </c>
      <c r="G379" s="17">
        <f>SUM(J379:M379,O379:P379,R379:AA379)</f>
        <v>54.99</v>
      </c>
      <c r="H379" s="19" t="e">
        <f>IF(ISBLANK(B379),0,+#REF!/B379)</f>
        <v>#REF!</v>
      </c>
      <c r="I379" s="19"/>
      <c r="J379" s="16">
        <f>IF(ISBLANK(B379),0,+J$354)</f>
        <v>55</v>
      </c>
      <c r="K379" s="16">
        <f>ROUND(K378*K$354,2)</f>
        <v>0</v>
      </c>
      <c r="L379" s="16">
        <f>ROUND(L378*L$354,2)</f>
        <v>0</v>
      </c>
      <c r="M379" s="16">
        <f>ROUND(M378*M$354,2)</f>
        <v>0</v>
      </c>
      <c r="N379" s="16">
        <f>SUM(K379:M379)</f>
        <v>0</v>
      </c>
      <c r="O379" s="16"/>
      <c r="P379" s="16"/>
      <c r="Q379" s="16"/>
      <c r="R379" s="8"/>
      <c r="S379" s="17">
        <f>ROUND($B379*S$354*S378,2)</f>
        <v>0</v>
      </c>
      <c r="T379" s="17">
        <f>ROUND($B379*T$354,2)</f>
        <v>0</v>
      </c>
      <c r="U379" s="17">
        <f>ROUND($B379*U$354,2)</f>
        <v>0</v>
      </c>
      <c r="V379" s="17">
        <f>ROUND($B379*V$345,2)</f>
        <v>0</v>
      </c>
      <c r="W379" s="17">
        <f>ROUND($B379*W$354,2)</f>
        <v>0</v>
      </c>
      <c r="X379" s="17">
        <f>ROUND($B379*X$354,2)</f>
        <v>-0.01</v>
      </c>
      <c r="Y379" s="17">
        <f>ROUND($B379*Y$354,2)</f>
        <v>0</v>
      </c>
      <c r="Z379" s="17">
        <f>ROUND($B379*Z$354,2)</f>
        <v>0</v>
      </c>
      <c r="AA379" s="17">
        <f>ROUND($B379*AA$354,2)</f>
        <v>0</v>
      </c>
      <c r="AB379" s="19">
        <f>SUM(U374:AA374)</f>
        <v>0</v>
      </c>
      <c r="AC379" s="67" t="str">
        <f>+F379</f>
        <v>SE8</v>
      </c>
    </row>
    <row r="380" spans="1:29" x14ac:dyDescent="0.2">
      <c r="A380" s="9"/>
      <c r="B380" s="103">
        <v>-1</v>
      </c>
      <c r="C380" s="34"/>
      <c r="F380" s="12"/>
      <c r="G380" s="12"/>
      <c r="H380" s="12"/>
      <c r="I380" s="19"/>
      <c r="J380" s="12"/>
      <c r="K380" s="35">
        <f>IF(D381&gt;K$355,+K$355,D381)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x14ac:dyDescent="0.2">
      <c r="A381" s="1" t="s">
        <v>139</v>
      </c>
      <c r="B381" s="103">
        <f>IF(AND('AES Indiana Bill Calc.'!$D$17="SE",'AES Indiana Bill Calc.'!$D$18="Yes 50%",'AES Indiana Bill Calc.'!$D$20="Yes 2018"),'AES Indiana Bill Calc.'!$D$19,-1)</f>
        <v>-1</v>
      </c>
      <c r="C381" s="103" t="b">
        <f>IF(AND('AES Indiana Bill Calc.'!$D$17="SE",'AES Indiana Bill Calc.'!$D$18="Yes 50%",'AES Indiana Bill Calc.'!$D$20="Yes 2018"),'AES Indiana Bill Calc.'!$D$23)</f>
        <v>0</v>
      </c>
      <c r="D381" s="2">
        <f>ROUND(C381*D$354,0)</f>
        <v>0</v>
      </c>
      <c r="F381" s="36" t="s">
        <v>176</v>
      </c>
      <c r="G381" s="17">
        <f>SUM(J381:M381,O381:P381,R381:AA381)</f>
        <v>54.99</v>
      </c>
      <c r="H381" s="19" t="e">
        <f>IF(ISBLANK(B381),0,+#REF!/B381)</f>
        <v>#REF!</v>
      </c>
      <c r="I381" s="19"/>
      <c r="J381" s="16">
        <f>IF(ISBLANK(B381),0,+J$354)</f>
        <v>55</v>
      </c>
      <c r="K381" s="16">
        <f>ROUND(K380*K$354,2)</f>
        <v>0</v>
      </c>
      <c r="L381" s="16">
        <f>ROUND(L380*L$354,2)</f>
        <v>0</v>
      </c>
      <c r="M381" s="16">
        <f>ROUND(M380*M$354,2)</f>
        <v>0</v>
      </c>
      <c r="N381" s="16">
        <f>SUM(K381:M381)</f>
        <v>0</v>
      </c>
      <c r="O381" s="16"/>
      <c r="P381" s="16"/>
      <c r="Q381" s="16"/>
      <c r="R381" s="8"/>
      <c r="S381" s="17">
        <f>ROUND($B381*S$354*S380,2)</f>
        <v>0</v>
      </c>
      <c r="T381" s="17">
        <f>ROUND($B381*T$354,2)</f>
        <v>0</v>
      </c>
      <c r="U381" s="17">
        <f>ROUND($B381*U$354,2)</f>
        <v>0</v>
      </c>
      <c r="V381" s="17">
        <f>ROUND($B381*V$345,2)</f>
        <v>0</v>
      </c>
      <c r="W381" s="17">
        <f>ROUND($B381*W$354,2)</f>
        <v>0</v>
      </c>
      <c r="X381" s="17">
        <f>ROUND($B381*X$354,2)</f>
        <v>-0.01</v>
      </c>
      <c r="Y381" s="17">
        <f>ROUND($B381*Y$354,2)</f>
        <v>0</v>
      </c>
      <c r="Z381" s="17">
        <f>ROUND($B381*Z$354,2)</f>
        <v>0</v>
      </c>
      <c r="AA381" s="17">
        <f>ROUND($B381*AA$354,2)</f>
        <v>0</v>
      </c>
      <c r="AB381" s="19">
        <f>SUM(U376:AA376)</f>
        <v>0</v>
      </c>
      <c r="AC381" s="67" t="str">
        <f>+F381</f>
        <v>SE8</v>
      </c>
    </row>
    <row r="382" spans="1:29" x14ac:dyDescent="0.2">
      <c r="A382" s="9"/>
      <c r="B382" s="103">
        <v>-1</v>
      </c>
      <c r="C382" s="34"/>
      <c r="F382" s="12"/>
      <c r="G382" s="12"/>
      <c r="H382" s="12"/>
      <c r="I382" s="19"/>
      <c r="J382" s="12"/>
      <c r="K382" s="35">
        <f>IF(D383&gt;K$355,+K$355,D383)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x14ac:dyDescent="0.2">
      <c r="A383" s="1" t="s">
        <v>140</v>
      </c>
      <c r="B383" s="103">
        <f>IF(AND('AES Indiana Bill Calc.'!$D$17="SE",'AES Indiana Bill Calc.'!$D$18="Yes 25%",'AES Indiana Bill Calc.'!$D$20="Yes 2018"),'AES Indiana Bill Calc.'!$D$19,-1)</f>
        <v>-1</v>
      </c>
      <c r="C383" s="103" t="b">
        <f>IF(AND('AES Indiana Bill Calc.'!$D$17="SE",'AES Indiana Bill Calc.'!$D$18="Yes 25%",'AES Indiana Bill Calc.'!$D$20="Yes 2018"),'AES Indiana Bill Calc.'!$D$23)</f>
        <v>0</v>
      </c>
      <c r="D383" s="2">
        <f>ROUND(C383*D$354,0)</f>
        <v>0</v>
      </c>
      <c r="F383" s="36" t="s">
        <v>176</v>
      </c>
      <c r="G383" s="17">
        <f>SUM(J383:M383,O383:P383,R383:AA383)</f>
        <v>54.99</v>
      </c>
      <c r="H383" s="19" t="e">
        <f>IF(ISBLANK(B383),0,+#REF!/B383)</f>
        <v>#REF!</v>
      </c>
      <c r="I383" s="19"/>
      <c r="J383" s="16">
        <f>IF(ISBLANK(B383),0,+J$354)</f>
        <v>55</v>
      </c>
      <c r="K383" s="16">
        <f>ROUND(K382*K$354,2)</f>
        <v>0</v>
      </c>
      <c r="L383" s="16">
        <f>ROUND(L382*L$354,2)</f>
        <v>0</v>
      </c>
      <c r="M383" s="16">
        <f>ROUND(M382*M$354,2)</f>
        <v>0</v>
      </c>
      <c r="N383" s="16">
        <f>SUM(K383:M383)</f>
        <v>0</v>
      </c>
      <c r="O383" s="16"/>
      <c r="P383" s="16"/>
      <c r="Q383" s="16"/>
      <c r="R383" s="8"/>
      <c r="S383" s="17">
        <f>ROUND($B383*S$354*S382,2)</f>
        <v>0</v>
      </c>
      <c r="T383" s="17">
        <f>ROUND($B383*T$354,2)</f>
        <v>0</v>
      </c>
      <c r="U383" s="17">
        <f>ROUND($B383*U$354,2)</f>
        <v>0</v>
      </c>
      <c r="V383" s="17">
        <f>ROUND($B383*V$345,2)</f>
        <v>0</v>
      </c>
      <c r="W383" s="17">
        <f>ROUND($B383*W$354,2)</f>
        <v>0</v>
      </c>
      <c r="X383" s="17">
        <f>ROUND($B383*X$354,2)</f>
        <v>-0.01</v>
      </c>
      <c r="Y383" s="17">
        <f>ROUND($B383*Y$354,2)</f>
        <v>0</v>
      </c>
      <c r="Z383" s="17">
        <f>ROUND($B383*Z$354,2)</f>
        <v>0</v>
      </c>
      <c r="AA383" s="17">
        <f>ROUND($B383*AA$354,2)</f>
        <v>0</v>
      </c>
      <c r="AB383" s="19">
        <f>SUM(U378:AA378)</f>
        <v>0</v>
      </c>
      <c r="AC383" s="67" t="str">
        <f>+F383</f>
        <v>SE8</v>
      </c>
    </row>
    <row r="384" spans="1:29" x14ac:dyDescent="0.2">
      <c r="A384" s="9"/>
      <c r="B384" s="103">
        <v>-1</v>
      </c>
      <c r="C384" s="34"/>
      <c r="F384" s="12"/>
      <c r="G384" s="12"/>
      <c r="H384" s="12"/>
      <c r="I384" s="19"/>
      <c r="J384" s="12"/>
      <c r="K384" s="35">
        <f>IF(D385&gt;K$355,+K$355,D385)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x14ac:dyDescent="0.2">
      <c r="A385" s="1" t="s">
        <v>154</v>
      </c>
      <c r="B385" s="103">
        <f>IF(AND('AES Indiana Bill Calc.'!$D$17="SE",'AES Indiana Bill Calc.'!$D$18="Yes 10%",'AES Indiana Bill Calc.'!$D$20="Yes 2018"),'AES Indiana Bill Calc.'!$D$19,-1)</f>
        <v>-1</v>
      </c>
      <c r="C385" s="103" t="b">
        <f>IF(AND('AES Indiana Bill Calc.'!$D$17="SE",'AES Indiana Bill Calc.'!$D$18="Yes 10%",'AES Indiana Bill Calc.'!$D$20="Yes 2018"),'AES Indiana Bill Calc.'!$D$23)</f>
        <v>0</v>
      </c>
      <c r="D385" s="2">
        <f>ROUND(C385*D$354,0)</f>
        <v>0</v>
      </c>
      <c r="F385" s="36" t="s">
        <v>176</v>
      </c>
      <c r="G385" s="17">
        <f>SUM(J385:M385,O385:P385,R385:AA385)</f>
        <v>54.99</v>
      </c>
      <c r="H385" s="19" t="e">
        <f>IF(ISBLANK(B385),0,+#REF!/B385)</f>
        <v>#REF!</v>
      </c>
      <c r="I385" s="19"/>
      <c r="J385" s="16">
        <f>IF(ISBLANK(B385),0,+J$354)</f>
        <v>55</v>
      </c>
      <c r="K385" s="16">
        <f>ROUND(K384*K$354,2)</f>
        <v>0</v>
      </c>
      <c r="L385" s="16">
        <f>ROUND(L384*L$354,2)</f>
        <v>0</v>
      </c>
      <c r="M385" s="16">
        <f>ROUND(M384*M$354,2)</f>
        <v>0</v>
      </c>
      <c r="N385" s="16">
        <f>SUM(K385:M385)</f>
        <v>0</v>
      </c>
      <c r="O385" s="16"/>
      <c r="P385" s="16"/>
      <c r="Q385" s="16"/>
      <c r="R385" s="8"/>
      <c r="S385" s="17">
        <f>ROUND($B385*S$354*S384,2)</f>
        <v>0</v>
      </c>
      <c r="T385" s="17">
        <f>ROUND($B385*T$354,2)</f>
        <v>0</v>
      </c>
      <c r="U385" s="17">
        <f>ROUND($B385*U$354,2)</f>
        <v>0</v>
      </c>
      <c r="V385" s="17">
        <f>ROUND($B385*V$345,2)</f>
        <v>0</v>
      </c>
      <c r="W385" s="17">
        <f>ROUND($B385*W$354,2)</f>
        <v>0</v>
      </c>
      <c r="X385" s="17">
        <f>ROUND($B385*X$354,2)</f>
        <v>-0.01</v>
      </c>
      <c r="Y385" s="17">
        <f>ROUND($B385*Y$354,2)</f>
        <v>0</v>
      </c>
      <c r="Z385" s="17">
        <f>ROUND($B385*Z$354,2)</f>
        <v>0</v>
      </c>
      <c r="AA385" s="17">
        <f>ROUND($B385*AA$354,2)</f>
        <v>0</v>
      </c>
      <c r="AB385" s="19">
        <f>SUM(U380:AA380)</f>
        <v>0</v>
      </c>
      <c r="AC385" s="67" t="str">
        <f>+F385</f>
        <v>SE8</v>
      </c>
    </row>
    <row r="386" spans="1:29" x14ac:dyDescent="0.2">
      <c r="A386" s="9"/>
      <c r="B386" s="103">
        <v>-1</v>
      </c>
      <c r="C386" s="34"/>
      <c r="F386" s="12"/>
      <c r="G386" s="12"/>
      <c r="H386" s="12"/>
      <c r="I386" s="19"/>
      <c r="J386" s="12"/>
      <c r="K386" s="35">
        <f>IF(D387&gt;K$355,+K$355,D387)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x14ac:dyDescent="0.2">
      <c r="A387" s="1" t="s">
        <v>137</v>
      </c>
      <c r="B387" s="103">
        <f>IF(AND('AES Indiana Bill Calc.'!$D$17="SE",'AES Indiana Bill Calc.'!$D$18="No",'AES Indiana Bill Calc.'!$D$20="Yes 2018"),'AES Indiana Bill Calc.'!$D$19,-1)</f>
        <v>-1</v>
      </c>
      <c r="C387" s="103" t="b">
        <f>IF(AND('AES Indiana Bill Calc.'!$D$17="SE",'AES Indiana Bill Calc.'!$D$18="No",'AES Indiana Bill Calc.'!$D$20="Yes 2018"),'AES Indiana Bill Calc.'!$D$23)</f>
        <v>0</v>
      </c>
      <c r="D387" s="2">
        <f>ROUND(C387*D$354,0)</f>
        <v>0</v>
      </c>
      <c r="F387" s="36" t="s">
        <v>176</v>
      </c>
      <c r="G387" s="17">
        <f>SUM(J387:M387,O387:P387,R387:AA387)</f>
        <v>54.99</v>
      </c>
      <c r="H387" s="19" t="e">
        <f>IF(ISBLANK(B387),0,+#REF!/B387)</f>
        <v>#REF!</v>
      </c>
      <c r="I387" s="19"/>
      <c r="J387" s="16">
        <f>IF(ISBLANK(B387),0,+J$354)</f>
        <v>55</v>
      </c>
      <c r="K387" s="16">
        <f>ROUND(K386*K$354,2)</f>
        <v>0</v>
      </c>
      <c r="L387" s="16">
        <f>ROUND(L386*L$354,2)</f>
        <v>0</v>
      </c>
      <c r="M387" s="16">
        <f>ROUND(M386*M$354,2)</f>
        <v>0</v>
      </c>
      <c r="N387" s="16">
        <f>SUM(K387:M387)</f>
        <v>0</v>
      </c>
      <c r="O387" s="16"/>
      <c r="P387" s="16"/>
      <c r="Q387" s="16"/>
      <c r="R387" s="8"/>
      <c r="S387" s="17">
        <f>ROUND($B387*S$354*S386,2)</f>
        <v>0</v>
      </c>
      <c r="T387" s="17">
        <f>ROUND($B387*T$354,2)</f>
        <v>0</v>
      </c>
      <c r="U387" s="17">
        <f>ROUND($B387*U$354,2)</f>
        <v>0</v>
      </c>
      <c r="V387" s="17">
        <f>ROUND($B387*V$345,2)</f>
        <v>0</v>
      </c>
      <c r="W387" s="17">
        <f>ROUND($B387*W$354,2)</f>
        <v>0</v>
      </c>
      <c r="X387" s="17">
        <f>ROUND($B387*X$354,2)</f>
        <v>-0.01</v>
      </c>
      <c r="Y387" s="17">
        <f>ROUND($B387*Y$354,2)</f>
        <v>0</v>
      </c>
      <c r="Z387" s="17">
        <f>ROUND($B387*Z$354,2)</f>
        <v>0</v>
      </c>
      <c r="AA387" s="17">
        <f>ROUND($B387*AA$354,2)</f>
        <v>0</v>
      </c>
      <c r="AB387" s="19">
        <f>SUM(U382:AA382)</f>
        <v>0</v>
      </c>
      <c r="AC387" s="67" t="str">
        <f>+F387</f>
        <v>SE8</v>
      </c>
    </row>
    <row r="388" spans="1:29" x14ac:dyDescent="0.2">
      <c r="B388" s="103">
        <v>-1</v>
      </c>
      <c r="C388" s="34"/>
      <c r="F388" s="12"/>
      <c r="G388" s="12"/>
      <c r="H388" s="12"/>
      <c r="I388" s="19"/>
      <c r="J388" s="12"/>
      <c r="K388" s="35">
        <f>IF(D389&gt;K$355,+K$355,D389)</f>
        <v>0</v>
      </c>
      <c r="L388" s="35">
        <f>IF(D389&gt;K388,+D389-K388,0)</f>
        <v>0</v>
      </c>
      <c r="M388" s="34">
        <f>IF(B389&gt;D389,+B389-D389,0)</f>
        <v>0</v>
      </c>
      <c r="N388" s="34"/>
      <c r="O388" s="34"/>
      <c r="P388" s="34"/>
      <c r="Q388" s="34"/>
      <c r="R388" s="12"/>
      <c r="S388" s="50">
        <v>1</v>
      </c>
      <c r="T388" s="12"/>
      <c r="U388" s="12"/>
      <c r="V388" s="12"/>
      <c r="W388" s="12"/>
      <c r="X388" s="12"/>
      <c r="Y388" s="12"/>
      <c r="Z388" s="12"/>
      <c r="AA388" s="12"/>
    </row>
    <row r="389" spans="1:29" x14ac:dyDescent="0.2">
      <c r="A389" s="1" t="s">
        <v>138</v>
      </c>
      <c r="B389" s="103">
        <f>IF(AND('AES Indiana Bill Calc.'!$D$17="SE",'AES Indiana Bill Calc.'!$D$18="Yes 100%",'AES Indiana Bill Calc.'!$D$20="Yes 2019"),'AES Indiana Bill Calc.'!$D$19,-1)</f>
        <v>-1</v>
      </c>
      <c r="C389" s="103" t="b">
        <f>IF(AND('AES Indiana Bill Calc.'!$D$17="SE",'AES Indiana Bill Calc.'!$D$18="Yes 100%",'AES Indiana Bill Calc.'!$D$20="Yes 2019"),'AES Indiana Bill Calc.'!$D$23)</f>
        <v>0</v>
      </c>
      <c r="D389" s="2">
        <f>ROUND(C389*D$354,0)</f>
        <v>0</v>
      </c>
      <c r="F389" s="36" t="s">
        <v>177</v>
      </c>
      <c r="G389" s="17">
        <f>SUM(J389:M389,O389:P389,R389:AA389)</f>
        <v>54.99</v>
      </c>
      <c r="H389" s="19" t="e">
        <f>IF(ISBLANK(B389),0,+#REF!/B389)</f>
        <v>#REF!</v>
      </c>
      <c r="I389" s="19"/>
      <c r="J389" s="16">
        <f>IF(ISBLANK(B389),0,+J$354)</f>
        <v>55</v>
      </c>
      <c r="K389" s="16">
        <f>ROUND(K388*K$354,2)</f>
        <v>0</v>
      </c>
      <c r="L389" s="16">
        <f>ROUND(L388*L$354,2)</f>
        <v>0</v>
      </c>
      <c r="M389" s="16">
        <f>ROUND(M388*M$354,2)</f>
        <v>0</v>
      </c>
      <c r="N389" s="16">
        <f>SUM(K389:M389)</f>
        <v>0</v>
      </c>
      <c r="O389" s="16"/>
      <c r="P389" s="16"/>
      <c r="Q389" s="16"/>
      <c r="R389" s="8"/>
      <c r="S389" s="17">
        <f>ROUND($B389*S$354*S388,2)</f>
        <v>0</v>
      </c>
      <c r="T389" s="17">
        <f>ROUND($B389*T$354,2)</f>
        <v>0</v>
      </c>
      <c r="U389" s="17">
        <f>ROUND($B389*U$354,2)</f>
        <v>0</v>
      </c>
      <c r="V389" s="17">
        <f>ROUND($B389*V$346,2)</f>
        <v>0</v>
      </c>
      <c r="W389" s="17">
        <f>ROUND($B389*W$354,2)</f>
        <v>0</v>
      </c>
      <c r="X389" s="17">
        <f>ROUND($B389*X$354,2)</f>
        <v>-0.01</v>
      </c>
      <c r="Y389" s="17">
        <f>ROUND($B389*Y$354,2)</f>
        <v>0</v>
      </c>
      <c r="Z389" s="17">
        <f>ROUND($B389*Z$354,2)</f>
        <v>0</v>
      </c>
      <c r="AA389" s="17">
        <f>ROUND($B389*AA$354,2)</f>
        <v>0</v>
      </c>
      <c r="AB389" s="19">
        <f>SUM(U384:AA384)</f>
        <v>0</v>
      </c>
      <c r="AC389" s="67" t="str">
        <f>+F389</f>
        <v>SE9</v>
      </c>
    </row>
    <row r="390" spans="1:29" x14ac:dyDescent="0.2">
      <c r="A390" s="9"/>
      <c r="B390" s="103">
        <v>-1</v>
      </c>
      <c r="C390" s="34"/>
      <c r="F390" s="12"/>
      <c r="G390" s="12"/>
      <c r="H390" s="12"/>
      <c r="I390" s="19"/>
      <c r="J390" s="12"/>
      <c r="K390" s="35">
        <f>IF(D391&gt;K$355,+K$355,D391)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x14ac:dyDescent="0.2">
      <c r="A391" s="1" t="s">
        <v>139</v>
      </c>
      <c r="B391" s="103">
        <f>IF(AND('AES Indiana Bill Calc.'!$D$17="SE",'AES Indiana Bill Calc.'!$D$18="Yes 50%",'AES Indiana Bill Calc.'!$D$20="Yes 2019"),'AES Indiana Bill Calc.'!$D$19,-1)</f>
        <v>-1</v>
      </c>
      <c r="C391" s="103" t="b">
        <f>IF(AND('AES Indiana Bill Calc.'!$D$17="SE",'AES Indiana Bill Calc.'!$D$18="Yes 50%",'AES Indiana Bill Calc.'!$D$20="Yes 2019"),'AES Indiana Bill Calc.'!$D$23)</f>
        <v>0</v>
      </c>
      <c r="D391" s="2">
        <f>ROUND(C391*D$354,0)</f>
        <v>0</v>
      </c>
      <c r="F391" s="36" t="s">
        <v>177</v>
      </c>
      <c r="G391" s="17">
        <f>SUM(J391:M391,O391:P391,R391:AA391)</f>
        <v>54.99</v>
      </c>
      <c r="H391" s="19" t="e">
        <f>IF(ISBLANK(B391),0,+#REF!/B391)</f>
        <v>#REF!</v>
      </c>
      <c r="I391" s="19"/>
      <c r="J391" s="16">
        <f>IF(ISBLANK(B391),0,+J$354)</f>
        <v>55</v>
      </c>
      <c r="K391" s="16">
        <f>ROUND(K390*K$354,2)</f>
        <v>0</v>
      </c>
      <c r="L391" s="16">
        <f>ROUND(L390*L$354,2)</f>
        <v>0</v>
      </c>
      <c r="M391" s="16">
        <f>ROUND(M390*M$354,2)</f>
        <v>0</v>
      </c>
      <c r="N391" s="16">
        <f>SUM(K391:M391)</f>
        <v>0</v>
      </c>
      <c r="O391" s="16"/>
      <c r="P391" s="16"/>
      <c r="Q391" s="16"/>
      <c r="R391" s="8"/>
      <c r="S391" s="17">
        <f>ROUND($B391*S$354*S390,2)</f>
        <v>0</v>
      </c>
      <c r="T391" s="17">
        <f>ROUND($B391*T$354,2)</f>
        <v>0</v>
      </c>
      <c r="U391" s="17">
        <f>ROUND($B391*U$354,2)</f>
        <v>0</v>
      </c>
      <c r="V391" s="17">
        <f>ROUND($B391*V$346,2)</f>
        <v>0</v>
      </c>
      <c r="W391" s="17">
        <f>ROUND($B391*W$354,2)</f>
        <v>0</v>
      </c>
      <c r="X391" s="17">
        <f>ROUND($B391*X$354,2)</f>
        <v>-0.01</v>
      </c>
      <c r="Y391" s="17">
        <f>ROUND($B391*Y$354,2)</f>
        <v>0</v>
      </c>
      <c r="Z391" s="17">
        <f>ROUND($B391*Z$354,2)</f>
        <v>0</v>
      </c>
      <c r="AA391" s="17">
        <f>ROUND($B391*AA$354,2)</f>
        <v>0</v>
      </c>
      <c r="AB391" s="19">
        <f>SUM(U386:AA386)</f>
        <v>0</v>
      </c>
      <c r="AC391" s="67" t="str">
        <f>+F391</f>
        <v>SE9</v>
      </c>
    </row>
    <row r="392" spans="1:29" x14ac:dyDescent="0.2">
      <c r="A392" s="9"/>
      <c r="B392" s="103">
        <v>-1</v>
      </c>
      <c r="C392" s="34"/>
      <c r="F392" s="12"/>
      <c r="G392" s="12"/>
      <c r="H392" s="12"/>
      <c r="I392" s="19"/>
      <c r="J392" s="12"/>
      <c r="K392" s="35">
        <f>IF(D393&gt;K$355,+K$355,D393)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x14ac:dyDescent="0.2">
      <c r="A393" s="1" t="s">
        <v>140</v>
      </c>
      <c r="B393" s="103">
        <f>IF(AND('AES Indiana Bill Calc.'!$D$17="SE",'AES Indiana Bill Calc.'!$D$18="Yes 25%",'AES Indiana Bill Calc.'!$D$20="Yes 2019"),'AES Indiana Bill Calc.'!$D$19,-1)</f>
        <v>-1</v>
      </c>
      <c r="C393" s="103" t="b">
        <f>IF(AND('AES Indiana Bill Calc.'!$D$17="SE",'AES Indiana Bill Calc.'!$D$18="Yes 25%",'AES Indiana Bill Calc.'!$D$20="Yes 2019"),'AES Indiana Bill Calc.'!$D$23)</f>
        <v>0</v>
      </c>
      <c r="D393" s="2">
        <f>ROUND(C393*D$354,0)</f>
        <v>0</v>
      </c>
      <c r="F393" s="36" t="s">
        <v>177</v>
      </c>
      <c r="G393" s="17">
        <f>SUM(J393:M393,O393:P393,R393:AA393)</f>
        <v>54.99</v>
      </c>
      <c r="H393" s="19" t="e">
        <f>IF(ISBLANK(B393),0,+#REF!/B393)</f>
        <v>#REF!</v>
      </c>
      <c r="I393" s="19"/>
      <c r="J393" s="16">
        <f>IF(ISBLANK(B393),0,+J$354)</f>
        <v>55</v>
      </c>
      <c r="K393" s="16">
        <f>ROUND(K392*K$354,2)</f>
        <v>0</v>
      </c>
      <c r="L393" s="16">
        <f>ROUND(L392*L$354,2)</f>
        <v>0</v>
      </c>
      <c r="M393" s="16">
        <f>ROUND(M392*M$354,2)</f>
        <v>0</v>
      </c>
      <c r="N393" s="16">
        <f>SUM(K393:M393)</f>
        <v>0</v>
      </c>
      <c r="O393" s="16"/>
      <c r="P393" s="16"/>
      <c r="Q393" s="16"/>
      <c r="R393" s="8"/>
      <c r="S393" s="17">
        <f>ROUND($B393*S$354*S392,2)</f>
        <v>0</v>
      </c>
      <c r="T393" s="17">
        <f>ROUND($B393*T$354,2)</f>
        <v>0</v>
      </c>
      <c r="U393" s="17">
        <f>ROUND($B393*U$354,2)</f>
        <v>0</v>
      </c>
      <c r="V393" s="17">
        <f>ROUND($B393*V$346,2)</f>
        <v>0</v>
      </c>
      <c r="W393" s="17">
        <f>ROUND($B393*W$354,2)</f>
        <v>0</v>
      </c>
      <c r="X393" s="17">
        <f>ROUND($B393*X$354,2)</f>
        <v>-0.01</v>
      </c>
      <c r="Y393" s="17">
        <f>ROUND($B393*Y$354,2)</f>
        <v>0</v>
      </c>
      <c r="Z393" s="17">
        <f>ROUND($B393*Z$354,2)</f>
        <v>0</v>
      </c>
      <c r="AA393" s="17">
        <f>ROUND($B393*AA$354,2)</f>
        <v>0</v>
      </c>
      <c r="AB393" s="19">
        <f>SUM(U388:AA388)</f>
        <v>0</v>
      </c>
      <c r="AC393" s="67" t="str">
        <f>+F393</f>
        <v>SE9</v>
      </c>
    </row>
    <row r="394" spans="1:29" x14ac:dyDescent="0.2">
      <c r="A394" s="9"/>
      <c r="B394" s="103">
        <v>-1</v>
      </c>
      <c r="C394" s="34"/>
      <c r="F394" s="12"/>
      <c r="G394" s="12"/>
      <c r="H394" s="12"/>
      <c r="I394" s="19"/>
      <c r="J394" s="12"/>
      <c r="K394" s="35">
        <f>IF(D395&gt;K$355,+K$355,D395)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x14ac:dyDescent="0.2">
      <c r="A395" s="1" t="s">
        <v>154</v>
      </c>
      <c r="B395" s="103">
        <f>IF(AND('AES Indiana Bill Calc.'!$D$17="SE",'AES Indiana Bill Calc.'!$D$18="Yes 10%",'AES Indiana Bill Calc.'!$D$20="Yes 2019"),'AES Indiana Bill Calc.'!$D$19,-1)</f>
        <v>-1</v>
      </c>
      <c r="C395" s="103" t="b">
        <f>IF(AND('AES Indiana Bill Calc.'!$D$17="SE",'AES Indiana Bill Calc.'!$D$18="Yes 10%",'AES Indiana Bill Calc.'!$D$20="Yes 2019"),'AES Indiana Bill Calc.'!$D$23)</f>
        <v>0</v>
      </c>
      <c r="D395" s="2">
        <f>ROUND(C395*D$354,0)</f>
        <v>0</v>
      </c>
      <c r="F395" s="36" t="s">
        <v>177</v>
      </c>
      <c r="G395" s="17">
        <f>SUM(J395:M395,O395:P395,R395:AA395)</f>
        <v>54.99</v>
      </c>
      <c r="H395" s="19" t="e">
        <f>IF(ISBLANK(B395),0,+#REF!/B395)</f>
        <v>#REF!</v>
      </c>
      <c r="I395" s="19"/>
      <c r="J395" s="16">
        <f>IF(ISBLANK(B395),0,+J$354)</f>
        <v>55</v>
      </c>
      <c r="K395" s="16">
        <f>ROUND(K394*K$354,2)</f>
        <v>0</v>
      </c>
      <c r="L395" s="16">
        <f>ROUND(L394*L$354,2)</f>
        <v>0</v>
      </c>
      <c r="M395" s="16">
        <f>ROUND(M394*M$354,2)</f>
        <v>0</v>
      </c>
      <c r="N395" s="16">
        <f>SUM(K395:M395)</f>
        <v>0</v>
      </c>
      <c r="O395" s="16"/>
      <c r="P395" s="16"/>
      <c r="Q395" s="16"/>
      <c r="R395" s="8"/>
      <c r="S395" s="17">
        <f>ROUND($B395*S$354*S394,2)</f>
        <v>0</v>
      </c>
      <c r="T395" s="17">
        <f>ROUND($B395*T$354,2)</f>
        <v>0</v>
      </c>
      <c r="U395" s="17">
        <f>ROUND($B395*U$354,2)</f>
        <v>0</v>
      </c>
      <c r="V395" s="17">
        <f>ROUND($B395*V$346,2)</f>
        <v>0</v>
      </c>
      <c r="W395" s="17">
        <f>ROUND($B395*W$354,2)</f>
        <v>0</v>
      </c>
      <c r="X395" s="17">
        <f>ROUND($B395*X$354,2)</f>
        <v>-0.01</v>
      </c>
      <c r="Y395" s="17">
        <f>ROUND($B395*Y$354,2)</f>
        <v>0</v>
      </c>
      <c r="Z395" s="17">
        <f>ROUND($B395*Z$354,2)</f>
        <v>0</v>
      </c>
      <c r="AA395" s="17">
        <f>ROUND($B395*AA$354,2)</f>
        <v>0</v>
      </c>
      <c r="AB395" s="19">
        <f>SUM(U390:AA390)</f>
        <v>0</v>
      </c>
      <c r="AC395" s="67" t="str">
        <f>+F395</f>
        <v>SE9</v>
      </c>
    </row>
    <row r="396" spans="1:29" x14ac:dyDescent="0.2">
      <c r="A396" s="9"/>
      <c r="B396" s="103">
        <v>-1</v>
      </c>
      <c r="C396" s="34"/>
      <c r="F396" s="12"/>
      <c r="G396" s="12"/>
      <c r="H396" s="12"/>
      <c r="I396" s="19"/>
      <c r="J396" s="12"/>
      <c r="K396" s="35">
        <f>IF(D397&gt;K$355,+K$355,D397)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x14ac:dyDescent="0.2">
      <c r="A397" s="1" t="s">
        <v>137</v>
      </c>
      <c r="B397" s="103">
        <f>IF(AND('AES Indiana Bill Calc.'!$D$17="SE",'AES Indiana Bill Calc.'!$D$18="No",'AES Indiana Bill Calc.'!$D$20="Yes 2019"),'AES Indiana Bill Calc.'!$D$19,-1)</f>
        <v>-1</v>
      </c>
      <c r="C397" s="103" t="b">
        <f>IF(AND('AES Indiana Bill Calc.'!$D$17="SE",'AES Indiana Bill Calc.'!$D$18="No",'AES Indiana Bill Calc.'!$D$20="Yes 2019"),'AES Indiana Bill Calc.'!$D$23)</f>
        <v>0</v>
      </c>
      <c r="D397" s="2">
        <f>ROUND(C397*D$354,0)</f>
        <v>0</v>
      </c>
      <c r="F397" s="36" t="s">
        <v>177</v>
      </c>
      <c r="G397" s="17">
        <f>SUM(J397:M397,O397:P397,R397:AA397)</f>
        <v>54.99</v>
      </c>
      <c r="H397" s="19" t="e">
        <f>IF(ISBLANK(B397),0,+#REF!/B397)</f>
        <v>#REF!</v>
      </c>
      <c r="I397" s="19"/>
      <c r="J397" s="16">
        <f>IF(ISBLANK(B397),0,+J$354)</f>
        <v>55</v>
      </c>
      <c r="K397" s="16">
        <f>ROUND(K396*K$354,2)</f>
        <v>0</v>
      </c>
      <c r="L397" s="16">
        <f>ROUND(L396*L$354,2)</f>
        <v>0</v>
      </c>
      <c r="M397" s="16">
        <f>ROUND(M396*M$354,2)</f>
        <v>0</v>
      </c>
      <c r="N397" s="16">
        <f>SUM(K397:M397)</f>
        <v>0</v>
      </c>
      <c r="O397" s="16"/>
      <c r="P397" s="16"/>
      <c r="Q397" s="16"/>
      <c r="R397" s="8"/>
      <c r="S397" s="17">
        <f>ROUND($B397*S$354*S396,2)</f>
        <v>0</v>
      </c>
      <c r="T397" s="17">
        <f>ROUND($B397*T$354,2)</f>
        <v>0</v>
      </c>
      <c r="U397" s="17">
        <f>ROUND($B397*U$354,2)</f>
        <v>0</v>
      </c>
      <c r="V397" s="17">
        <f>ROUND($B397*V$346,2)</f>
        <v>0</v>
      </c>
      <c r="W397" s="17">
        <f>ROUND($B397*W$354,2)</f>
        <v>0</v>
      </c>
      <c r="X397" s="17">
        <f>ROUND($B397*X$354,2)</f>
        <v>-0.01</v>
      </c>
      <c r="Y397" s="17">
        <f>ROUND($B397*Y$354,2)</f>
        <v>0</v>
      </c>
      <c r="Z397" s="17">
        <f>ROUND($B397*Z$354,2)</f>
        <v>0</v>
      </c>
      <c r="AA397" s="17">
        <f>ROUND($B397*AA$354,2)</f>
        <v>0</v>
      </c>
      <c r="AB397" s="19">
        <f>SUM(U392:AA392)</f>
        <v>0</v>
      </c>
      <c r="AC397" s="67" t="str">
        <f>+F397</f>
        <v>SE9</v>
      </c>
    </row>
    <row r="398" spans="1:29" x14ac:dyDescent="0.2">
      <c r="B398" s="103">
        <v>-1</v>
      </c>
      <c r="C398" s="34"/>
      <c r="F398" s="12"/>
      <c r="G398" s="12"/>
      <c r="H398" s="12"/>
      <c r="I398" s="19"/>
      <c r="J398" s="12"/>
      <c r="K398" s="35">
        <f>IF(D399&gt;K$355,+K$355,D399)</f>
        <v>0</v>
      </c>
      <c r="L398" s="35">
        <f>IF(D399&gt;K398,+D399-K398,0)</f>
        <v>0</v>
      </c>
      <c r="M398" s="34">
        <f>IF(B399&gt;D399,+B399-D399,0)</f>
        <v>0</v>
      </c>
      <c r="N398" s="34"/>
      <c r="O398" s="34"/>
      <c r="P398" s="34"/>
      <c r="Q398" s="34"/>
      <c r="R398" s="12"/>
      <c r="S398" s="50">
        <v>1</v>
      </c>
      <c r="T398" s="12"/>
      <c r="U398" s="12"/>
      <c r="V398" s="12"/>
      <c r="W398" s="12"/>
      <c r="X398" s="12"/>
      <c r="Y398" s="12"/>
      <c r="Z398" s="12"/>
      <c r="AA398" s="12"/>
    </row>
    <row r="399" spans="1:29" x14ac:dyDescent="0.2">
      <c r="A399" s="1" t="s">
        <v>138</v>
      </c>
      <c r="B399" s="103">
        <f>IF(AND('AES Indiana Bill Calc.'!$D$17="SE",'AES Indiana Bill Calc.'!$D$18="Yes 100%",'AES Indiana Bill Calc.'!$D$20="Yes 2020"),'AES Indiana Bill Calc.'!$D$19,-1)</f>
        <v>-1</v>
      </c>
      <c r="C399" s="103" t="b">
        <f>IF(AND('AES Indiana Bill Calc.'!$D$17="SE",'AES Indiana Bill Calc.'!$D$18="Yes 100%",'AES Indiana Bill Calc.'!$D$20="Yes 2020"),'AES Indiana Bill Calc.'!$D$23)</f>
        <v>0</v>
      </c>
      <c r="D399" s="2">
        <f>ROUND(C399*D$354,0)</f>
        <v>0</v>
      </c>
      <c r="F399" s="36" t="s">
        <v>178</v>
      </c>
      <c r="G399" s="17">
        <f>SUM(J399:M399,O399:P399,R399:AA399)</f>
        <v>54.99</v>
      </c>
      <c r="H399" s="19" t="e">
        <f>IF(ISBLANK(B399),0,+#REF!/B399)</f>
        <v>#REF!</v>
      </c>
      <c r="I399" s="19"/>
      <c r="J399" s="16">
        <f>IF(ISBLANK(B399),0,+J$354)</f>
        <v>55</v>
      </c>
      <c r="K399" s="16">
        <f>ROUND(K398*K$354,2)</f>
        <v>0</v>
      </c>
      <c r="L399" s="16">
        <f>ROUND(L398*L$354,2)</f>
        <v>0</v>
      </c>
      <c r="M399" s="16">
        <f>ROUND(M398*M$354,2)</f>
        <v>0</v>
      </c>
      <c r="N399" s="16">
        <f>SUM(K399:M399)</f>
        <v>0</v>
      </c>
      <c r="O399" s="16"/>
      <c r="P399" s="16"/>
      <c r="Q399" s="16"/>
      <c r="R399" s="8"/>
      <c r="S399" s="17">
        <f>ROUND($B399*S$354*S398,2)</f>
        <v>0</v>
      </c>
      <c r="T399" s="17">
        <f>ROUND($B399*T$354,2)</f>
        <v>0</v>
      </c>
      <c r="U399" s="17">
        <f>ROUND($B399*U$354,2)</f>
        <v>0</v>
      </c>
      <c r="V399" s="17">
        <f>ROUND($B399*V$347,2)</f>
        <v>0</v>
      </c>
      <c r="W399" s="17">
        <f>ROUND($B399*W$354,2)</f>
        <v>0</v>
      </c>
      <c r="X399" s="17">
        <f>ROUND($B399*X$354,2)</f>
        <v>-0.01</v>
      </c>
      <c r="Y399" s="17">
        <f>ROUND($B399*Y$354,2)</f>
        <v>0</v>
      </c>
      <c r="Z399" s="17">
        <f>ROUND($B399*Z$354,2)</f>
        <v>0</v>
      </c>
      <c r="AA399" s="17">
        <f>ROUND($B399*AA$354,2)</f>
        <v>0</v>
      </c>
      <c r="AB399" s="19">
        <f>SUM(U394:AA394)</f>
        <v>0</v>
      </c>
      <c r="AC399" s="67" t="str">
        <f>+F399</f>
        <v>SE0</v>
      </c>
    </row>
    <row r="400" spans="1:29" x14ac:dyDescent="0.2">
      <c r="A400" s="9"/>
      <c r="B400" s="103">
        <v>-1</v>
      </c>
      <c r="C400" s="34"/>
      <c r="F400" s="12"/>
      <c r="G400" s="12"/>
      <c r="H400" s="12"/>
      <c r="I400" s="19"/>
      <c r="J400" s="12"/>
      <c r="K400" s="35">
        <f>IF(D401&gt;K$355,+K$355,D401)</f>
        <v>0</v>
      </c>
      <c r="L400" s="35">
        <f>IF(D401&gt;K400,+D401-K400,0)</f>
        <v>0</v>
      </c>
      <c r="M400" s="34">
        <f>IF(B401&gt;D401,+B401-D401,0)</f>
        <v>0</v>
      </c>
      <c r="N400" s="34"/>
      <c r="O400" s="34"/>
      <c r="P400" s="34"/>
      <c r="Q400" s="34"/>
      <c r="R400" s="12"/>
      <c r="S400" s="50">
        <v>0.5</v>
      </c>
      <c r="T400" s="12"/>
      <c r="U400" s="12"/>
      <c r="V400" s="12"/>
      <c r="W400" s="12"/>
      <c r="X400" s="12"/>
      <c r="Y400" s="12"/>
      <c r="Z400" s="12"/>
      <c r="AA400" s="12"/>
    </row>
    <row r="401" spans="1:29" x14ac:dyDescent="0.2">
      <c r="A401" s="1" t="s">
        <v>139</v>
      </c>
      <c r="B401" s="103">
        <f>IF(AND('AES Indiana Bill Calc.'!$D$17="SE",'AES Indiana Bill Calc.'!$D$18="Yes 50%",'AES Indiana Bill Calc.'!$D$20="Yes 2020"),'AES Indiana Bill Calc.'!$D$19,-1)</f>
        <v>-1</v>
      </c>
      <c r="C401" s="103" t="b">
        <f>IF(AND('AES Indiana Bill Calc.'!$D$17="SE",'AES Indiana Bill Calc.'!$D$18="Yes 50%",'AES Indiana Bill Calc.'!$D$20="Yes 2020"),'AES Indiana Bill Calc.'!$D$23)</f>
        <v>0</v>
      </c>
      <c r="D401" s="2">
        <f>ROUND(C401*D$354,0)</f>
        <v>0</v>
      </c>
      <c r="F401" s="36" t="s">
        <v>178</v>
      </c>
      <c r="G401" s="17">
        <f>SUM(J401:M401,O401:P401,R401:AA401)</f>
        <v>54.99</v>
      </c>
      <c r="H401" s="19" t="e">
        <f>IF(ISBLANK(B401),0,+#REF!/B401)</f>
        <v>#REF!</v>
      </c>
      <c r="I401" s="19"/>
      <c r="J401" s="16">
        <f>IF(ISBLANK(B401),0,+J$354)</f>
        <v>55</v>
      </c>
      <c r="K401" s="16">
        <f>ROUND(K400*K$354,2)</f>
        <v>0</v>
      </c>
      <c r="L401" s="16">
        <f>ROUND(L400*L$354,2)</f>
        <v>0</v>
      </c>
      <c r="M401" s="16">
        <f>ROUND(M400*M$354,2)</f>
        <v>0</v>
      </c>
      <c r="N401" s="16">
        <f>SUM(K401:M401)</f>
        <v>0</v>
      </c>
      <c r="O401" s="16"/>
      <c r="P401" s="16"/>
      <c r="Q401" s="16"/>
      <c r="R401" s="8"/>
      <c r="S401" s="17">
        <f>ROUND($B401*S$354*S400,2)</f>
        <v>0</v>
      </c>
      <c r="T401" s="17">
        <f>ROUND($B401*T$354,2)</f>
        <v>0</v>
      </c>
      <c r="U401" s="17">
        <f>ROUND($B401*U$354,2)</f>
        <v>0</v>
      </c>
      <c r="V401" s="17">
        <f>ROUND($B401*V$347,2)</f>
        <v>0</v>
      </c>
      <c r="W401" s="17">
        <f>ROUND($B401*W$354,2)</f>
        <v>0</v>
      </c>
      <c r="X401" s="17">
        <f>ROUND($B401*X$354,2)</f>
        <v>-0.01</v>
      </c>
      <c r="Y401" s="17">
        <f>ROUND($B401*Y$354,2)</f>
        <v>0</v>
      </c>
      <c r="Z401" s="17">
        <f>ROUND($B401*Z$354,2)</f>
        <v>0</v>
      </c>
      <c r="AA401" s="17">
        <f>ROUND($B401*AA$354,2)</f>
        <v>0</v>
      </c>
      <c r="AB401" s="19">
        <f>SUM(U396:AA396)</f>
        <v>0</v>
      </c>
      <c r="AC401" s="67" t="str">
        <f>+F401</f>
        <v>SE0</v>
      </c>
    </row>
    <row r="402" spans="1:29" x14ac:dyDescent="0.2">
      <c r="A402" s="9"/>
      <c r="B402" s="103">
        <v>-1</v>
      </c>
      <c r="C402" s="34"/>
      <c r="F402" s="12"/>
      <c r="G402" s="12"/>
      <c r="H402" s="12"/>
      <c r="I402" s="19"/>
      <c r="J402" s="12"/>
      <c r="K402" s="35">
        <f>IF(D403&gt;K$355,+K$355,D403)</f>
        <v>0</v>
      </c>
      <c r="L402" s="35">
        <f>IF(D403&gt;K402,+D403-K402,0)</f>
        <v>0</v>
      </c>
      <c r="M402" s="34">
        <f>IF(B403&gt;D403,+B403-D403,0)</f>
        <v>0</v>
      </c>
      <c r="N402" s="34"/>
      <c r="O402" s="34"/>
      <c r="P402" s="34"/>
      <c r="Q402" s="34"/>
      <c r="R402" s="12"/>
      <c r="S402" s="50">
        <v>0.25</v>
      </c>
      <c r="T402" s="12"/>
      <c r="U402" s="12"/>
      <c r="V402" s="12"/>
      <c r="W402" s="12"/>
      <c r="X402" s="12"/>
      <c r="Y402" s="12"/>
      <c r="Z402" s="12"/>
      <c r="AA402" s="12"/>
    </row>
    <row r="403" spans="1:29" x14ac:dyDescent="0.2">
      <c r="A403" s="1" t="s">
        <v>140</v>
      </c>
      <c r="B403" s="103">
        <f>IF(AND('AES Indiana Bill Calc.'!$D$17="SE",'AES Indiana Bill Calc.'!$D$18="Yes 25%",'AES Indiana Bill Calc.'!$D$20="Yes 2020"),'AES Indiana Bill Calc.'!$D$19,-1)</f>
        <v>-1</v>
      </c>
      <c r="C403" s="103" t="b">
        <f>IF(AND('AES Indiana Bill Calc.'!$D$17="SE",'AES Indiana Bill Calc.'!$D$18="Yes 25%",'AES Indiana Bill Calc.'!$D$20="Yes 2020"),'AES Indiana Bill Calc.'!$D$23)</f>
        <v>0</v>
      </c>
      <c r="D403" s="2">
        <f>ROUND(C403*D$354,0)</f>
        <v>0</v>
      </c>
      <c r="F403" s="36" t="s">
        <v>178</v>
      </c>
      <c r="G403" s="17">
        <f>SUM(J403:M403,O403:P403,R403:AA403)</f>
        <v>54.99</v>
      </c>
      <c r="H403" s="19" t="e">
        <f>IF(ISBLANK(B403),0,+#REF!/B403)</f>
        <v>#REF!</v>
      </c>
      <c r="I403" s="19"/>
      <c r="J403" s="16">
        <f>IF(ISBLANK(B403),0,+J$354)</f>
        <v>55</v>
      </c>
      <c r="K403" s="16">
        <f>ROUND(K402*K$354,2)</f>
        <v>0</v>
      </c>
      <c r="L403" s="16">
        <f>ROUND(L402*L$354,2)</f>
        <v>0</v>
      </c>
      <c r="M403" s="16">
        <f>ROUND(M402*M$354,2)</f>
        <v>0</v>
      </c>
      <c r="N403" s="16">
        <f>SUM(K403:M403)</f>
        <v>0</v>
      </c>
      <c r="O403" s="16"/>
      <c r="P403" s="16"/>
      <c r="Q403" s="16"/>
      <c r="R403" s="8"/>
      <c r="S403" s="17">
        <f>ROUND($B403*S$354*S402,2)</f>
        <v>0</v>
      </c>
      <c r="T403" s="17">
        <f>ROUND($B403*T$354,2)</f>
        <v>0</v>
      </c>
      <c r="U403" s="17">
        <f>ROUND($B403*U$354,2)</f>
        <v>0</v>
      </c>
      <c r="V403" s="17">
        <f>ROUND($B403*V$347,2)</f>
        <v>0</v>
      </c>
      <c r="W403" s="17">
        <f>ROUND($B403*W$354,2)</f>
        <v>0</v>
      </c>
      <c r="X403" s="17">
        <f>ROUND($B403*X$354,2)</f>
        <v>-0.01</v>
      </c>
      <c r="Y403" s="17">
        <f>ROUND($B403*Y$354,2)</f>
        <v>0</v>
      </c>
      <c r="Z403" s="17">
        <f>ROUND($B403*Z$354,2)</f>
        <v>0</v>
      </c>
      <c r="AA403" s="17">
        <f>ROUND($B403*AA$354,2)</f>
        <v>0</v>
      </c>
      <c r="AB403" s="19">
        <f>SUM(U398:AA398)</f>
        <v>0</v>
      </c>
      <c r="AC403" s="67" t="str">
        <f>+F403</f>
        <v>SE0</v>
      </c>
    </row>
    <row r="404" spans="1:29" x14ac:dyDescent="0.2">
      <c r="A404" s="9"/>
      <c r="B404" s="103">
        <v>-1</v>
      </c>
      <c r="C404" s="34"/>
      <c r="F404" s="12"/>
      <c r="G404" s="12"/>
      <c r="H404" s="12"/>
      <c r="I404" s="19"/>
      <c r="J404" s="12"/>
      <c r="K404" s="35">
        <f>IF(D405&gt;K$355,+K$355,D405)</f>
        <v>0</v>
      </c>
      <c r="L404" s="35">
        <f>IF(D405&gt;K404,+D405-K404,0)</f>
        <v>0</v>
      </c>
      <c r="M404" s="34">
        <f>IF(B405&gt;D405,+B405-D405,0)</f>
        <v>0</v>
      </c>
      <c r="N404" s="34"/>
      <c r="O404" s="34"/>
      <c r="P404" s="34"/>
      <c r="Q404" s="34"/>
      <c r="R404" s="12"/>
      <c r="S404" s="50">
        <v>0.1</v>
      </c>
      <c r="T404" s="12"/>
      <c r="U404" s="12"/>
      <c r="V404" s="12"/>
      <c r="W404" s="12"/>
      <c r="X404" s="12"/>
      <c r="Y404" s="12"/>
      <c r="Z404" s="12"/>
      <c r="AA404" s="12"/>
    </row>
    <row r="405" spans="1:29" x14ac:dyDescent="0.2">
      <c r="A405" s="1" t="s">
        <v>154</v>
      </c>
      <c r="B405" s="103">
        <f>IF(AND('AES Indiana Bill Calc.'!$D$17="SE",'AES Indiana Bill Calc.'!$D$18="Yes 10%",'AES Indiana Bill Calc.'!$D$20="Yes 2020"),'AES Indiana Bill Calc.'!$D$19,-1)</f>
        <v>-1</v>
      </c>
      <c r="C405" s="103" t="b">
        <f>IF(AND('AES Indiana Bill Calc.'!$D$17="SE",'AES Indiana Bill Calc.'!$D$18="Yes 10%",'AES Indiana Bill Calc.'!$D$20="Yes 2020"),'AES Indiana Bill Calc.'!$D$23)</f>
        <v>0</v>
      </c>
      <c r="D405" s="2">
        <f>ROUND(C405*D$354,0)</f>
        <v>0</v>
      </c>
      <c r="F405" s="36" t="s">
        <v>178</v>
      </c>
      <c r="G405" s="17">
        <f>SUM(J405:M405,O405:P405,R405:AA405)</f>
        <v>54.99</v>
      </c>
      <c r="H405" s="19" t="e">
        <f>IF(ISBLANK(B405),0,+#REF!/B405)</f>
        <v>#REF!</v>
      </c>
      <c r="I405" s="19"/>
      <c r="J405" s="16">
        <f>IF(ISBLANK(B405),0,+J$354)</f>
        <v>55</v>
      </c>
      <c r="K405" s="16">
        <f>ROUND(K404*K$354,2)</f>
        <v>0</v>
      </c>
      <c r="L405" s="16">
        <f>ROUND(L404*L$354,2)</f>
        <v>0</v>
      </c>
      <c r="M405" s="16">
        <f>ROUND(M404*M$354,2)</f>
        <v>0</v>
      </c>
      <c r="N405" s="16">
        <f>SUM(K405:M405)</f>
        <v>0</v>
      </c>
      <c r="O405" s="16"/>
      <c r="P405" s="16"/>
      <c r="Q405" s="16"/>
      <c r="R405" s="8"/>
      <c r="S405" s="17">
        <f>ROUND($B405*S$354*S404,2)</f>
        <v>0</v>
      </c>
      <c r="T405" s="17">
        <f>ROUND($B405*T$354,2)</f>
        <v>0</v>
      </c>
      <c r="U405" s="17">
        <f>ROUND($B405*U$354,2)</f>
        <v>0</v>
      </c>
      <c r="V405" s="17">
        <f>ROUND($B405*V$347,2)</f>
        <v>0</v>
      </c>
      <c r="W405" s="17">
        <f>ROUND($B405*W$354,2)</f>
        <v>0</v>
      </c>
      <c r="X405" s="17">
        <f>ROUND($B405*X$354,2)</f>
        <v>-0.01</v>
      </c>
      <c r="Y405" s="17">
        <f>ROUND($B405*Y$354,2)</f>
        <v>0</v>
      </c>
      <c r="Z405" s="17">
        <f>ROUND($B405*Z$354,2)</f>
        <v>0</v>
      </c>
      <c r="AA405" s="17">
        <f>ROUND($B405*AA$354,2)</f>
        <v>0</v>
      </c>
      <c r="AB405" s="19">
        <f>SUM(U400:AA400)</f>
        <v>0</v>
      </c>
      <c r="AC405" s="67" t="str">
        <f>+F405</f>
        <v>SE0</v>
      </c>
    </row>
    <row r="406" spans="1:29" x14ac:dyDescent="0.2">
      <c r="A406" s="9"/>
      <c r="B406" s="103">
        <v>-1</v>
      </c>
      <c r="C406" s="34"/>
      <c r="F406" s="12"/>
      <c r="G406" s="12"/>
      <c r="H406" s="12"/>
      <c r="I406" s="19"/>
      <c r="J406" s="12"/>
      <c r="K406" s="35">
        <f>IF(D407&gt;K$355,+K$355,D407)</f>
        <v>0</v>
      </c>
      <c r="L406" s="35">
        <f>IF(D407&gt;K406,+D407-K406,0)</f>
        <v>0</v>
      </c>
      <c r="M406" s="34">
        <f>IF(B407&gt;D407,+B407-D407,0)</f>
        <v>0</v>
      </c>
      <c r="N406" s="34"/>
      <c r="O406" s="34"/>
      <c r="P406" s="34"/>
      <c r="Q406" s="34"/>
      <c r="R406" s="12"/>
      <c r="S406" s="50">
        <v>0</v>
      </c>
      <c r="T406" s="12"/>
      <c r="U406" s="12"/>
      <c r="V406" s="12"/>
      <c r="W406" s="12"/>
      <c r="X406" s="12"/>
      <c r="Y406" s="12"/>
      <c r="Z406" s="12"/>
      <c r="AA406" s="12"/>
    </row>
    <row r="407" spans="1:29" x14ac:dyDescent="0.2">
      <c r="A407" s="1" t="s">
        <v>137</v>
      </c>
      <c r="B407" s="103">
        <f>IF(AND('AES Indiana Bill Calc.'!$D$17="SE",'AES Indiana Bill Calc.'!$D$18="No",'AES Indiana Bill Calc.'!$D$20="Yes 2020"),'AES Indiana Bill Calc.'!$D$19,-1)</f>
        <v>-1</v>
      </c>
      <c r="C407" s="103" t="b">
        <f>IF(AND('AES Indiana Bill Calc.'!$D$17="SE",'AES Indiana Bill Calc.'!$D$18="No",'AES Indiana Bill Calc.'!$D$20="Yes 2020"),'AES Indiana Bill Calc.'!$D$23)</f>
        <v>0</v>
      </c>
      <c r="D407" s="2">
        <f>ROUND(C407*D$354,0)</f>
        <v>0</v>
      </c>
      <c r="F407" s="36" t="s">
        <v>178</v>
      </c>
      <c r="G407" s="17">
        <f>SUM(J407:M407,O407:P407,R407:AA407)</f>
        <v>54.99</v>
      </c>
      <c r="H407" s="19" t="e">
        <f>IF(ISBLANK(B407),0,+#REF!/B407)</f>
        <v>#REF!</v>
      </c>
      <c r="I407" s="19"/>
      <c r="J407" s="16">
        <f>IF(ISBLANK(B407),0,+J$354)</f>
        <v>55</v>
      </c>
      <c r="K407" s="16">
        <f>ROUND(K406*K$354,2)</f>
        <v>0</v>
      </c>
      <c r="L407" s="16">
        <f>ROUND(L406*L$354,2)</f>
        <v>0</v>
      </c>
      <c r="M407" s="16">
        <f>ROUND(M406*M$354,2)</f>
        <v>0</v>
      </c>
      <c r="N407" s="16">
        <f>SUM(K407:M407)</f>
        <v>0</v>
      </c>
      <c r="O407" s="16"/>
      <c r="P407" s="16"/>
      <c r="Q407" s="16"/>
      <c r="R407" s="8"/>
      <c r="S407" s="17">
        <f>ROUND($B407*S$354*S406,2)</f>
        <v>0</v>
      </c>
      <c r="T407" s="17">
        <f>ROUND($B407*T$354,2)</f>
        <v>0</v>
      </c>
      <c r="U407" s="17">
        <f>ROUND($B407*U$354,2)</f>
        <v>0</v>
      </c>
      <c r="V407" s="17">
        <f>ROUND($B407*V$347,2)</f>
        <v>0</v>
      </c>
      <c r="W407" s="17">
        <f>ROUND($B407*W$354,2)</f>
        <v>0</v>
      </c>
      <c r="X407" s="17">
        <f>ROUND($B407*X$354,2)</f>
        <v>-0.01</v>
      </c>
      <c r="Y407" s="17">
        <f>ROUND($B407*Y$354,2)</f>
        <v>0</v>
      </c>
      <c r="Z407" s="17">
        <f>ROUND($B407*Z$354,2)</f>
        <v>0</v>
      </c>
      <c r="AA407" s="17">
        <f>ROUND($B407*AA$354,2)</f>
        <v>0</v>
      </c>
      <c r="AB407" s="19">
        <f>SUM(U402:AA402)</f>
        <v>0</v>
      </c>
      <c r="AC407" s="67" t="str">
        <f>+F407</f>
        <v>SE0</v>
      </c>
    </row>
    <row r="408" spans="1:29" x14ac:dyDescent="0.2">
      <c r="B408" s="103">
        <v>-1</v>
      </c>
      <c r="C408" s="34"/>
      <c r="F408" s="12"/>
      <c r="G408" s="12"/>
      <c r="H408" s="12"/>
      <c r="I408" s="19"/>
      <c r="J408" s="12"/>
      <c r="K408" s="35">
        <f>IF(D409&gt;K$355,+K$355,D409)</f>
        <v>0</v>
      </c>
      <c r="L408" s="35">
        <f>IF(D409&gt;K408,+D409-K408,0)</f>
        <v>0</v>
      </c>
      <c r="M408" s="34">
        <f>IF(B409&gt;D409,+B409-D409,0)</f>
        <v>0</v>
      </c>
      <c r="N408" s="34"/>
      <c r="O408" s="34"/>
      <c r="P408" s="34"/>
      <c r="Q408" s="34"/>
      <c r="R408" s="12"/>
      <c r="S408" s="50">
        <v>1</v>
      </c>
      <c r="T408" s="12"/>
      <c r="U408" s="12"/>
      <c r="V408" s="12"/>
      <c r="W408" s="12"/>
      <c r="X408" s="12"/>
      <c r="Y408" s="12"/>
      <c r="Z408" s="12"/>
      <c r="AA408" s="12"/>
    </row>
    <row r="409" spans="1:29" x14ac:dyDescent="0.2">
      <c r="A409" s="1" t="s">
        <v>138</v>
      </c>
      <c r="B409" s="103">
        <f>IF(AND('AES Indiana Bill Calc.'!$D$17="SE",'AES Indiana Bill Calc.'!$D$18="Yes 100%",'AES Indiana Bill Calc.'!$D$20="Yes 2021"),'AES Indiana Bill Calc.'!$D$19,-1)</f>
        <v>-1</v>
      </c>
      <c r="C409" s="103" t="b">
        <f>IF(AND('AES Indiana Bill Calc.'!$D$17="SE",'AES Indiana Bill Calc.'!$D$18="Yes 100%",'AES Indiana Bill Calc.'!$D$20="Yes 2021"),'AES Indiana Bill Calc.'!$D$23)</f>
        <v>0</v>
      </c>
      <c r="D409" s="2">
        <f>ROUND(C409*D$354,0)</f>
        <v>0</v>
      </c>
      <c r="F409" s="36" t="s">
        <v>179</v>
      </c>
      <c r="G409" s="17">
        <f>SUM(J409:M409,O409:P409,R409:AA409)</f>
        <v>54.99</v>
      </c>
      <c r="H409" s="19" t="e">
        <f>IF(ISBLANK(B409),0,+#REF!/B409)</f>
        <v>#REF!</v>
      </c>
      <c r="I409" s="19"/>
      <c r="J409" s="16">
        <f>IF(ISBLANK(B409),0,+J$354)</f>
        <v>55</v>
      </c>
      <c r="K409" s="16">
        <f>ROUND(K408*K$354,2)</f>
        <v>0</v>
      </c>
      <c r="L409" s="16">
        <f>ROUND(L408*L$354,2)</f>
        <v>0</v>
      </c>
      <c r="M409" s="16">
        <f>ROUND(M408*M$354,2)</f>
        <v>0</v>
      </c>
      <c r="N409" s="16">
        <f>SUM(K409:M409)</f>
        <v>0</v>
      </c>
      <c r="O409" s="16"/>
      <c r="P409" s="16"/>
      <c r="Q409" s="16"/>
      <c r="R409" s="8"/>
      <c r="S409" s="17">
        <f>ROUND($B409*S$354*S408,2)</f>
        <v>0</v>
      </c>
      <c r="T409" s="17">
        <f>ROUND($B409*T$354,2)</f>
        <v>0</v>
      </c>
      <c r="U409" s="17">
        <f>ROUND($B409*U$354,2)</f>
        <v>0</v>
      </c>
      <c r="V409" s="17">
        <f>ROUND($B409*V$348,2)</f>
        <v>0</v>
      </c>
      <c r="W409" s="17">
        <f>ROUND($B409*W$354,2)</f>
        <v>0</v>
      </c>
      <c r="X409" s="17">
        <f>ROUND($B409*X$354,2)</f>
        <v>-0.01</v>
      </c>
      <c r="Y409" s="17">
        <f>ROUND($B409*Y$354,2)</f>
        <v>0</v>
      </c>
      <c r="Z409" s="17">
        <f>ROUND($B409*Z$354,2)</f>
        <v>0</v>
      </c>
      <c r="AA409" s="17">
        <f>ROUND($B409*AA$354,2)</f>
        <v>0</v>
      </c>
      <c r="AB409" s="19">
        <f>SUM(U404:AA404)</f>
        <v>0</v>
      </c>
      <c r="AC409" s="67" t="str">
        <f>+F409</f>
        <v>SE1</v>
      </c>
    </row>
    <row r="410" spans="1:29" x14ac:dyDescent="0.2">
      <c r="A410" s="9"/>
      <c r="B410" s="103">
        <v>-1</v>
      </c>
      <c r="C410" s="34"/>
      <c r="F410" s="12"/>
      <c r="G410" s="12"/>
      <c r="H410" s="12"/>
      <c r="I410" s="19"/>
      <c r="J410" s="12"/>
      <c r="K410" s="35">
        <f>IF(D411&gt;K$355,+K$355,D411)</f>
        <v>0</v>
      </c>
      <c r="L410" s="35">
        <f>IF(D411&gt;K410,+D411-K410,0)</f>
        <v>0</v>
      </c>
      <c r="M410" s="34">
        <f>IF(B411&gt;D411,+B411-D411,0)</f>
        <v>0</v>
      </c>
      <c r="N410" s="34"/>
      <c r="O410" s="34"/>
      <c r="P410" s="34"/>
      <c r="Q410" s="34"/>
      <c r="R410" s="12"/>
      <c r="S410" s="50">
        <v>0.5</v>
      </c>
      <c r="T410" s="12"/>
      <c r="U410" s="12"/>
      <c r="V410" s="12"/>
      <c r="W410" s="12"/>
      <c r="X410" s="12"/>
      <c r="Y410" s="12"/>
      <c r="Z410" s="12"/>
      <c r="AA410" s="12"/>
    </row>
    <row r="411" spans="1:29" x14ac:dyDescent="0.2">
      <c r="A411" s="1" t="s">
        <v>139</v>
      </c>
      <c r="B411" s="103">
        <f>IF(AND('AES Indiana Bill Calc.'!$D$17="SE",'AES Indiana Bill Calc.'!$D$18="Yes 50%",'AES Indiana Bill Calc.'!$D$20="Yes 2021"),'AES Indiana Bill Calc.'!$D$19,-1)</f>
        <v>-1</v>
      </c>
      <c r="C411" s="103" t="b">
        <f>IF(AND('AES Indiana Bill Calc.'!$D$17="SE",'AES Indiana Bill Calc.'!$D$18="Yes 50%",'AES Indiana Bill Calc.'!$D$20="Yes 2021"),'AES Indiana Bill Calc.'!$D$23)</f>
        <v>0</v>
      </c>
      <c r="D411" s="2">
        <f>ROUND(C411*D$354,0)</f>
        <v>0</v>
      </c>
      <c r="F411" s="36" t="s">
        <v>179</v>
      </c>
      <c r="G411" s="17">
        <f>SUM(J411:M411,O411:P411,R411:AA411)</f>
        <v>54.99</v>
      </c>
      <c r="H411" s="19" t="e">
        <f>IF(ISBLANK(B411),0,+#REF!/B411)</f>
        <v>#REF!</v>
      </c>
      <c r="I411" s="19"/>
      <c r="J411" s="16">
        <f>IF(ISBLANK(B411),0,+J$354)</f>
        <v>55</v>
      </c>
      <c r="K411" s="16">
        <f>ROUND(K410*K$354,2)</f>
        <v>0</v>
      </c>
      <c r="L411" s="16">
        <f>ROUND(L410*L$354,2)</f>
        <v>0</v>
      </c>
      <c r="M411" s="16">
        <f>ROUND(M410*M$354,2)</f>
        <v>0</v>
      </c>
      <c r="N411" s="16">
        <f>SUM(K411:M411)</f>
        <v>0</v>
      </c>
      <c r="O411" s="16"/>
      <c r="P411" s="16"/>
      <c r="Q411" s="16"/>
      <c r="R411" s="8"/>
      <c r="S411" s="17">
        <f>ROUND($B411*S$354*S410,2)</f>
        <v>0</v>
      </c>
      <c r="T411" s="17">
        <f>ROUND($B411*T$354,2)</f>
        <v>0</v>
      </c>
      <c r="U411" s="17">
        <f>ROUND($B411*U$354,2)</f>
        <v>0</v>
      </c>
      <c r="V411" s="17">
        <f>ROUND($B411*V$348,2)</f>
        <v>0</v>
      </c>
      <c r="W411" s="17">
        <f>ROUND($B411*W$354,2)</f>
        <v>0</v>
      </c>
      <c r="X411" s="17">
        <f>ROUND($B411*X$354,2)</f>
        <v>-0.01</v>
      </c>
      <c r="Y411" s="17">
        <f>ROUND($B411*Y$354,2)</f>
        <v>0</v>
      </c>
      <c r="Z411" s="17">
        <f>ROUND($B411*Z$354,2)</f>
        <v>0</v>
      </c>
      <c r="AA411" s="17">
        <f>ROUND($B411*AA$354,2)</f>
        <v>0</v>
      </c>
      <c r="AB411" s="19">
        <f>SUM(U406:AA406)</f>
        <v>0</v>
      </c>
      <c r="AC411" s="67" t="str">
        <f>+F411</f>
        <v>SE1</v>
      </c>
    </row>
    <row r="412" spans="1:29" x14ac:dyDescent="0.2">
      <c r="A412" s="9"/>
      <c r="B412" s="103">
        <v>-1</v>
      </c>
      <c r="C412" s="34"/>
      <c r="F412" s="12"/>
      <c r="G412" s="12"/>
      <c r="H412" s="12"/>
      <c r="I412" s="19"/>
      <c r="J412" s="12"/>
      <c r="K412" s="35">
        <f>IF(D413&gt;K$355,+K$355,D413)</f>
        <v>0</v>
      </c>
      <c r="L412" s="35">
        <f>IF(D413&gt;K412,+D413-K412,0)</f>
        <v>0</v>
      </c>
      <c r="M412" s="34">
        <f>IF(B413&gt;D413,+B413-D413,0)</f>
        <v>0</v>
      </c>
      <c r="N412" s="34"/>
      <c r="O412" s="34"/>
      <c r="P412" s="34"/>
      <c r="Q412" s="34"/>
      <c r="R412" s="12"/>
      <c r="S412" s="50">
        <v>0.25</v>
      </c>
      <c r="T412" s="12"/>
      <c r="U412" s="12"/>
      <c r="V412" s="12"/>
      <c r="W412" s="12"/>
      <c r="X412" s="12"/>
      <c r="Y412" s="12"/>
      <c r="Z412" s="12"/>
      <c r="AA412" s="12"/>
    </row>
    <row r="413" spans="1:29" x14ac:dyDescent="0.2">
      <c r="A413" s="1" t="s">
        <v>140</v>
      </c>
      <c r="B413" s="103">
        <f>IF(AND('AES Indiana Bill Calc.'!$D$17="SE",'AES Indiana Bill Calc.'!$D$18="Yes 25%",'AES Indiana Bill Calc.'!$D$20="Yes 2021"),'AES Indiana Bill Calc.'!$D$19,-1)</f>
        <v>-1</v>
      </c>
      <c r="C413" s="103" t="b">
        <f>IF(AND('AES Indiana Bill Calc.'!$D$17="SE",'AES Indiana Bill Calc.'!$D$18="Yes 25%",'AES Indiana Bill Calc.'!$D$20="Yes 2021"),'AES Indiana Bill Calc.'!$D$23)</f>
        <v>0</v>
      </c>
      <c r="D413" s="2">
        <f>ROUND(C413*D$354,0)</f>
        <v>0</v>
      </c>
      <c r="F413" s="36" t="s">
        <v>179</v>
      </c>
      <c r="G413" s="17">
        <f>SUM(J413:M413,O413:P413,R413:AA413)</f>
        <v>54.99</v>
      </c>
      <c r="H413" s="19" t="e">
        <f>IF(ISBLANK(B413),0,+#REF!/B413)</f>
        <v>#REF!</v>
      </c>
      <c r="I413" s="19"/>
      <c r="J413" s="16">
        <f>IF(ISBLANK(B413),0,+J$354)</f>
        <v>55</v>
      </c>
      <c r="K413" s="16">
        <f>ROUND(K412*K$354,2)</f>
        <v>0</v>
      </c>
      <c r="L413" s="16">
        <f>ROUND(L412*L$354,2)</f>
        <v>0</v>
      </c>
      <c r="M413" s="16">
        <f>ROUND(M412*M$354,2)</f>
        <v>0</v>
      </c>
      <c r="N413" s="16">
        <f>SUM(K413:M413)</f>
        <v>0</v>
      </c>
      <c r="O413" s="16"/>
      <c r="P413" s="16"/>
      <c r="Q413" s="16"/>
      <c r="R413" s="8"/>
      <c r="S413" s="17">
        <f>ROUND($B413*S$354*S412,2)</f>
        <v>0</v>
      </c>
      <c r="T413" s="17">
        <f>ROUND($B413*T$354,2)</f>
        <v>0</v>
      </c>
      <c r="U413" s="17">
        <f>ROUND($B413*U$354,2)</f>
        <v>0</v>
      </c>
      <c r="V413" s="17">
        <f>ROUND($B413*V$348,2)</f>
        <v>0</v>
      </c>
      <c r="W413" s="17">
        <f>ROUND($B413*W$354,2)</f>
        <v>0</v>
      </c>
      <c r="X413" s="17">
        <f>ROUND($B413*X$354,2)</f>
        <v>-0.01</v>
      </c>
      <c r="Y413" s="17">
        <f>ROUND($B413*Y$354,2)</f>
        <v>0</v>
      </c>
      <c r="Z413" s="17">
        <f>ROUND($B413*Z$354,2)</f>
        <v>0</v>
      </c>
      <c r="AA413" s="17">
        <f>ROUND($B413*AA$354,2)</f>
        <v>0</v>
      </c>
      <c r="AB413" s="19">
        <f>SUM(U408:AA408)</f>
        <v>0</v>
      </c>
      <c r="AC413" s="67" t="str">
        <f>+F413</f>
        <v>SE1</v>
      </c>
    </row>
    <row r="414" spans="1:29" x14ac:dyDescent="0.2">
      <c r="A414" s="9"/>
      <c r="B414" s="103">
        <v>-1</v>
      </c>
      <c r="C414" s="34"/>
      <c r="F414" s="12"/>
      <c r="G414" s="12"/>
      <c r="H414" s="12"/>
      <c r="I414" s="19"/>
      <c r="J414" s="12"/>
      <c r="K414" s="35">
        <f>IF(D415&gt;K$355,+K$355,D415)</f>
        <v>0</v>
      </c>
      <c r="L414" s="35">
        <f>IF(D415&gt;K414,+D415-K414,0)</f>
        <v>0</v>
      </c>
      <c r="M414" s="34">
        <f>IF(B415&gt;D415,+B415-D415,0)</f>
        <v>0</v>
      </c>
      <c r="N414" s="34"/>
      <c r="O414" s="34"/>
      <c r="P414" s="34"/>
      <c r="Q414" s="34"/>
      <c r="R414" s="12"/>
      <c r="S414" s="50">
        <v>0.1</v>
      </c>
      <c r="T414" s="12"/>
      <c r="U414" s="12"/>
      <c r="V414" s="12"/>
      <c r="W414" s="12"/>
      <c r="X414" s="12"/>
      <c r="Y414" s="12"/>
      <c r="Z414" s="12"/>
      <c r="AA414" s="12"/>
    </row>
    <row r="415" spans="1:29" x14ac:dyDescent="0.2">
      <c r="A415" s="1" t="s">
        <v>154</v>
      </c>
      <c r="B415" s="103">
        <f>IF(AND('AES Indiana Bill Calc.'!$D$17="SE",'AES Indiana Bill Calc.'!$D$18="Yes 10%",'AES Indiana Bill Calc.'!$D$20="Yes 2021"),'AES Indiana Bill Calc.'!$D$19,-1)</f>
        <v>-1</v>
      </c>
      <c r="C415" s="103" t="b">
        <f>IF(AND('AES Indiana Bill Calc.'!$D$17="SE",'AES Indiana Bill Calc.'!$D$18="Yes 10%",'AES Indiana Bill Calc.'!$D$20="Yes 2021"),'AES Indiana Bill Calc.'!$D$23)</f>
        <v>0</v>
      </c>
      <c r="D415" s="2">
        <f>ROUND(C415*D$354,0)</f>
        <v>0</v>
      </c>
      <c r="F415" s="36" t="s">
        <v>179</v>
      </c>
      <c r="G415" s="17">
        <f>SUM(J415:M415,O415:P415,R415:AA415)</f>
        <v>54.99</v>
      </c>
      <c r="H415" s="19" t="e">
        <f>IF(ISBLANK(B415),0,+#REF!/B415)</f>
        <v>#REF!</v>
      </c>
      <c r="I415" s="19"/>
      <c r="J415" s="16">
        <f>IF(ISBLANK(B415),0,+J$354)</f>
        <v>55</v>
      </c>
      <c r="K415" s="16">
        <f>ROUND(K414*K$354,2)</f>
        <v>0</v>
      </c>
      <c r="L415" s="16">
        <f>ROUND(L414*L$354,2)</f>
        <v>0</v>
      </c>
      <c r="M415" s="16">
        <f>ROUND(M414*M$354,2)</f>
        <v>0</v>
      </c>
      <c r="N415" s="16">
        <f>SUM(K415:M415)</f>
        <v>0</v>
      </c>
      <c r="O415" s="16"/>
      <c r="P415" s="16"/>
      <c r="Q415" s="16"/>
      <c r="R415" s="8"/>
      <c r="S415" s="17">
        <f>ROUND($B415*S$354*S414,2)</f>
        <v>0</v>
      </c>
      <c r="T415" s="17">
        <f>ROUND($B415*T$354,2)</f>
        <v>0</v>
      </c>
      <c r="U415" s="17">
        <f>ROUND($B415*U$354,2)</f>
        <v>0</v>
      </c>
      <c r="V415" s="17">
        <f>ROUND($B415*V$348,2)</f>
        <v>0</v>
      </c>
      <c r="W415" s="17">
        <f>ROUND($B415*W$354,2)</f>
        <v>0</v>
      </c>
      <c r="X415" s="17">
        <f>ROUND($B415*X$354,2)</f>
        <v>-0.01</v>
      </c>
      <c r="Y415" s="17">
        <f>ROUND($B415*Y$354,2)</f>
        <v>0</v>
      </c>
      <c r="Z415" s="17">
        <f>ROUND($B415*Z$354,2)</f>
        <v>0</v>
      </c>
      <c r="AA415" s="17">
        <f>ROUND($B415*AA$354,2)</f>
        <v>0</v>
      </c>
      <c r="AB415" s="19">
        <f>SUM(U410:AA410)</f>
        <v>0</v>
      </c>
      <c r="AC415" s="67" t="str">
        <f>+F415</f>
        <v>SE1</v>
      </c>
    </row>
    <row r="416" spans="1:29" x14ac:dyDescent="0.2">
      <c r="A416" s="9"/>
      <c r="B416" s="103">
        <v>-1</v>
      </c>
      <c r="C416" s="34"/>
      <c r="F416" s="12"/>
      <c r="G416" s="12"/>
      <c r="H416" s="12"/>
      <c r="I416" s="19"/>
      <c r="J416" s="12"/>
      <c r="K416" s="35">
        <f>IF(D417&gt;K$355,+K$355,D417)</f>
        <v>0</v>
      </c>
      <c r="L416" s="35">
        <f>IF(D417&gt;K416,+D417-K416,0)</f>
        <v>0</v>
      </c>
      <c r="M416" s="34">
        <f>IF(B417&gt;D417,+B417-D417,0)</f>
        <v>0</v>
      </c>
      <c r="N416" s="34"/>
      <c r="O416" s="34"/>
      <c r="P416" s="34"/>
      <c r="Q416" s="34"/>
      <c r="R416" s="12"/>
      <c r="S416" s="50">
        <v>0</v>
      </c>
      <c r="T416" s="12"/>
      <c r="U416" s="12"/>
      <c r="V416" s="12"/>
      <c r="W416" s="12"/>
      <c r="X416" s="12"/>
      <c r="Y416" s="12"/>
      <c r="Z416" s="12"/>
      <c r="AA416" s="12"/>
    </row>
    <row r="417" spans="1:29" x14ac:dyDescent="0.2">
      <c r="A417" s="1" t="s">
        <v>137</v>
      </c>
      <c r="B417" s="103">
        <f>IF(AND('AES Indiana Bill Calc.'!$D$17="SE",'AES Indiana Bill Calc.'!$D$18="No",'AES Indiana Bill Calc.'!$D$20="Yes 2021"),'AES Indiana Bill Calc.'!$D$19,-1)</f>
        <v>-1</v>
      </c>
      <c r="C417" s="103" t="b">
        <f>IF(AND('AES Indiana Bill Calc.'!$D$17="SE",'AES Indiana Bill Calc.'!$D$18="No",'AES Indiana Bill Calc.'!$D$20="Yes 2021"),'AES Indiana Bill Calc.'!$D$23)</f>
        <v>0</v>
      </c>
      <c r="D417" s="2">
        <f>ROUND(C417*D$354,0)</f>
        <v>0</v>
      </c>
      <c r="F417" s="36" t="s">
        <v>179</v>
      </c>
      <c r="G417" s="17">
        <f>SUM(J417:M417,O417:P417,R417:AA417)</f>
        <v>54.99</v>
      </c>
      <c r="H417" s="19" t="e">
        <f>IF(ISBLANK(B417),0,+#REF!/B417)</f>
        <v>#REF!</v>
      </c>
      <c r="I417" s="19"/>
      <c r="J417" s="16">
        <f>IF(ISBLANK(B417),0,+J$354)</f>
        <v>55</v>
      </c>
      <c r="K417" s="16">
        <f>ROUND(K416*K$354,2)</f>
        <v>0</v>
      </c>
      <c r="L417" s="16">
        <f>ROUND(L416*L$354,2)</f>
        <v>0</v>
      </c>
      <c r="M417" s="16">
        <f>ROUND(M416*M$354,2)</f>
        <v>0</v>
      </c>
      <c r="N417" s="16">
        <f>SUM(K417:M417)</f>
        <v>0</v>
      </c>
      <c r="O417" s="16"/>
      <c r="P417" s="16"/>
      <c r="Q417" s="16"/>
      <c r="R417" s="8"/>
      <c r="S417" s="17">
        <f>ROUND($B417*S$354*S416,2)</f>
        <v>0</v>
      </c>
      <c r="T417" s="17">
        <f>ROUND($B417*T$354,2)</f>
        <v>0</v>
      </c>
      <c r="U417" s="17">
        <f>ROUND($B417*U$354,2)</f>
        <v>0</v>
      </c>
      <c r="V417" s="17">
        <f>ROUND($B417*V$348,2)</f>
        <v>0</v>
      </c>
      <c r="W417" s="17">
        <f>ROUND($B417*W$354,2)</f>
        <v>0</v>
      </c>
      <c r="X417" s="17">
        <f>ROUND($B417*X$354,2)</f>
        <v>-0.01</v>
      </c>
      <c r="Y417" s="17">
        <f>ROUND($B417*Y$354,2)</f>
        <v>0</v>
      </c>
      <c r="Z417" s="17">
        <f>ROUND($B417*Z$354,2)</f>
        <v>0</v>
      </c>
      <c r="AA417" s="17">
        <f>ROUND($B417*AA$354,2)</f>
        <v>0</v>
      </c>
      <c r="AB417" s="19">
        <f>SUM(U412:AA412)</f>
        <v>0</v>
      </c>
      <c r="AC417" s="67" t="str">
        <f>+F417</f>
        <v>SE1</v>
      </c>
    </row>
    <row r="418" spans="1:29" x14ac:dyDescent="0.2">
      <c r="B418" s="103">
        <v>-1</v>
      </c>
      <c r="C418" s="34"/>
      <c r="F418" s="12"/>
      <c r="G418" s="12"/>
      <c r="H418" s="12"/>
      <c r="I418" s="19"/>
      <c r="J418" s="12"/>
      <c r="K418" s="35">
        <f>IF(D419&gt;K$355,+K$355,D419)</f>
        <v>0</v>
      </c>
      <c r="L418" s="35">
        <f>IF(D419&gt;K418,+D419-K418,0)</f>
        <v>0</v>
      </c>
      <c r="M418" s="34">
        <f>IF(B419&gt;D419,+B419-D419,0)</f>
        <v>0</v>
      </c>
      <c r="N418" s="34"/>
      <c r="O418" s="34"/>
      <c r="P418" s="34"/>
      <c r="Q418" s="34"/>
      <c r="R418" s="12"/>
      <c r="S418" s="50">
        <v>1</v>
      </c>
      <c r="T418" s="12"/>
      <c r="U418" s="12"/>
      <c r="V418" s="12"/>
      <c r="W418" s="12"/>
      <c r="X418" s="12"/>
      <c r="Y418" s="12"/>
      <c r="Z418" s="12"/>
      <c r="AA418" s="12"/>
    </row>
    <row r="419" spans="1:29" x14ac:dyDescent="0.2">
      <c r="A419" s="1" t="s">
        <v>138</v>
      </c>
      <c r="B419" s="103">
        <f>IF(AND('AES Indiana Bill Calc.'!$D$17="SE",'AES Indiana Bill Calc.'!$D$18="Yes 100%",'AES Indiana Bill Calc.'!$D$20="Yes 2022"),'AES Indiana Bill Calc.'!$D$19,-1)</f>
        <v>-1</v>
      </c>
      <c r="C419" s="103" t="b">
        <f>IF(AND('AES Indiana Bill Calc.'!$D$17="SE",'AES Indiana Bill Calc.'!$D$18="Yes 100%",'AES Indiana Bill Calc.'!$D$20="Yes 2022"),'AES Indiana Bill Calc.'!$D$23)</f>
        <v>0</v>
      </c>
      <c r="D419" s="2">
        <f>ROUND(C419*D$354,0)</f>
        <v>0</v>
      </c>
      <c r="F419" s="36" t="s">
        <v>180</v>
      </c>
      <c r="G419" s="17">
        <f>SUM(J419:M419,O419:P419,R419:AA419)</f>
        <v>54.99</v>
      </c>
      <c r="H419" s="19" t="e">
        <f>IF(ISBLANK(B419),0,+#REF!/B419)</f>
        <v>#REF!</v>
      </c>
      <c r="I419" s="19"/>
      <c r="J419" s="16">
        <f>IF(ISBLANK(B419),0,+J$354)</f>
        <v>55</v>
      </c>
      <c r="K419" s="16">
        <f>ROUND(K418*K$354,2)</f>
        <v>0</v>
      </c>
      <c r="L419" s="16">
        <f>ROUND(L418*L$354,2)</f>
        <v>0</v>
      </c>
      <c r="M419" s="16">
        <f>ROUND(M418*M$354,2)</f>
        <v>0</v>
      </c>
      <c r="N419" s="16">
        <f>SUM(K419:M419)</f>
        <v>0</v>
      </c>
      <c r="O419" s="16"/>
      <c r="P419" s="16"/>
      <c r="Q419" s="16"/>
      <c r="R419" s="8"/>
      <c r="S419" s="17">
        <f>ROUND($B419*S$354*S418,2)</f>
        <v>0</v>
      </c>
      <c r="T419" s="17">
        <f>ROUND($B419*T$354,2)</f>
        <v>0</v>
      </c>
      <c r="U419" s="17">
        <f>ROUND($B419*U$354,2)</f>
        <v>0</v>
      </c>
      <c r="V419" s="17">
        <f>ROUND($B419*V$349,2)</f>
        <v>0</v>
      </c>
      <c r="W419" s="17">
        <f>ROUND($B419*W$354,2)</f>
        <v>0</v>
      </c>
      <c r="X419" s="17">
        <f>ROUND($B419*X$354,2)</f>
        <v>-0.01</v>
      </c>
      <c r="Y419" s="17">
        <f>ROUND($B419*Y$354,2)</f>
        <v>0</v>
      </c>
      <c r="Z419" s="17">
        <f>ROUND($B419*Z$354,2)</f>
        <v>0</v>
      </c>
      <c r="AA419" s="17">
        <f>ROUND($B419*AA$354,2)</f>
        <v>0</v>
      </c>
      <c r="AB419" s="19">
        <f>SUM(U414:AA414)</f>
        <v>0</v>
      </c>
      <c r="AC419" s="67" t="str">
        <f>+F419</f>
        <v>SE2</v>
      </c>
    </row>
    <row r="420" spans="1:29" x14ac:dyDescent="0.2">
      <c r="A420" s="9"/>
      <c r="B420" s="103">
        <v>-1</v>
      </c>
      <c r="C420" s="34"/>
      <c r="F420" s="12"/>
      <c r="G420" s="12"/>
      <c r="H420" s="12"/>
      <c r="I420" s="19"/>
      <c r="J420" s="12"/>
      <c r="K420" s="35">
        <f>IF(D421&gt;K$355,+K$355,D421)</f>
        <v>0</v>
      </c>
      <c r="L420" s="35">
        <f>IF(D421&gt;K420,+D421-K420,0)</f>
        <v>0</v>
      </c>
      <c r="M420" s="34">
        <f>IF(B421&gt;D421,+B421-D421,0)</f>
        <v>0</v>
      </c>
      <c r="N420" s="34"/>
      <c r="O420" s="34"/>
      <c r="P420" s="34"/>
      <c r="Q420" s="34"/>
      <c r="R420" s="12"/>
      <c r="S420" s="50">
        <v>0.5</v>
      </c>
      <c r="T420" s="12"/>
      <c r="U420" s="12"/>
      <c r="V420" s="12"/>
      <c r="W420" s="12"/>
      <c r="X420" s="12"/>
      <c r="Y420" s="12"/>
      <c r="Z420" s="12"/>
      <c r="AA420" s="12"/>
    </row>
    <row r="421" spans="1:29" x14ac:dyDescent="0.2">
      <c r="A421" s="1" t="s">
        <v>139</v>
      </c>
      <c r="B421" s="103">
        <f>IF(AND('AES Indiana Bill Calc.'!$D$17="SE",'AES Indiana Bill Calc.'!$D$18="Yes 50%",'AES Indiana Bill Calc.'!$D$20="Yes 2022"),'AES Indiana Bill Calc.'!$D$19,-1)</f>
        <v>-1</v>
      </c>
      <c r="C421" s="103" t="b">
        <f>IF(AND('AES Indiana Bill Calc.'!$D$17="SE",'AES Indiana Bill Calc.'!$D$18="Yes 50%",'AES Indiana Bill Calc.'!$D$20="Yes 2022"),'AES Indiana Bill Calc.'!$D$23)</f>
        <v>0</v>
      </c>
      <c r="D421" s="2">
        <f>ROUND(C421*D$354,0)</f>
        <v>0</v>
      </c>
      <c r="F421" s="36" t="s">
        <v>180</v>
      </c>
      <c r="G421" s="17">
        <f>SUM(J421:M421,O421:P421,R421:AA421)</f>
        <v>54.99</v>
      </c>
      <c r="H421" s="19" t="e">
        <f>IF(ISBLANK(B421),0,+#REF!/B421)</f>
        <v>#REF!</v>
      </c>
      <c r="I421" s="19"/>
      <c r="J421" s="16">
        <f>IF(ISBLANK(B421),0,+J$354)</f>
        <v>55</v>
      </c>
      <c r="K421" s="16">
        <f>ROUND(K420*K$354,2)</f>
        <v>0</v>
      </c>
      <c r="L421" s="16">
        <f>ROUND(L420*L$354,2)</f>
        <v>0</v>
      </c>
      <c r="M421" s="16">
        <f>ROUND(M420*M$354,2)</f>
        <v>0</v>
      </c>
      <c r="N421" s="16">
        <f>SUM(K421:M421)</f>
        <v>0</v>
      </c>
      <c r="O421" s="16"/>
      <c r="P421" s="16"/>
      <c r="Q421" s="16"/>
      <c r="R421" s="8"/>
      <c r="S421" s="17">
        <f>ROUND($B421*S$354*S420,2)</f>
        <v>0</v>
      </c>
      <c r="T421" s="17">
        <f>ROUND($B421*T$354,2)</f>
        <v>0</v>
      </c>
      <c r="U421" s="17">
        <f>ROUND($B421*U$354,2)</f>
        <v>0</v>
      </c>
      <c r="V421" s="17">
        <f>ROUND($B421*V$349,2)</f>
        <v>0</v>
      </c>
      <c r="W421" s="17">
        <f>ROUND($B421*W$354,2)</f>
        <v>0</v>
      </c>
      <c r="X421" s="17">
        <f>ROUND($B421*X$354,2)</f>
        <v>-0.01</v>
      </c>
      <c r="Y421" s="17">
        <f>ROUND($B421*Y$354,2)</f>
        <v>0</v>
      </c>
      <c r="Z421" s="17">
        <f>ROUND($B421*Z$354,2)</f>
        <v>0</v>
      </c>
      <c r="AA421" s="17">
        <f>ROUND($B421*AA$354,2)</f>
        <v>0</v>
      </c>
      <c r="AB421" s="19">
        <f>SUM(U416:AA416)</f>
        <v>0</v>
      </c>
      <c r="AC421" s="67" t="str">
        <f>+F421</f>
        <v>SE2</v>
      </c>
    </row>
    <row r="422" spans="1:29" x14ac:dyDescent="0.2">
      <c r="A422" s="9"/>
      <c r="B422" s="103">
        <v>-1</v>
      </c>
      <c r="C422" s="34"/>
      <c r="F422" s="12"/>
      <c r="G422" s="12"/>
      <c r="H422" s="12"/>
      <c r="I422" s="19"/>
      <c r="J422" s="12"/>
      <c r="K422" s="35">
        <f>IF(D423&gt;K$355,+K$355,D423)</f>
        <v>0</v>
      </c>
      <c r="L422" s="35">
        <f>IF(D423&gt;K422,+D423-K422,0)</f>
        <v>0</v>
      </c>
      <c r="M422" s="34">
        <f>IF(B423&gt;D423,+B423-D423,0)</f>
        <v>0</v>
      </c>
      <c r="N422" s="34"/>
      <c r="O422" s="34"/>
      <c r="P422" s="34"/>
      <c r="Q422" s="34"/>
      <c r="R422" s="12"/>
      <c r="S422" s="50">
        <v>0.25</v>
      </c>
      <c r="T422" s="12"/>
      <c r="U422" s="12"/>
      <c r="V422" s="12"/>
      <c r="W422" s="12"/>
      <c r="X422" s="12"/>
      <c r="Y422" s="12"/>
      <c r="Z422" s="12"/>
      <c r="AA422" s="12"/>
    </row>
    <row r="423" spans="1:29" x14ac:dyDescent="0.2">
      <c r="A423" s="1" t="s">
        <v>140</v>
      </c>
      <c r="B423" s="103">
        <f>IF(AND('AES Indiana Bill Calc.'!$D$17="SE",'AES Indiana Bill Calc.'!$D$18="Yes 25%",'AES Indiana Bill Calc.'!$D$20="Yes 2022"),'AES Indiana Bill Calc.'!$D$19,-1)</f>
        <v>-1</v>
      </c>
      <c r="C423" s="103" t="b">
        <f>IF(AND('AES Indiana Bill Calc.'!$D$17="SE",'AES Indiana Bill Calc.'!$D$18="Yes 25%",'AES Indiana Bill Calc.'!$D$20="Yes 2022"),'AES Indiana Bill Calc.'!$D$23)</f>
        <v>0</v>
      </c>
      <c r="D423" s="2">
        <f>ROUND(C423*D$354,0)</f>
        <v>0</v>
      </c>
      <c r="F423" s="36" t="s">
        <v>180</v>
      </c>
      <c r="G423" s="17">
        <f>SUM(J423:M423,O423:P423,R423:AA423)</f>
        <v>54.99</v>
      </c>
      <c r="H423" s="19" t="e">
        <f>IF(ISBLANK(B423),0,+#REF!/B423)</f>
        <v>#REF!</v>
      </c>
      <c r="I423" s="19"/>
      <c r="J423" s="16">
        <f>IF(ISBLANK(B423),0,+J$354)</f>
        <v>55</v>
      </c>
      <c r="K423" s="16">
        <f>ROUND(K422*K$354,2)</f>
        <v>0</v>
      </c>
      <c r="L423" s="16">
        <f>ROUND(L422*L$354,2)</f>
        <v>0</v>
      </c>
      <c r="M423" s="16">
        <f>ROUND(M422*M$354,2)</f>
        <v>0</v>
      </c>
      <c r="N423" s="16">
        <f>SUM(K423:M423)</f>
        <v>0</v>
      </c>
      <c r="O423" s="16"/>
      <c r="P423" s="16"/>
      <c r="Q423" s="16"/>
      <c r="R423" s="8"/>
      <c r="S423" s="17">
        <f>ROUND($B423*S$354*S422,2)</f>
        <v>0</v>
      </c>
      <c r="T423" s="17">
        <f>ROUND($B423*T$354,2)</f>
        <v>0</v>
      </c>
      <c r="U423" s="17">
        <f>ROUND($B423*U$354,2)</f>
        <v>0</v>
      </c>
      <c r="V423" s="17">
        <f>ROUND($B423*V$349,2)</f>
        <v>0</v>
      </c>
      <c r="W423" s="17">
        <f>ROUND($B423*W$354,2)</f>
        <v>0</v>
      </c>
      <c r="X423" s="17">
        <f>ROUND($B423*X$354,2)</f>
        <v>-0.01</v>
      </c>
      <c r="Y423" s="17">
        <f>ROUND($B423*Y$354,2)</f>
        <v>0</v>
      </c>
      <c r="Z423" s="17">
        <f>ROUND($B423*Z$354,2)</f>
        <v>0</v>
      </c>
      <c r="AA423" s="17">
        <f>ROUND($B423*AA$354,2)</f>
        <v>0</v>
      </c>
      <c r="AB423" s="19">
        <f>SUM(U418:AA418)</f>
        <v>0</v>
      </c>
      <c r="AC423" s="67" t="str">
        <f>+F423</f>
        <v>SE2</v>
      </c>
    </row>
    <row r="424" spans="1:29" x14ac:dyDescent="0.2">
      <c r="A424" s="9"/>
      <c r="B424" s="103">
        <v>-1</v>
      </c>
      <c r="C424" s="34"/>
      <c r="F424" s="12"/>
      <c r="G424" s="12"/>
      <c r="H424" s="12"/>
      <c r="I424" s="19"/>
      <c r="J424" s="12"/>
      <c r="K424" s="35">
        <f>IF(D425&gt;K$355,+K$355,D425)</f>
        <v>0</v>
      </c>
      <c r="L424" s="35">
        <f>IF(D425&gt;K424,+D425-K424,0)</f>
        <v>0</v>
      </c>
      <c r="M424" s="34">
        <f>IF(B425&gt;D425,+B425-D425,0)</f>
        <v>0</v>
      </c>
      <c r="N424" s="34"/>
      <c r="O424" s="34"/>
      <c r="P424" s="34"/>
      <c r="Q424" s="34"/>
      <c r="R424" s="12"/>
      <c r="S424" s="50">
        <v>0.1</v>
      </c>
      <c r="T424" s="12"/>
      <c r="U424" s="12"/>
      <c r="V424" s="12"/>
      <c r="W424" s="12"/>
      <c r="X424" s="12"/>
      <c r="Y424" s="12"/>
      <c r="Z424" s="12"/>
      <c r="AA424" s="12"/>
    </row>
    <row r="425" spans="1:29" x14ac:dyDescent="0.2">
      <c r="A425" s="1" t="s">
        <v>154</v>
      </c>
      <c r="B425" s="103">
        <f>IF(AND('AES Indiana Bill Calc.'!$D$17="SE",'AES Indiana Bill Calc.'!$D$18="Yes 10%",'AES Indiana Bill Calc.'!$D$20="Yes 2022"),'AES Indiana Bill Calc.'!$D$19,-1)</f>
        <v>-1</v>
      </c>
      <c r="C425" s="103" t="b">
        <f>IF(AND('AES Indiana Bill Calc.'!$D$17="SE",'AES Indiana Bill Calc.'!$D$18="Yes 10%",'AES Indiana Bill Calc.'!$D$20="Yes 2022"),'AES Indiana Bill Calc.'!$D$23)</f>
        <v>0</v>
      </c>
      <c r="D425" s="2">
        <f>ROUND(C425*D$354,0)</f>
        <v>0</v>
      </c>
      <c r="F425" s="36" t="s">
        <v>180</v>
      </c>
      <c r="G425" s="17">
        <f>SUM(J425:M425,O425:P425,R425:AA425)</f>
        <v>54.99</v>
      </c>
      <c r="H425" s="19" t="e">
        <f>IF(ISBLANK(B425),0,+#REF!/B425)</f>
        <v>#REF!</v>
      </c>
      <c r="I425" s="19"/>
      <c r="J425" s="16">
        <f>IF(ISBLANK(B425),0,+J$354)</f>
        <v>55</v>
      </c>
      <c r="K425" s="16">
        <f>ROUND(K424*K$354,2)</f>
        <v>0</v>
      </c>
      <c r="L425" s="16">
        <f>ROUND(L424*L$354,2)</f>
        <v>0</v>
      </c>
      <c r="M425" s="16">
        <f>ROUND(M424*M$354,2)</f>
        <v>0</v>
      </c>
      <c r="N425" s="16">
        <f>SUM(K425:M425)</f>
        <v>0</v>
      </c>
      <c r="O425" s="16"/>
      <c r="P425" s="16"/>
      <c r="Q425" s="16"/>
      <c r="R425" s="8"/>
      <c r="S425" s="17">
        <f>ROUND($B425*S$354*S424,2)</f>
        <v>0</v>
      </c>
      <c r="T425" s="17">
        <f>ROUND($B425*T$354,2)</f>
        <v>0</v>
      </c>
      <c r="U425" s="17">
        <f>ROUND($B425*U$354,2)</f>
        <v>0</v>
      </c>
      <c r="V425" s="17">
        <f>ROUND($B425*V$349,2)</f>
        <v>0</v>
      </c>
      <c r="W425" s="17">
        <f>ROUND($B425*W$354,2)</f>
        <v>0</v>
      </c>
      <c r="X425" s="17">
        <f>ROUND($B425*X$354,2)</f>
        <v>-0.01</v>
      </c>
      <c r="Y425" s="17">
        <f>ROUND($B425*Y$354,2)</f>
        <v>0</v>
      </c>
      <c r="Z425" s="17">
        <f>ROUND($B425*Z$354,2)</f>
        <v>0</v>
      </c>
      <c r="AA425" s="17">
        <f>ROUND($B425*AA$354,2)</f>
        <v>0</v>
      </c>
      <c r="AB425" s="19">
        <f>SUM(U420:AA420)</f>
        <v>0</v>
      </c>
      <c r="AC425" s="67" t="str">
        <f>+F425</f>
        <v>SE2</v>
      </c>
    </row>
    <row r="426" spans="1:29" x14ac:dyDescent="0.2">
      <c r="A426" s="9"/>
      <c r="B426" s="103">
        <v>-1</v>
      </c>
      <c r="C426" s="34"/>
      <c r="F426" s="12"/>
      <c r="G426" s="12"/>
      <c r="H426" s="12"/>
      <c r="I426" s="19"/>
      <c r="J426" s="12"/>
      <c r="K426" s="35">
        <f>IF(D427&gt;K$355,+K$355,D427)</f>
        <v>0</v>
      </c>
      <c r="L426" s="35">
        <f>IF(D427&gt;K426,+D427-K426,0)</f>
        <v>0</v>
      </c>
      <c r="M426" s="34">
        <f>IF(B427&gt;D427,+B427-D427,0)</f>
        <v>0</v>
      </c>
      <c r="N426" s="34"/>
      <c r="O426" s="34"/>
      <c r="P426" s="34"/>
      <c r="Q426" s="34"/>
      <c r="R426" s="12"/>
      <c r="S426" s="50">
        <v>0</v>
      </c>
      <c r="T426" s="12"/>
      <c r="U426" s="12"/>
      <c r="V426" s="12"/>
      <c r="W426" s="12"/>
      <c r="X426" s="12"/>
      <c r="Y426" s="12"/>
      <c r="Z426" s="12"/>
      <c r="AA426" s="12"/>
    </row>
    <row r="427" spans="1:29" x14ac:dyDescent="0.2">
      <c r="A427" s="1" t="s">
        <v>137</v>
      </c>
      <c r="B427" s="103">
        <f>IF(AND('AES Indiana Bill Calc.'!$D$17="SE",'AES Indiana Bill Calc.'!$D$18="No",'AES Indiana Bill Calc.'!$D$20="Yes 2022"),'AES Indiana Bill Calc.'!$D$19,-1)</f>
        <v>-1</v>
      </c>
      <c r="C427" s="103" t="b">
        <f>IF(AND('AES Indiana Bill Calc.'!$D$17="SE",'AES Indiana Bill Calc.'!$D$18="No",'AES Indiana Bill Calc.'!$D$20="Yes 2022"),'AES Indiana Bill Calc.'!$D$23)</f>
        <v>0</v>
      </c>
      <c r="D427" s="2">
        <f>ROUND(C427*D$354,0)</f>
        <v>0</v>
      </c>
      <c r="F427" s="36" t="s">
        <v>180</v>
      </c>
      <c r="G427" s="17">
        <f>SUM(J427:M427,O427:P427,R427:AA427)</f>
        <v>54.99</v>
      </c>
      <c r="H427" s="19" t="e">
        <f>IF(ISBLANK(B427),0,+#REF!/B427)</f>
        <v>#REF!</v>
      </c>
      <c r="I427" s="19"/>
      <c r="J427" s="16">
        <f>IF(ISBLANK(B427),0,+J$354)</f>
        <v>55</v>
      </c>
      <c r="K427" s="16">
        <f>ROUND(K426*K$354,2)</f>
        <v>0</v>
      </c>
      <c r="L427" s="16">
        <f>ROUND(L426*L$354,2)</f>
        <v>0</v>
      </c>
      <c r="M427" s="16">
        <f>ROUND(M426*M$354,2)</f>
        <v>0</v>
      </c>
      <c r="N427" s="16">
        <f>SUM(K427:M427)</f>
        <v>0</v>
      </c>
      <c r="O427" s="16"/>
      <c r="P427" s="16"/>
      <c r="Q427" s="16"/>
      <c r="R427" s="8"/>
      <c r="S427" s="17">
        <f>ROUND($B427*S$354*S426,2)</f>
        <v>0</v>
      </c>
      <c r="T427" s="17">
        <f>ROUND($B427*T$354,2)</f>
        <v>0</v>
      </c>
      <c r="U427" s="17">
        <f>ROUND($B427*U$354,2)</f>
        <v>0</v>
      </c>
      <c r="V427" s="17">
        <f>ROUND($B427*V$349,2)</f>
        <v>0</v>
      </c>
      <c r="W427" s="17">
        <f>ROUND($B427*W$354,2)</f>
        <v>0</v>
      </c>
      <c r="X427" s="17">
        <f>ROUND($B427*X$354,2)</f>
        <v>-0.01</v>
      </c>
      <c r="Y427" s="17">
        <f>ROUND($B427*Y$354,2)</f>
        <v>0</v>
      </c>
      <c r="Z427" s="17">
        <f>ROUND($B427*Z$354,2)</f>
        <v>0</v>
      </c>
      <c r="AA427" s="17">
        <f>ROUND($B427*AA$354,2)</f>
        <v>0</v>
      </c>
      <c r="AB427" s="19">
        <f>SUM(U422:AA422)</f>
        <v>0</v>
      </c>
      <c r="AC427" s="67" t="str">
        <f>+F427</f>
        <v>SE2</v>
      </c>
    </row>
    <row r="428" spans="1:29" x14ac:dyDescent="0.2">
      <c r="A428" s="1"/>
      <c r="B428" s="103">
        <v>-1</v>
      </c>
      <c r="C428" s="103"/>
      <c r="D428" s="2"/>
      <c r="F428" s="36"/>
      <c r="G428" s="17"/>
      <c r="H428" s="19"/>
      <c r="I428" s="19"/>
      <c r="J428" s="16"/>
      <c r="K428" s="16"/>
      <c r="L428" s="16"/>
      <c r="M428" s="16"/>
      <c r="N428" s="16"/>
      <c r="O428" s="16"/>
      <c r="P428" s="16"/>
      <c r="Q428" s="16"/>
      <c r="R428" s="8"/>
      <c r="S428" s="50">
        <v>1</v>
      </c>
      <c r="T428" s="17"/>
      <c r="U428" s="17"/>
      <c r="V428" s="17"/>
      <c r="W428" s="17"/>
      <c r="X428" s="17"/>
      <c r="Y428" s="17"/>
      <c r="Z428" s="17"/>
      <c r="AA428" s="17"/>
      <c r="AB428" s="19"/>
      <c r="AC428" s="67"/>
    </row>
    <row r="429" spans="1:29" x14ac:dyDescent="0.2">
      <c r="A429" s="1" t="s">
        <v>138</v>
      </c>
      <c r="B429" s="103">
        <f>IF(AND('AES Indiana Bill Calc.'!$D$17="SE",'AES Indiana Bill Calc.'!$D$18="Yes 100%",'AES Indiana Bill Calc.'!$D$20="Yes 2023"),'AES Indiana Bill Calc.'!$D$19,-1)</f>
        <v>-1</v>
      </c>
      <c r="C429" s="103" t="b">
        <f>IF(AND('AES Indiana Bill Calc.'!$D$17="SE",'AES Indiana Bill Calc.'!$D$18="Yes 100%",'AES Indiana Bill Calc.'!$D$20="Yes 2023"),'AES Indiana Bill Calc.'!$D$23)</f>
        <v>0</v>
      </c>
      <c r="D429" s="2">
        <f>ROUND(C429*D$354,0)</f>
        <v>0</v>
      </c>
      <c r="F429" s="36" t="s">
        <v>181</v>
      </c>
      <c r="G429" s="17">
        <f>SUM(J429:M429,O429:P429,R429:AA429)</f>
        <v>54.99</v>
      </c>
      <c r="H429" s="19" t="e">
        <f>IF(ISBLANK(B429),0,+#REF!/B429)</f>
        <v>#REF!</v>
      </c>
      <c r="I429" s="19"/>
      <c r="J429" s="16">
        <f>IF(ISBLANK(B429),0,+J$354)</f>
        <v>55</v>
      </c>
      <c r="K429" s="16">
        <f>ROUND(K428*K$354,2)</f>
        <v>0</v>
      </c>
      <c r="L429" s="16">
        <f>ROUND(L428*L$354,2)</f>
        <v>0</v>
      </c>
      <c r="M429" s="16">
        <f>ROUND(M428*M$354,2)</f>
        <v>0</v>
      </c>
      <c r="N429" s="16">
        <f>SUM(K429:M429)</f>
        <v>0</v>
      </c>
      <c r="O429" s="16"/>
      <c r="P429" s="16"/>
      <c r="Q429" s="16"/>
      <c r="R429" s="8"/>
      <c r="S429" s="17">
        <f>ROUND($B429*S$354*S428,2)</f>
        <v>0</v>
      </c>
      <c r="T429" s="17">
        <f>ROUND($B429*T$354,2)</f>
        <v>0</v>
      </c>
      <c r="U429" s="17">
        <f>ROUND($B429*U$354,2)</f>
        <v>0</v>
      </c>
      <c r="V429" s="17">
        <f>ROUND($B429*V$350,2)</f>
        <v>0</v>
      </c>
      <c r="W429" s="17">
        <f>ROUND($B429*W$354,2)</f>
        <v>0</v>
      </c>
      <c r="X429" s="17">
        <f>ROUND($B429*X$354,2)</f>
        <v>-0.01</v>
      </c>
      <c r="Y429" s="17">
        <f>ROUND($B429*Y$354,2)</f>
        <v>0</v>
      </c>
      <c r="Z429" s="17">
        <f>ROUND($B429*Z$354,2)</f>
        <v>0</v>
      </c>
      <c r="AA429" s="17">
        <f>ROUND($B429*AA$354,2)</f>
        <v>0</v>
      </c>
      <c r="AB429" s="19">
        <f>SUM(U424:AA424)</f>
        <v>0</v>
      </c>
      <c r="AC429" s="67" t="str">
        <f>+F429</f>
        <v>SE3</v>
      </c>
    </row>
    <row r="430" spans="1:29" x14ac:dyDescent="0.2">
      <c r="A430" s="9"/>
      <c r="B430" s="103">
        <v>-1</v>
      </c>
      <c r="C430" s="34"/>
      <c r="F430" s="12"/>
      <c r="G430" s="12"/>
      <c r="H430" s="12"/>
      <c r="I430" s="19"/>
      <c r="J430" s="12"/>
      <c r="K430" s="35">
        <f>IF(D431&gt;K$355,+K$355,D431)</f>
        <v>0</v>
      </c>
      <c r="L430" s="35">
        <f>IF(D431&gt;K430,+D431-K430,0)</f>
        <v>0</v>
      </c>
      <c r="M430" s="34">
        <f>IF(B431&gt;D431,+B431-D431,0)</f>
        <v>0</v>
      </c>
      <c r="N430" s="34"/>
      <c r="O430" s="34"/>
      <c r="P430" s="34"/>
      <c r="Q430" s="34"/>
      <c r="R430" s="12"/>
      <c r="S430" s="50">
        <v>0.5</v>
      </c>
      <c r="T430" s="12"/>
      <c r="U430" s="12"/>
      <c r="V430" s="12"/>
      <c r="W430" s="12"/>
      <c r="X430" s="12"/>
      <c r="Y430" s="12"/>
      <c r="Z430" s="12"/>
      <c r="AA430" s="12"/>
    </row>
    <row r="431" spans="1:29" x14ac:dyDescent="0.2">
      <c r="A431" s="1" t="s">
        <v>139</v>
      </c>
      <c r="B431" s="103">
        <f>IF(AND('AES Indiana Bill Calc.'!$D$17="SE",'AES Indiana Bill Calc.'!$D$18="Yes 50%",'AES Indiana Bill Calc.'!$D$20="Yes 2023"),'AES Indiana Bill Calc.'!$D$19,-1)</f>
        <v>-1</v>
      </c>
      <c r="C431" s="103" t="b">
        <f>IF(AND('AES Indiana Bill Calc.'!$D$17="SE",'AES Indiana Bill Calc.'!$D$18="Yes 50%",'AES Indiana Bill Calc.'!$D$20="Yes 2023"),'AES Indiana Bill Calc.'!$D$23)</f>
        <v>0</v>
      </c>
      <c r="D431" s="2">
        <f>ROUND(C431*D$354,0)</f>
        <v>0</v>
      </c>
      <c r="F431" s="36" t="s">
        <v>181</v>
      </c>
      <c r="G431" s="17">
        <f>SUM(J431:M431,O431:P431,R431:AA431)</f>
        <v>54.99</v>
      </c>
      <c r="H431" s="19" t="e">
        <f>IF(ISBLANK(B431),0,+#REF!/B431)</f>
        <v>#REF!</v>
      </c>
      <c r="I431" s="19"/>
      <c r="J431" s="16">
        <f>IF(ISBLANK(B431),0,+J$354)</f>
        <v>55</v>
      </c>
      <c r="K431" s="16">
        <f>ROUND(K430*K$354,2)</f>
        <v>0</v>
      </c>
      <c r="L431" s="16">
        <f>ROUND(L430*L$354,2)</f>
        <v>0</v>
      </c>
      <c r="M431" s="16">
        <f>ROUND(M430*M$354,2)</f>
        <v>0</v>
      </c>
      <c r="N431" s="16">
        <f>SUM(K431:M431)</f>
        <v>0</v>
      </c>
      <c r="O431" s="16"/>
      <c r="P431" s="16"/>
      <c r="Q431" s="16"/>
      <c r="R431" s="8"/>
      <c r="S431" s="17">
        <f>ROUND($B431*S$354*S430,2)</f>
        <v>0</v>
      </c>
      <c r="T431" s="17">
        <f>ROUND($B431*T$354,2)</f>
        <v>0</v>
      </c>
      <c r="U431" s="17">
        <f>ROUND($B431*U$354,2)</f>
        <v>0</v>
      </c>
      <c r="V431" s="17">
        <f>ROUND($B431*V$350,2)</f>
        <v>0</v>
      </c>
      <c r="W431" s="17">
        <f>ROUND($B431*W$354,2)</f>
        <v>0</v>
      </c>
      <c r="X431" s="17">
        <f>ROUND($B431*X$354,2)</f>
        <v>-0.01</v>
      </c>
      <c r="Y431" s="17">
        <f>ROUND($B431*Y$354,2)</f>
        <v>0</v>
      </c>
      <c r="Z431" s="17">
        <f>ROUND($B431*Z$354,2)</f>
        <v>0</v>
      </c>
      <c r="AA431" s="17">
        <f>ROUND($B431*AA$354,2)</f>
        <v>0</v>
      </c>
      <c r="AB431" s="19">
        <f>SUM(U426:AA426)</f>
        <v>0</v>
      </c>
      <c r="AC431" s="67" t="str">
        <f>+F431</f>
        <v>SE3</v>
      </c>
    </row>
    <row r="432" spans="1:29" x14ac:dyDescent="0.2">
      <c r="A432" s="9"/>
      <c r="B432" s="103">
        <v>-1</v>
      </c>
      <c r="C432" s="34"/>
      <c r="F432" s="12"/>
      <c r="G432" s="12"/>
      <c r="H432" s="12"/>
      <c r="I432" s="19"/>
      <c r="J432" s="12"/>
      <c r="K432" s="35">
        <f>IF(D433&gt;K$355,+K$355,D433)</f>
        <v>0</v>
      </c>
      <c r="L432" s="35">
        <f>IF(D433&gt;K432,+D433-K432,0)</f>
        <v>0</v>
      </c>
      <c r="M432" s="34">
        <f>IF(B433&gt;D433,+B433-D433,0)</f>
        <v>0</v>
      </c>
      <c r="N432" s="34"/>
      <c r="O432" s="34"/>
      <c r="P432" s="34"/>
      <c r="Q432" s="34"/>
      <c r="R432" s="12"/>
      <c r="S432" s="50">
        <v>0.25</v>
      </c>
      <c r="T432" s="12"/>
      <c r="U432" s="12"/>
      <c r="V432" s="12"/>
      <c r="W432" s="12"/>
      <c r="X432" s="12"/>
      <c r="Y432" s="12"/>
      <c r="Z432" s="12"/>
      <c r="AA432" s="12"/>
    </row>
    <row r="433" spans="1:29" x14ac:dyDescent="0.2">
      <c r="A433" s="1" t="s">
        <v>140</v>
      </c>
      <c r="B433" s="103">
        <f>IF(AND('AES Indiana Bill Calc.'!$D$17="SE",'AES Indiana Bill Calc.'!$D$18="Yes 25%",'AES Indiana Bill Calc.'!$D$20="Yes 2023"),'AES Indiana Bill Calc.'!$D$19,-1)</f>
        <v>-1</v>
      </c>
      <c r="C433" s="103" t="b">
        <f>IF(AND('AES Indiana Bill Calc.'!$D$17="SE",'AES Indiana Bill Calc.'!$D$18="Yes 25%",'AES Indiana Bill Calc.'!$D$20="Yes 2023"),'AES Indiana Bill Calc.'!$D$23)</f>
        <v>0</v>
      </c>
      <c r="D433" s="2">
        <f>ROUND(C433*D$354,0)</f>
        <v>0</v>
      </c>
      <c r="F433" s="36" t="s">
        <v>181</v>
      </c>
      <c r="G433" s="17">
        <f>SUM(J433:M433,O433:P433,R433:AA433)</f>
        <v>54.99</v>
      </c>
      <c r="H433" s="19" t="e">
        <f>IF(ISBLANK(B433),0,+#REF!/B433)</f>
        <v>#REF!</v>
      </c>
      <c r="I433" s="19"/>
      <c r="J433" s="16">
        <f>IF(ISBLANK(B433),0,+J$354)</f>
        <v>55</v>
      </c>
      <c r="K433" s="16">
        <f>ROUND(K432*K$354,2)</f>
        <v>0</v>
      </c>
      <c r="L433" s="16">
        <f>ROUND(L432*L$354,2)</f>
        <v>0</v>
      </c>
      <c r="M433" s="16">
        <f>ROUND(M432*M$354,2)</f>
        <v>0</v>
      </c>
      <c r="N433" s="16">
        <f>SUM(K433:M433)</f>
        <v>0</v>
      </c>
      <c r="O433" s="16"/>
      <c r="P433" s="16"/>
      <c r="Q433" s="16"/>
      <c r="R433" s="8"/>
      <c r="S433" s="17">
        <f>ROUND($B433*S$354*S432,2)</f>
        <v>0</v>
      </c>
      <c r="T433" s="17">
        <f>ROUND($B433*T$354,2)</f>
        <v>0</v>
      </c>
      <c r="U433" s="17">
        <f>ROUND($B433*U$354,2)</f>
        <v>0</v>
      </c>
      <c r="V433" s="17">
        <f>ROUND($B433*V$350,2)</f>
        <v>0</v>
      </c>
      <c r="W433" s="17">
        <f>ROUND($B433*W$354,2)</f>
        <v>0</v>
      </c>
      <c r="X433" s="17">
        <f>ROUND($B433*X$354,2)</f>
        <v>-0.01</v>
      </c>
      <c r="Y433" s="17">
        <f>ROUND($B433*Y$354,2)</f>
        <v>0</v>
      </c>
      <c r="Z433" s="17">
        <f>ROUND($B433*Z$354,2)</f>
        <v>0</v>
      </c>
      <c r="AA433" s="17">
        <f>ROUND($B433*AA$354,2)</f>
        <v>0</v>
      </c>
      <c r="AB433" s="19">
        <f>SUM(U428:AA428)</f>
        <v>0</v>
      </c>
      <c r="AC433" s="67" t="str">
        <f>+F433</f>
        <v>SE3</v>
      </c>
    </row>
    <row r="434" spans="1:29" x14ac:dyDescent="0.2">
      <c r="A434" s="9"/>
      <c r="B434" s="103">
        <v>-1</v>
      </c>
      <c r="C434" s="34"/>
      <c r="F434" s="12"/>
      <c r="G434" s="12"/>
      <c r="H434" s="12"/>
      <c r="I434" s="19"/>
      <c r="J434" s="12"/>
      <c r="K434" s="35">
        <f>IF(D435&gt;K$355,+K$355,D435)</f>
        <v>0</v>
      </c>
      <c r="L434" s="35">
        <f>IF(D435&gt;K434,+D435-K434,0)</f>
        <v>0</v>
      </c>
      <c r="M434" s="34">
        <f>IF(B435&gt;D435,+B435-D435,0)</f>
        <v>0</v>
      </c>
      <c r="N434" s="34"/>
      <c r="O434" s="34"/>
      <c r="P434" s="34"/>
      <c r="Q434" s="34"/>
      <c r="R434" s="12"/>
      <c r="S434" s="50">
        <v>0.1</v>
      </c>
      <c r="T434" s="12"/>
      <c r="U434" s="12"/>
      <c r="V434" s="12"/>
      <c r="W434" s="12"/>
      <c r="X434" s="12"/>
      <c r="Y434" s="12"/>
      <c r="Z434" s="12"/>
      <c r="AA434" s="12"/>
    </row>
    <row r="435" spans="1:29" x14ac:dyDescent="0.2">
      <c r="A435" s="1" t="s">
        <v>154</v>
      </c>
      <c r="B435" s="103">
        <f>IF(AND('AES Indiana Bill Calc.'!$D$17="SE",'AES Indiana Bill Calc.'!$D$18="Yes 10%",'AES Indiana Bill Calc.'!$D$20="Yes 2023"),'AES Indiana Bill Calc.'!$D$19,-1)</f>
        <v>-1</v>
      </c>
      <c r="C435" s="103" t="b">
        <f>IF(AND('AES Indiana Bill Calc.'!$D$17="SE",'AES Indiana Bill Calc.'!$D$18="Yes 10%",'AES Indiana Bill Calc.'!$D$20="Yes 2023"),'AES Indiana Bill Calc.'!$D$23)</f>
        <v>0</v>
      </c>
      <c r="D435" s="2">
        <f>ROUND(C435*D$354,0)</f>
        <v>0</v>
      </c>
      <c r="F435" s="36" t="s">
        <v>181</v>
      </c>
      <c r="G435" s="17">
        <f>SUM(J435:M435,O435:P435,R435:AA435)</f>
        <v>54.99</v>
      </c>
      <c r="H435" s="19" t="e">
        <f>IF(ISBLANK(B435),0,+#REF!/B435)</f>
        <v>#REF!</v>
      </c>
      <c r="I435" s="19"/>
      <c r="J435" s="16">
        <f>IF(ISBLANK(B435),0,+J$354)</f>
        <v>55</v>
      </c>
      <c r="K435" s="16">
        <f>ROUND(K434*K$354,2)</f>
        <v>0</v>
      </c>
      <c r="L435" s="16">
        <f>ROUND(L434*L$354,2)</f>
        <v>0</v>
      </c>
      <c r="M435" s="16">
        <f>ROUND(M434*M$354,2)</f>
        <v>0</v>
      </c>
      <c r="N435" s="16">
        <f>SUM(K435:M435)</f>
        <v>0</v>
      </c>
      <c r="O435" s="16"/>
      <c r="P435" s="16"/>
      <c r="Q435" s="16"/>
      <c r="R435" s="8"/>
      <c r="S435" s="17">
        <f>ROUND($B435*S$354*S434,2)</f>
        <v>0</v>
      </c>
      <c r="T435" s="17">
        <f>ROUND($B435*T$354,2)</f>
        <v>0</v>
      </c>
      <c r="U435" s="17">
        <f>ROUND($B435*U$354,2)</f>
        <v>0</v>
      </c>
      <c r="V435" s="17">
        <f>ROUND($B435*V$350,2)</f>
        <v>0</v>
      </c>
      <c r="W435" s="17">
        <f>ROUND($B435*W$354,2)</f>
        <v>0</v>
      </c>
      <c r="X435" s="17">
        <f>ROUND($B435*X$354,2)</f>
        <v>-0.01</v>
      </c>
      <c r="Y435" s="17">
        <f>ROUND($B435*Y$354,2)</f>
        <v>0</v>
      </c>
      <c r="Z435" s="17">
        <f>ROUND($B435*Z$354,2)</f>
        <v>0</v>
      </c>
      <c r="AA435" s="17">
        <f>ROUND($B435*AA$354,2)</f>
        <v>0</v>
      </c>
      <c r="AB435" s="19">
        <f>SUM(U430:AA430)</f>
        <v>0</v>
      </c>
      <c r="AC435" s="67" t="str">
        <f>+F435</f>
        <v>SE3</v>
      </c>
    </row>
    <row r="436" spans="1:29" x14ac:dyDescent="0.2">
      <c r="A436" s="9"/>
      <c r="B436" s="103">
        <v>-1</v>
      </c>
      <c r="C436" s="34"/>
      <c r="F436" s="12"/>
      <c r="G436" s="12"/>
      <c r="H436" s="12"/>
      <c r="I436" s="19"/>
      <c r="J436" s="12"/>
      <c r="K436" s="35">
        <f>IF(D437&gt;K$355,+K$355,D437)</f>
        <v>0</v>
      </c>
      <c r="L436" s="35">
        <f>IF(D437&gt;K436,+D437-K436,0)</f>
        <v>0</v>
      </c>
      <c r="M436" s="34">
        <f>IF(B437&gt;D437,+B437-D437,0)</f>
        <v>0</v>
      </c>
      <c r="N436" s="34"/>
      <c r="O436" s="34"/>
      <c r="P436" s="34"/>
      <c r="Q436" s="34"/>
      <c r="R436" s="12"/>
      <c r="S436" s="50">
        <v>0</v>
      </c>
      <c r="T436" s="12"/>
      <c r="U436" s="12"/>
      <c r="V436" s="12"/>
      <c r="W436" s="12"/>
      <c r="X436" s="12"/>
      <c r="Y436" s="12"/>
      <c r="Z436" s="12"/>
      <c r="AA436" s="12"/>
    </row>
    <row r="437" spans="1:29" x14ac:dyDescent="0.2">
      <c r="A437" s="1" t="s">
        <v>137</v>
      </c>
      <c r="B437" s="103">
        <f>IF(AND('AES Indiana Bill Calc.'!$D$17="SE",'AES Indiana Bill Calc.'!$D$18="No",'AES Indiana Bill Calc.'!$D$20="Yes 2023"),'AES Indiana Bill Calc.'!$D$19,-1)</f>
        <v>-1</v>
      </c>
      <c r="C437" s="103" t="b">
        <f>IF(AND('AES Indiana Bill Calc.'!$D$17="SE",'AES Indiana Bill Calc.'!$D$18="No",'AES Indiana Bill Calc.'!$D$20="Yes 2023"),'AES Indiana Bill Calc.'!$D$23)</f>
        <v>0</v>
      </c>
      <c r="D437" s="2">
        <f>ROUND(C437*D$354,0)</f>
        <v>0</v>
      </c>
      <c r="F437" s="36" t="s">
        <v>181</v>
      </c>
      <c r="G437" s="17">
        <f>SUM(J437:M437,O437:P437,R437:AA437)</f>
        <v>54.99</v>
      </c>
      <c r="H437" s="19" t="e">
        <f>IF(ISBLANK(B437),0,+#REF!/B437)</f>
        <v>#REF!</v>
      </c>
      <c r="I437" s="19"/>
      <c r="J437" s="16">
        <f>IF(ISBLANK(B437),0,+J$354)</f>
        <v>55</v>
      </c>
      <c r="K437" s="16">
        <f>ROUND(K436*K$354,2)</f>
        <v>0</v>
      </c>
      <c r="L437" s="16">
        <f>ROUND(L436*L$354,2)</f>
        <v>0</v>
      </c>
      <c r="M437" s="16">
        <f>ROUND(M436*M$354,2)</f>
        <v>0</v>
      </c>
      <c r="N437" s="16">
        <f>SUM(K437:M437)</f>
        <v>0</v>
      </c>
      <c r="O437" s="16"/>
      <c r="P437" s="16"/>
      <c r="Q437" s="16"/>
      <c r="R437" s="8"/>
      <c r="S437" s="17">
        <f>ROUND($B437*S$354*S436,2)</f>
        <v>0</v>
      </c>
      <c r="T437" s="17">
        <f>ROUND($B437*T$354,2)</f>
        <v>0</v>
      </c>
      <c r="U437" s="17">
        <f>ROUND($B437*U$354,2)</f>
        <v>0</v>
      </c>
      <c r="V437" s="17">
        <f>ROUND($B437*V$350,2)</f>
        <v>0</v>
      </c>
      <c r="W437" s="17">
        <f>ROUND($B437*W$354,2)</f>
        <v>0</v>
      </c>
      <c r="X437" s="17">
        <f>ROUND($B437*X$354,2)</f>
        <v>-0.01</v>
      </c>
      <c r="Y437" s="17">
        <f>ROUND($B437*Y$354,2)</f>
        <v>0</v>
      </c>
      <c r="Z437" s="17">
        <f>ROUND($B437*Z$354,2)</f>
        <v>0</v>
      </c>
      <c r="AA437" s="17">
        <f>ROUND($B437*AA$354,2)</f>
        <v>0</v>
      </c>
      <c r="AB437" s="19">
        <f>SUM(U432:AA432)</f>
        <v>0</v>
      </c>
      <c r="AC437" s="67" t="str">
        <f>+F437</f>
        <v>SE3</v>
      </c>
    </row>
    <row r="438" spans="1:29" x14ac:dyDescent="0.2">
      <c r="A438" s="9"/>
      <c r="B438" s="103">
        <v>-1</v>
      </c>
      <c r="C438" s="34"/>
      <c r="F438" s="12"/>
      <c r="G438" s="12"/>
      <c r="H438" s="12"/>
      <c r="I438" s="19"/>
      <c r="J438" s="12"/>
      <c r="K438" s="35">
        <f>IF(D439&gt;K$355,+K$355,D439)</f>
        <v>0</v>
      </c>
      <c r="L438" s="35">
        <f>IF(D439&gt;K438,+D439-K438,0)</f>
        <v>0</v>
      </c>
      <c r="M438" s="34">
        <f>IF(B439&gt;D439,+B439-D439,0)</f>
        <v>0</v>
      </c>
      <c r="N438" s="34"/>
      <c r="O438" s="34"/>
      <c r="P438" s="34"/>
      <c r="Q438" s="34"/>
      <c r="R438" s="12"/>
      <c r="S438" s="50">
        <v>1</v>
      </c>
      <c r="T438" s="12"/>
      <c r="U438" s="12"/>
      <c r="V438" s="12"/>
      <c r="W438" s="12"/>
      <c r="X438" s="12"/>
      <c r="Y438" s="12"/>
      <c r="Z438" s="12"/>
      <c r="AA438" s="12"/>
    </row>
    <row r="439" spans="1:29" x14ac:dyDescent="0.2">
      <c r="A439" s="1" t="s">
        <v>138</v>
      </c>
      <c r="B439" s="103">
        <f>IF(AND('AES Indiana Bill Calc.'!$D$17="SE",'AES Indiana Bill Calc.'!$D$18="Yes 100%",'AES Indiana Bill Calc.'!$D$20="Yes 2024"),'AES Indiana Bill Calc.'!$D$19,-1)</f>
        <v>-1</v>
      </c>
      <c r="C439" s="103" t="b">
        <f>IF(AND('AES Indiana Bill Calc.'!$D$17="SE",'AES Indiana Bill Calc.'!$D$18="Yes 100%",'AES Indiana Bill Calc.'!$D$20="Yes 2024"),'AES Indiana Bill Calc.'!$D$23)</f>
        <v>0</v>
      </c>
      <c r="D439" s="2">
        <f>ROUND(C439*D$354,0)</f>
        <v>0</v>
      </c>
      <c r="F439" s="36" t="s">
        <v>291</v>
      </c>
      <c r="G439" s="17">
        <f>SUM(J439:M439,O439:P439,R439:AA439)</f>
        <v>54.99</v>
      </c>
      <c r="H439" s="19" t="e">
        <f>IF(ISBLANK(B439),0,+#REF!/B439)</f>
        <v>#REF!</v>
      </c>
      <c r="I439" s="19"/>
      <c r="J439" s="16">
        <f>IF(ISBLANK(B439),0,+J$354)</f>
        <v>55</v>
      </c>
      <c r="K439" s="16">
        <f>ROUND(K438*K$354,2)</f>
        <v>0</v>
      </c>
      <c r="L439" s="16">
        <f>ROUND(L438*L$354,2)</f>
        <v>0</v>
      </c>
      <c r="M439" s="16">
        <f>ROUND(M438*M$354,2)</f>
        <v>0</v>
      </c>
      <c r="N439" s="16">
        <f>SUM(K439:M439)</f>
        <v>0</v>
      </c>
      <c r="O439" s="16"/>
      <c r="P439" s="16"/>
      <c r="Q439" s="16"/>
      <c r="R439" s="8"/>
      <c r="S439" s="17">
        <f>ROUND($B439*S$354*S438,2)</f>
        <v>0</v>
      </c>
      <c r="T439" s="17">
        <f>ROUND($B439*T$354,2)</f>
        <v>0</v>
      </c>
      <c r="U439" s="17">
        <f>ROUND($B439*U$354,2)</f>
        <v>0</v>
      </c>
      <c r="V439" s="17">
        <f>ROUND($B439*V$351,2)</f>
        <v>0</v>
      </c>
      <c r="W439" s="17">
        <f>ROUND($B439*W$354,2)</f>
        <v>0</v>
      </c>
      <c r="X439" s="17">
        <f>ROUND($B439*X$354,2)</f>
        <v>-0.01</v>
      </c>
      <c r="Y439" s="17">
        <f>ROUND($B439*Y$354,2)</f>
        <v>0</v>
      </c>
      <c r="Z439" s="17">
        <f>ROUND($B439*Z$354,2)</f>
        <v>0</v>
      </c>
      <c r="AA439" s="17">
        <f>ROUND($B439*AA$354,2)</f>
        <v>0</v>
      </c>
      <c r="AB439" s="19">
        <f>SUM(U434:AA434)</f>
        <v>0</v>
      </c>
      <c r="AC439" s="67" t="str">
        <f>+F439</f>
        <v>SE4</v>
      </c>
    </row>
    <row r="440" spans="1:29" x14ac:dyDescent="0.2">
      <c r="A440" s="9"/>
      <c r="B440" s="103">
        <v>-1</v>
      </c>
      <c r="C440" s="34"/>
      <c r="F440" s="12"/>
      <c r="G440" s="12"/>
      <c r="H440" s="12"/>
      <c r="I440" s="19"/>
      <c r="J440" s="12"/>
      <c r="K440" s="35">
        <f>IF(D441&gt;K$355,+K$355,D441)</f>
        <v>0</v>
      </c>
      <c r="L440" s="35">
        <f>IF(D441&gt;K440,+D441-K440,0)</f>
        <v>0</v>
      </c>
      <c r="M440" s="34">
        <f>IF(B441&gt;D441,+B441-D441,0)</f>
        <v>0</v>
      </c>
      <c r="N440" s="34"/>
      <c r="O440" s="34"/>
      <c r="P440" s="34"/>
      <c r="Q440" s="34"/>
      <c r="R440" s="12"/>
      <c r="S440" s="50">
        <v>0.5</v>
      </c>
      <c r="T440" s="12"/>
      <c r="U440" s="12"/>
      <c r="V440" s="12"/>
      <c r="W440" s="12"/>
      <c r="X440" s="12"/>
      <c r="Y440" s="12"/>
      <c r="Z440" s="12"/>
      <c r="AA440" s="12"/>
    </row>
    <row r="441" spans="1:29" x14ac:dyDescent="0.2">
      <c r="A441" s="1" t="s">
        <v>139</v>
      </c>
      <c r="B441" s="103">
        <f>IF(AND('AES Indiana Bill Calc.'!$D$17="SE",'AES Indiana Bill Calc.'!$D$18="Yes 50%",'AES Indiana Bill Calc.'!$D$20="Yes 2024"),'AES Indiana Bill Calc.'!$D$19,-1)</f>
        <v>-1</v>
      </c>
      <c r="C441" s="103" t="b">
        <f>IF(AND('AES Indiana Bill Calc.'!$D$17="SE",'AES Indiana Bill Calc.'!$D$18="Yes 50%",'AES Indiana Bill Calc.'!$D$20="Yes 2024"),'AES Indiana Bill Calc.'!$D$23)</f>
        <v>0</v>
      </c>
      <c r="D441" s="2">
        <f>ROUND(C441*D$354,0)</f>
        <v>0</v>
      </c>
      <c r="F441" s="36" t="s">
        <v>291</v>
      </c>
      <c r="G441" s="17">
        <f>SUM(J441:M441,O441:P441,R441:AA441)</f>
        <v>54.99</v>
      </c>
      <c r="H441" s="19" t="e">
        <f>IF(ISBLANK(B441),0,+#REF!/B441)</f>
        <v>#REF!</v>
      </c>
      <c r="I441" s="19"/>
      <c r="J441" s="16">
        <f>IF(ISBLANK(B441),0,+J$354)</f>
        <v>55</v>
      </c>
      <c r="K441" s="16">
        <f>ROUND(K440*K$354,2)</f>
        <v>0</v>
      </c>
      <c r="L441" s="16">
        <f>ROUND(L440*L$354,2)</f>
        <v>0</v>
      </c>
      <c r="M441" s="16">
        <f>ROUND(M440*M$354,2)</f>
        <v>0</v>
      </c>
      <c r="N441" s="16">
        <f>SUM(K441:M441)</f>
        <v>0</v>
      </c>
      <c r="O441" s="16"/>
      <c r="P441" s="16"/>
      <c r="Q441" s="16"/>
      <c r="R441" s="8"/>
      <c r="S441" s="17">
        <f>ROUND($B441*S$354*S440,2)</f>
        <v>0</v>
      </c>
      <c r="T441" s="17">
        <f>ROUND($B441*T$354,2)</f>
        <v>0</v>
      </c>
      <c r="U441" s="17">
        <f>ROUND($B441*U$354,2)</f>
        <v>0</v>
      </c>
      <c r="V441" s="17">
        <f>ROUND($B441*V$351,2)</f>
        <v>0</v>
      </c>
      <c r="W441" s="17">
        <f>ROUND($B441*W$354,2)</f>
        <v>0</v>
      </c>
      <c r="X441" s="17">
        <f>ROUND($B441*X$354,2)</f>
        <v>-0.01</v>
      </c>
      <c r="Y441" s="17">
        <f>ROUND($B441*Y$354,2)</f>
        <v>0</v>
      </c>
      <c r="Z441" s="17">
        <f>ROUND($B441*Z$354,2)</f>
        <v>0</v>
      </c>
      <c r="AA441" s="17">
        <f>ROUND($B441*AA$354,2)</f>
        <v>0</v>
      </c>
      <c r="AB441" s="19">
        <f>SUM(U436:AA436)</f>
        <v>0</v>
      </c>
      <c r="AC441" s="67" t="str">
        <f>+F441</f>
        <v>SE4</v>
      </c>
    </row>
    <row r="442" spans="1:29" x14ac:dyDescent="0.2">
      <c r="B442" s="103">
        <v>-1</v>
      </c>
      <c r="C442" s="34"/>
      <c r="F442" s="12"/>
      <c r="G442" s="12"/>
      <c r="H442" s="12"/>
      <c r="I442" s="19"/>
      <c r="J442" s="12"/>
      <c r="K442" s="35">
        <f>IF(D443&gt;K$355,+K$355,D443)</f>
        <v>0</v>
      </c>
      <c r="L442" s="35">
        <f>IF(D443&gt;K442,+D443-K442,0)</f>
        <v>0</v>
      </c>
      <c r="M442" s="34">
        <f>IF(B443&gt;D443,+B443-D443,0)</f>
        <v>0</v>
      </c>
      <c r="N442" s="34"/>
      <c r="O442" s="34"/>
      <c r="P442" s="34"/>
      <c r="Q442" s="34"/>
      <c r="R442" s="12"/>
      <c r="S442" s="50">
        <v>0.25</v>
      </c>
      <c r="T442" s="12"/>
      <c r="U442" s="12"/>
      <c r="V442" s="12"/>
      <c r="W442" s="12"/>
      <c r="X442" s="12"/>
      <c r="Y442" s="12"/>
      <c r="Z442" s="12"/>
      <c r="AA442" s="12"/>
    </row>
    <row r="443" spans="1:29" x14ac:dyDescent="0.2">
      <c r="A443" s="1" t="s">
        <v>140</v>
      </c>
      <c r="B443" s="103">
        <f>IF(AND('AES Indiana Bill Calc.'!$D$17="SE",'AES Indiana Bill Calc.'!$D$18="Yes 25%",'AES Indiana Bill Calc.'!$D$20="Yes 2024"),'AES Indiana Bill Calc.'!$D$19,-1)</f>
        <v>-1</v>
      </c>
      <c r="C443" s="103" t="b">
        <f>IF(AND('AES Indiana Bill Calc.'!$D$17="SE",'AES Indiana Bill Calc.'!$D$18="Yes 25%",'AES Indiana Bill Calc.'!$D$20="Yes 2024"),'AES Indiana Bill Calc.'!$D$23)</f>
        <v>0</v>
      </c>
      <c r="D443" s="2">
        <f>ROUND(C443*D$354,0)</f>
        <v>0</v>
      </c>
      <c r="F443" s="36" t="s">
        <v>291</v>
      </c>
      <c r="G443" s="17">
        <f>SUM(J443:M443,O443:P443,R443:AA443)</f>
        <v>54.99</v>
      </c>
      <c r="H443" s="19" t="e">
        <f>IF(ISBLANK(B443),0,+#REF!/B443)</f>
        <v>#REF!</v>
      </c>
      <c r="I443" s="19"/>
      <c r="J443" s="16">
        <f>IF(ISBLANK(B443),0,+J$354)</f>
        <v>55</v>
      </c>
      <c r="K443" s="16">
        <f>ROUND(K442*K$354,2)</f>
        <v>0</v>
      </c>
      <c r="L443" s="16">
        <f>ROUND(L442*L$354,2)</f>
        <v>0</v>
      </c>
      <c r="M443" s="16">
        <f>ROUND(M442*M$354,2)</f>
        <v>0</v>
      </c>
      <c r="N443" s="16">
        <f>SUM(K443:M443)</f>
        <v>0</v>
      </c>
      <c r="O443" s="16"/>
      <c r="P443" s="16"/>
      <c r="Q443" s="16"/>
      <c r="R443" s="8"/>
      <c r="S443" s="17">
        <f>ROUND($B443*S$354*S442,2)</f>
        <v>0</v>
      </c>
      <c r="T443" s="17">
        <f>ROUND($B443*T$354,2)</f>
        <v>0</v>
      </c>
      <c r="U443" s="17">
        <f>ROUND($B443*U$354,2)</f>
        <v>0</v>
      </c>
      <c r="V443" s="17">
        <f>ROUND($B443*V$351,2)</f>
        <v>0</v>
      </c>
      <c r="W443" s="17">
        <f>ROUND($B443*W$354,2)</f>
        <v>0</v>
      </c>
      <c r="X443" s="17">
        <f>ROUND($B443*X$354,2)</f>
        <v>-0.01</v>
      </c>
      <c r="Y443" s="17">
        <f>ROUND($B443*Y$354,2)</f>
        <v>0</v>
      </c>
      <c r="Z443" s="17">
        <f>ROUND($B443*Z$354,2)</f>
        <v>0</v>
      </c>
      <c r="AA443" s="17">
        <f>ROUND($B443*AA$354,2)</f>
        <v>0</v>
      </c>
      <c r="AB443" s="19">
        <f>SUM(U438:AA438)</f>
        <v>0</v>
      </c>
      <c r="AC443" s="67" t="str">
        <f>+F443</f>
        <v>SE4</v>
      </c>
    </row>
    <row r="444" spans="1:29" x14ac:dyDescent="0.2">
      <c r="A444" s="9"/>
      <c r="B444" s="103">
        <v>-1</v>
      </c>
      <c r="C444" s="34"/>
      <c r="F444" s="12"/>
      <c r="G444" s="12"/>
      <c r="H444" s="12"/>
      <c r="I444" s="19"/>
      <c r="J444" s="12"/>
      <c r="K444" s="35">
        <f>IF(D445&gt;K$355,+K$355,D445)</f>
        <v>0</v>
      </c>
      <c r="L444" s="35">
        <f>IF(D445&gt;K444,+D445-K444,0)</f>
        <v>0</v>
      </c>
      <c r="M444" s="34">
        <f>IF(B445&gt;D445,+B445-D445,0)</f>
        <v>0</v>
      </c>
      <c r="N444" s="34"/>
      <c r="O444" s="34"/>
      <c r="P444" s="34"/>
      <c r="Q444" s="34"/>
      <c r="R444" s="12"/>
      <c r="S444" s="50">
        <v>0.1</v>
      </c>
      <c r="T444" s="12"/>
      <c r="U444" s="12"/>
      <c r="V444" s="12"/>
      <c r="W444" s="12"/>
      <c r="X444" s="12"/>
      <c r="Y444" s="12"/>
      <c r="Z444" s="12"/>
      <c r="AA444" s="12"/>
    </row>
    <row r="445" spans="1:29" x14ac:dyDescent="0.2">
      <c r="A445" s="1" t="s">
        <v>154</v>
      </c>
      <c r="B445" s="103">
        <f>IF(AND('AES Indiana Bill Calc.'!$D$17="SE",'AES Indiana Bill Calc.'!$D$18="Yes 10%",'AES Indiana Bill Calc.'!$D$20="Yes 2024"),'AES Indiana Bill Calc.'!$D$19,-1)</f>
        <v>-1</v>
      </c>
      <c r="C445" s="103" t="b">
        <f>IF(AND('AES Indiana Bill Calc.'!$D$17="SE",'AES Indiana Bill Calc.'!$D$18="Yes 10%",'AES Indiana Bill Calc.'!$D$20="Yes 2024"),'AES Indiana Bill Calc.'!$D$23)</f>
        <v>0</v>
      </c>
      <c r="D445" s="2">
        <f>ROUND(C445*D$354,0)</f>
        <v>0</v>
      </c>
      <c r="F445" s="36" t="s">
        <v>291</v>
      </c>
      <c r="G445" s="17">
        <f>SUM(J445:M445,O445:P445,R445:AA445)</f>
        <v>54.99</v>
      </c>
      <c r="H445" s="19" t="e">
        <f>IF(ISBLANK(B445),0,+#REF!/B445)</f>
        <v>#REF!</v>
      </c>
      <c r="I445" s="19"/>
      <c r="J445" s="16">
        <f>IF(ISBLANK(B445),0,+J$354)</f>
        <v>55</v>
      </c>
      <c r="K445" s="16">
        <f>ROUND(K444*K$354,2)</f>
        <v>0</v>
      </c>
      <c r="L445" s="16">
        <f>ROUND(L444*L$354,2)</f>
        <v>0</v>
      </c>
      <c r="M445" s="16">
        <f>ROUND(M444*M$354,2)</f>
        <v>0</v>
      </c>
      <c r="N445" s="16">
        <f>SUM(K445:M445)</f>
        <v>0</v>
      </c>
      <c r="O445" s="16"/>
      <c r="P445" s="16"/>
      <c r="Q445" s="16"/>
      <c r="R445" s="8"/>
      <c r="S445" s="17">
        <f>ROUND($B445*S$354*S444,2)</f>
        <v>0</v>
      </c>
      <c r="T445" s="17">
        <f>ROUND($B445*T$354,2)</f>
        <v>0</v>
      </c>
      <c r="U445" s="17">
        <f>ROUND($B445*U$354,2)</f>
        <v>0</v>
      </c>
      <c r="V445" s="17">
        <f>ROUND($B445*V$351,2)</f>
        <v>0</v>
      </c>
      <c r="W445" s="17">
        <f>ROUND($B445*W$354,2)</f>
        <v>0</v>
      </c>
      <c r="X445" s="17">
        <f>ROUND($B445*X$354,2)</f>
        <v>-0.01</v>
      </c>
      <c r="Y445" s="17">
        <f>ROUND($B445*Y$354,2)</f>
        <v>0</v>
      </c>
      <c r="Z445" s="17">
        <f>ROUND($B445*Z$354,2)</f>
        <v>0</v>
      </c>
      <c r="AA445" s="17">
        <f>ROUND($B445*AA$354,2)</f>
        <v>0</v>
      </c>
      <c r="AB445" s="19">
        <f>SUM(U440:AA440)</f>
        <v>0</v>
      </c>
      <c r="AC445" s="67" t="str">
        <f>+F445</f>
        <v>SE4</v>
      </c>
    </row>
    <row r="446" spans="1:29" x14ac:dyDescent="0.2">
      <c r="A446" s="9"/>
      <c r="B446" s="103">
        <v>-1</v>
      </c>
      <c r="C446" s="34"/>
      <c r="F446" s="12"/>
      <c r="G446" s="12"/>
      <c r="H446" s="12"/>
      <c r="I446" s="19"/>
      <c r="J446" s="12"/>
      <c r="K446" s="35">
        <f>IF(D447&gt;K$355,+K$355,D447)</f>
        <v>0</v>
      </c>
      <c r="L446" s="35">
        <f>IF(D447&gt;K446,+D447-K446,0)</f>
        <v>0</v>
      </c>
      <c r="M446" s="34">
        <f>IF(B447&gt;D447,+B447-D447,0)</f>
        <v>0</v>
      </c>
      <c r="N446" s="34"/>
      <c r="O446" s="34"/>
      <c r="P446" s="34"/>
      <c r="Q446" s="34"/>
      <c r="R446" s="12"/>
      <c r="S446" s="50">
        <v>0</v>
      </c>
      <c r="T446" s="12"/>
      <c r="U446" s="12"/>
      <c r="V446" s="12"/>
      <c r="W446" s="12"/>
      <c r="X446" s="12"/>
      <c r="Y446" s="12"/>
      <c r="Z446" s="12"/>
      <c r="AA446" s="12"/>
    </row>
    <row r="447" spans="1:29" x14ac:dyDescent="0.2">
      <c r="A447" s="1" t="s">
        <v>137</v>
      </c>
      <c r="B447" s="103">
        <f>IF(AND('AES Indiana Bill Calc.'!$D$17="SE",'AES Indiana Bill Calc.'!$D$18="No",'AES Indiana Bill Calc.'!$D$20="Yes 2024"),'AES Indiana Bill Calc.'!$D$19,-1)</f>
        <v>-1</v>
      </c>
      <c r="C447" s="103" t="b">
        <f>IF(AND('AES Indiana Bill Calc.'!$D$17="SE",'AES Indiana Bill Calc.'!$D$18="No",'AES Indiana Bill Calc.'!$D$20="Yes 2024"),'AES Indiana Bill Calc.'!$D$23)</f>
        <v>0</v>
      </c>
      <c r="D447" s="2">
        <f>ROUND(C447*D$354,0)</f>
        <v>0</v>
      </c>
      <c r="F447" s="36" t="s">
        <v>291</v>
      </c>
      <c r="G447" s="17">
        <f>SUM(J447:M447,O447:P447,R447:AA447)</f>
        <v>54.99</v>
      </c>
      <c r="H447" s="19" t="e">
        <f>IF(ISBLANK(B447),0,+#REF!/B447)</f>
        <v>#REF!</v>
      </c>
      <c r="I447" s="19"/>
      <c r="J447" s="16">
        <f>IF(ISBLANK(B447),0,+J$354)</f>
        <v>55</v>
      </c>
      <c r="K447" s="16">
        <f>ROUND(K446*K$354,2)</f>
        <v>0</v>
      </c>
      <c r="L447" s="16">
        <f>ROUND(L446*L$354,2)</f>
        <v>0</v>
      </c>
      <c r="M447" s="16">
        <f>ROUND(M446*M$354,2)</f>
        <v>0</v>
      </c>
      <c r="N447" s="16">
        <f>SUM(K447:M447)</f>
        <v>0</v>
      </c>
      <c r="O447" s="16"/>
      <c r="P447" s="16"/>
      <c r="Q447" s="16"/>
      <c r="R447" s="8"/>
      <c r="S447" s="17">
        <f>ROUND($B447*S$354*S446,2)</f>
        <v>0</v>
      </c>
      <c r="T447" s="17">
        <f>ROUND($B447*T$354,2)</f>
        <v>0</v>
      </c>
      <c r="U447" s="17">
        <f>ROUND($B447*U$354,2)</f>
        <v>0</v>
      </c>
      <c r="V447" s="17">
        <f>ROUND($B447*V$351,2)</f>
        <v>0</v>
      </c>
      <c r="W447" s="17">
        <f>ROUND($B447*W$354,2)</f>
        <v>0</v>
      </c>
      <c r="X447" s="17">
        <f>ROUND($B447*X$354,2)</f>
        <v>-0.01</v>
      </c>
      <c r="Y447" s="17">
        <f>ROUND($B447*Y$354,2)</f>
        <v>0</v>
      </c>
      <c r="Z447" s="17">
        <f>ROUND($B447*Z$354,2)</f>
        <v>0</v>
      </c>
      <c r="AA447" s="17">
        <f>ROUND($B447*AA$354,2)</f>
        <v>0</v>
      </c>
      <c r="AB447" s="19">
        <f>SUM(U442:AA442)</f>
        <v>0</v>
      </c>
      <c r="AC447" s="67" t="str">
        <f>+F447</f>
        <v>SE4</v>
      </c>
    </row>
    <row r="448" spans="1:29" x14ac:dyDescent="0.2">
      <c r="B448" s="103">
        <v>-1</v>
      </c>
      <c r="C448" s="34"/>
      <c r="F448" s="12"/>
      <c r="G448" s="12"/>
      <c r="H448" s="12"/>
      <c r="I448" s="19"/>
      <c r="J448" s="12"/>
      <c r="K448" s="35">
        <f>IF(D449&gt;K$355,+K$355,D449)</f>
        <v>0</v>
      </c>
      <c r="L448" s="35">
        <f>IF(D449&gt;K448,+D449-K448,0)</f>
        <v>0</v>
      </c>
      <c r="M448" s="34">
        <f>IF(B449&gt;D449,+B449-D449,0)</f>
        <v>0</v>
      </c>
      <c r="N448" s="34"/>
      <c r="O448" s="34"/>
      <c r="P448" s="34"/>
      <c r="Q448" s="34"/>
      <c r="R448" s="12"/>
      <c r="S448" s="50">
        <v>1</v>
      </c>
      <c r="T448" s="12"/>
      <c r="U448" s="12"/>
      <c r="V448" s="12"/>
      <c r="W448" s="12"/>
      <c r="X448" s="12"/>
      <c r="Y448" s="12"/>
      <c r="Z448" s="12"/>
      <c r="AA448" s="12"/>
    </row>
    <row r="449" spans="1:29" x14ac:dyDescent="0.2">
      <c r="A449" s="1" t="s">
        <v>138</v>
      </c>
      <c r="B449" s="103">
        <f>IF(AND('AES Indiana Bill Calc.'!$D$17="SE",'AES Indiana Bill Calc.'!$D$18="Yes 100%",'AES Indiana Bill Calc.'!$D$20="Yes 2025"),'AES Indiana Bill Calc.'!$D$19,-1)</f>
        <v>-1</v>
      </c>
      <c r="C449" s="103" t="b">
        <f>IF(AND('AES Indiana Bill Calc.'!$D$17="SE",'AES Indiana Bill Calc.'!$D$18="Yes 100%",'AES Indiana Bill Calc.'!$D$20="Yes 2025"),'AES Indiana Bill Calc.'!$D$23)</f>
        <v>0</v>
      </c>
      <c r="D449" s="2">
        <f>ROUND(C449*D$354,0)</f>
        <v>0</v>
      </c>
      <c r="F449" s="36" t="s">
        <v>317</v>
      </c>
      <c r="G449" s="17">
        <f>SUM(J449:M449,O449:P449,R449:AA449)</f>
        <v>54.99</v>
      </c>
      <c r="H449" s="19" t="e">
        <f>IF(ISBLANK(B449),0,+#REF!/B449)</f>
        <v>#REF!</v>
      </c>
      <c r="I449" s="19"/>
      <c r="J449" s="16">
        <f>IF(ISBLANK(B449),0,+J$354)</f>
        <v>55</v>
      </c>
      <c r="K449" s="16">
        <f>ROUND(K448*K$354,2)</f>
        <v>0</v>
      </c>
      <c r="L449" s="16">
        <f>ROUND(L448*L$354,2)</f>
        <v>0</v>
      </c>
      <c r="M449" s="16">
        <f>ROUND(M448*M$354,2)</f>
        <v>0</v>
      </c>
      <c r="N449" s="16">
        <f>SUM(K449:M449)</f>
        <v>0</v>
      </c>
      <c r="O449" s="16"/>
      <c r="P449" s="16"/>
      <c r="Q449" s="16"/>
      <c r="R449" s="8"/>
      <c r="S449" s="17">
        <f>ROUND($B449*S$354*S448,2)</f>
        <v>0</v>
      </c>
      <c r="T449" s="17">
        <f>ROUND($B449*T$354,2)</f>
        <v>0</v>
      </c>
      <c r="U449" s="17">
        <f>ROUND($B449*U$354,2)</f>
        <v>0</v>
      </c>
      <c r="V449" s="17">
        <f>ROUND($B449*V$352,2)</f>
        <v>0</v>
      </c>
      <c r="W449" s="17">
        <f>ROUND($B449*W$354,2)</f>
        <v>0</v>
      </c>
      <c r="X449" s="17">
        <f>ROUND($B449*X$354,2)</f>
        <v>-0.01</v>
      </c>
      <c r="Y449" s="17">
        <f>ROUND($B449*Y$354,2)</f>
        <v>0</v>
      </c>
      <c r="Z449" s="17">
        <f>ROUND($B449*Z$354,2)</f>
        <v>0</v>
      </c>
      <c r="AA449" s="17">
        <f>ROUND($B449*AA$354,2)</f>
        <v>0</v>
      </c>
      <c r="AB449" s="19">
        <f>SUM(U444:AA444)</f>
        <v>0</v>
      </c>
      <c r="AC449" s="67" t="str">
        <f>+F449</f>
        <v>SE5</v>
      </c>
    </row>
    <row r="450" spans="1:29" x14ac:dyDescent="0.2">
      <c r="A450" s="9"/>
      <c r="B450" s="103">
        <v>-1</v>
      </c>
      <c r="C450" s="34"/>
      <c r="F450" s="12"/>
      <c r="G450" s="12"/>
      <c r="H450" s="12"/>
      <c r="I450" s="19"/>
      <c r="J450" s="12"/>
      <c r="K450" s="35">
        <f>IF(D451&gt;K$355,+K$355,D451)</f>
        <v>0</v>
      </c>
      <c r="L450" s="35">
        <f>IF(D451&gt;K450,+D451-K450,0)</f>
        <v>0</v>
      </c>
      <c r="M450" s="34">
        <f>IF(B451&gt;D451,+B451-D451,0)</f>
        <v>0</v>
      </c>
      <c r="N450" s="34"/>
      <c r="O450" s="34"/>
      <c r="P450" s="34"/>
      <c r="Q450" s="34"/>
      <c r="R450" s="12"/>
      <c r="S450" s="50">
        <v>0.5</v>
      </c>
      <c r="T450" s="12"/>
      <c r="U450" s="12"/>
      <c r="V450" s="12"/>
      <c r="W450" s="12"/>
      <c r="X450" s="12"/>
      <c r="Y450" s="12"/>
      <c r="Z450" s="12"/>
      <c r="AA450" s="12"/>
    </row>
    <row r="451" spans="1:29" x14ac:dyDescent="0.2">
      <c r="A451" s="1" t="s">
        <v>139</v>
      </c>
      <c r="B451" s="103">
        <f>IF(AND('AES Indiana Bill Calc.'!$D$17="SE",'AES Indiana Bill Calc.'!$D$18="Yes 50%",'AES Indiana Bill Calc.'!$D$20="Yes 2025"),'AES Indiana Bill Calc.'!$D$19,-1)</f>
        <v>-1</v>
      </c>
      <c r="C451" s="103" t="b">
        <f>IF(AND('AES Indiana Bill Calc.'!$D$17="SE",'AES Indiana Bill Calc.'!$D$18="Yes 50%",'AES Indiana Bill Calc.'!$D$20="Yes 2025"),'AES Indiana Bill Calc.'!$D$23)</f>
        <v>0</v>
      </c>
      <c r="D451" s="2">
        <f>ROUND(C451*D$354,0)</f>
        <v>0</v>
      </c>
      <c r="F451" s="36" t="s">
        <v>317</v>
      </c>
      <c r="G451" s="17">
        <f>SUM(J451:M451,O451:P451,R451:AA451)</f>
        <v>54.99</v>
      </c>
      <c r="H451" s="19" t="e">
        <f>IF(ISBLANK(B451),0,+#REF!/B451)</f>
        <v>#REF!</v>
      </c>
      <c r="I451" s="19"/>
      <c r="J451" s="16">
        <f>IF(ISBLANK(B451),0,+J$354)</f>
        <v>55</v>
      </c>
      <c r="K451" s="16">
        <f>ROUND(K450*K$354,2)</f>
        <v>0</v>
      </c>
      <c r="L451" s="16">
        <f>ROUND(L450*L$354,2)</f>
        <v>0</v>
      </c>
      <c r="M451" s="16">
        <f>ROUND(M450*M$354,2)</f>
        <v>0</v>
      </c>
      <c r="N451" s="16">
        <f>SUM(K451:M451)</f>
        <v>0</v>
      </c>
      <c r="O451" s="16"/>
      <c r="P451" s="16"/>
      <c r="Q451" s="16"/>
      <c r="R451" s="8"/>
      <c r="S451" s="17">
        <f>ROUND($B451*S$354*S450,2)</f>
        <v>0</v>
      </c>
      <c r="T451" s="17">
        <f>ROUND($B451*T$354,2)</f>
        <v>0</v>
      </c>
      <c r="U451" s="17">
        <f>ROUND($B451*U$354,2)</f>
        <v>0</v>
      </c>
      <c r="V451" s="17">
        <f>ROUND($B451*V$352,2)</f>
        <v>0</v>
      </c>
      <c r="W451" s="17">
        <f>ROUND($B451*W$354,2)</f>
        <v>0</v>
      </c>
      <c r="X451" s="17">
        <f>ROUND($B451*X$354,2)</f>
        <v>-0.01</v>
      </c>
      <c r="Y451" s="17">
        <f>ROUND($B451*Y$354,2)</f>
        <v>0</v>
      </c>
      <c r="Z451" s="17">
        <f>ROUND($B451*Z$354,2)</f>
        <v>0</v>
      </c>
      <c r="AA451" s="17">
        <f>ROUND($B451*AA$354,2)</f>
        <v>0</v>
      </c>
      <c r="AB451" s="19">
        <f>SUM(U446:AA446)</f>
        <v>0</v>
      </c>
      <c r="AC451" s="67" t="str">
        <f>+F451</f>
        <v>SE5</v>
      </c>
    </row>
    <row r="452" spans="1:29" x14ac:dyDescent="0.2">
      <c r="A452" s="9"/>
      <c r="B452" s="103">
        <v>-1</v>
      </c>
      <c r="C452" s="34"/>
      <c r="F452" s="12"/>
      <c r="G452" s="12"/>
      <c r="H452" s="12"/>
      <c r="I452" s="19"/>
      <c r="J452" s="12"/>
      <c r="K452" s="35">
        <f>IF(D453&gt;K$355,+K$355,D453)</f>
        <v>0</v>
      </c>
      <c r="L452" s="35">
        <f>IF(D453&gt;K452,+D453-K452,0)</f>
        <v>0</v>
      </c>
      <c r="M452" s="34">
        <f>IF(B453&gt;D453,+B453-D453,0)</f>
        <v>0</v>
      </c>
      <c r="N452" s="34"/>
      <c r="O452" s="34"/>
      <c r="P452" s="34"/>
      <c r="Q452" s="34"/>
      <c r="R452" s="12"/>
      <c r="S452" s="50">
        <v>0.25</v>
      </c>
      <c r="T452" s="12"/>
      <c r="U452" s="12"/>
      <c r="V452" s="12"/>
      <c r="W452" s="12"/>
      <c r="X452" s="12"/>
      <c r="Y452" s="12"/>
      <c r="Z452" s="12"/>
      <c r="AA452" s="12"/>
    </row>
    <row r="453" spans="1:29" x14ac:dyDescent="0.2">
      <c r="A453" s="1" t="s">
        <v>140</v>
      </c>
      <c r="B453" s="103">
        <f>IF(AND('AES Indiana Bill Calc.'!$D$17="SE",'AES Indiana Bill Calc.'!$D$18="Yes 25%",'AES Indiana Bill Calc.'!$D$20="Yes 2025"),'AES Indiana Bill Calc.'!$D$19,-1)</f>
        <v>-1</v>
      </c>
      <c r="C453" s="103" t="b">
        <f>IF(AND('AES Indiana Bill Calc.'!$D$17="SE",'AES Indiana Bill Calc.'!$D$18="Yes 25%",'AES Indiana Bill Calc.'!$D$20="Yes 2025"),'AES Indiana Bill Calc.'!$D$23)</f>
        <v>0</v>
      </c>
      <c r="D453" s="2">
        <f>ROUND(C453*D$354,0)</f>
        <v>0</v>
      </c>
      <c r="F453" s="36" t="s">
        <v>317</v>
      </c>
      <c r="G453" s="17">
        <f>SUM(J453:M453,O453:P453,R453:AA453)</f>
        <v>54.99</v>
      </c>
      <c r="H453" s="19" t="e">
        <f>IF(ISBLANK(B453),0,+#REF!/B453)</f>
        <v>#REF!</v>
      </c>
      <c r="I453" s="19"/>
      <c r="J453" s="16">
        <f>IF(ISBLANK(B453),0,+J$354)</f>
        <v>55</v>
      </c>
      <c r="K453" s="16">
        <f>ROUND(K452*K$354,2)</f>
        <v>0</v>
      </c>
      <c r="L453" s="16">
        <f>ROUND(L452*L$354,2)</f>
        <v>0</v>
      </c>
      <c r="M453" s="16">
        <f>ROUND(M452*M$354,2)</f>
        <v>0</v>
      </c>
      <c r="N453" s="16">
        <f>SUM(K453:M453)</f>
        <v>0</v>
      </c>
      <c r="O453" s="16"/>
      <c r="P453" s="16"/>
      <c r="Q453" s="16"/>
      <c r="R453" s="8"/>
      <c r="S453" s="17">
        <f>ROUND($B453*S$354*S452,2)</f>
        <v>0</v>
      </c>
      <c r="T453" s="17">
        <f>ROUND($B453*T$354,2)</f>
        <v>0</v>
      </c>
      <c r="U453" s="17">
        <f>ROUND($B453*U$354,2)</f>
        <v>0</v>
      </c>
      <c r="V453" s="17">
        <f>ROUND($B453*V$352,2)</f>
        <v>0</v>
      </c>
      <c r="W453" s="17">
        <f>ROUND($B453*W$354,2)</f>
        <v>0</v>
      </c>
      <c r="X453" s="17">
        <f>ROUND($B453*X$354,2)</f>
        <v>-0.01</v>
      </c>
      <c r="Y453" s="17">
        <f>ROUND($B453*Y$354,2)</f>
        <v>0</v>
      </c>
      <c r="Z453" s="17">
        <f>ROUND($B453*Z$354,2)</f>
        <v>0</v>
      </c>
      <c r="AA453" s="17">
        <f>ROUND($B453*AA$354,2)</f>
        <v>0</v>
      </c>
      <c r="AB453" s="19">
        <f>SUM(U448:AA448)</f>
        <v>0</v>
      </c>
      <c r="AC453" s="67" t="str">
        <f>+F453</f>
        <v>SE5</v>
      </c>
    </row>
    <row r="454" spans="1:29" x14ac:dyDescent="0.2">
      <c r="A454" s="9"/>
      <c r="B454" s="103">
        <v>-1</v>
      </c>
      <c r="C454" s="34"/>
      <c r="F454" s="12"/>
      <c r="G454" s="12"/>
      <c r="H454" s="12"/>
      <c r="I454" s="19"/>
      <c r="J454" s="12"/>
      <c r="K454" s="35">
        <f>IF(D455&gt;K$355,+K$355,D455)</f>
        <v>0</v>
      </c>
      <c r="L454" s="35">
        <f>IF(D455&gt;K454,+D455-K454,0)</f>
        <v>0</v>
      </c>
      <c r="M454" s="34">
        <f>IF(B455&gt;D455,+B455-D455,0)</f>
        <v>0</v>
      </c>
      <c r="N454" s="34"/>
      <c r="O454" s="34"/>
      <c r="P454" s="34"/>
      <c r="Q454" s="34"/>
      <c r="R454" s="12"/>
      <c r="S454" s="50">
        <v>0.1</v>
      </c>
      <c r="T454" s="12"/>
      <c r="U454" s="12"/>
      <c r="V454" s="12"/>
      <c r="W454" s="12"/>
      <c r="X454" s="12"/>
      <c r="Y454" s="12"/>
      <c r="Z454" s="12"/>
      <c r="AA454" s="12"/>
    </row>
    <row r="455" spans="1:29" x14ac:dyDescent="0.2">
      <c r="A455" s="1" t="s">
        <v>154</v>
      </c>
      <c r="B455" s="103">
        <f>IF(AND('AES Indiana Bill Calc.'!$D$17="SE",'AES Indiana Bill Calc.'!$D$18="Yes 10%",'AES Indiana Bill Calc.'!$D$20="Yes 2025"),'AES Indiana Bill Calc.'!$D$19,-1)</f>
        <v>-1</v>
      </c>
      <c r="C455" s="103" t="b">
        <f>IF(AND('AES Indiana Bill Calc.'!$D$17="SE",'AES Indiana Bill Calc.'!$D$18="Yes 10%",'AES Indiana Bill Calc.'!$D$20="Yes 2025"),'AES Indiana Bill Calc.'!$D$23)</f>
        <v>0</v>
      </c>
      <c r="D455" s="2">
        <f>ROUND(C455*D$354,0)</f>
        <v>0</v>
      </c>
      <c r="F455" s="36" t="s">
        <v>317</v>
      </c>
      <c r="G455" s="17">
        <f>SUM(J455:M455,O455:P455,R455:AA455)</f>
        <v>54.99</v>
      </c>
      <c r="H455" s="19" t="e">
        <f>IF(ISBLANK(B455),0,+#REF!/B455)</f>
        <v>#REF!</v>
      </c>
      <c r="I455" s="19"/>
      <c r="J455" s="16">
        <f>IF(ISBLANK(B455),0,+J$354)</f>
        <v>55</v>
      </c>
      <c r="K455" s="16">
        <f>ROUND(K454*K$354,2)</f>
        <v>0</v>
      </c>
      <c r="L455" s="16">
        <f>ROUND(L454*L$354,2)</f>
        <v>0</v>
      </c>
      <c r="M455" s="16">
        <f>ROUND(M454*M$354,2)</f>
        <v>0</v>
      </c>
      <c r="N455" s="16">
        <f>SUM(K455:M455)</f>
        <v>0</v>
      </c>
      <c r="O455" s="16"/>
      <c r="P455" s="16"/>
      <c r="Q455" s="16"/>
      <c r="R455" s="8"/>
      <c r="S455" s="17">
        <f>ROUND($B455*S$354*S454,2)</f>
        <v>0</v>
      </c>
      <c r="T455" s="17">
        <f>ROUND($B455*T$354,2)</f>
        <v>0</v>
      </c>
      <c r="U455" s="17">
        <f>ROUND($B455*U$354,2)</f>
        <v>0</v>
      </c>
      <c r="V455" s="17">
        <f>ROUND($B455*V$352,2)</f>
        <v>0</v>
      </c>
      <c r="W455" s="17">
        <f>ROUND($B455*W$354,2)</f>
        <v>0</v>
      </c>
      <c r="X455" s="17">
        <f>ROUND($B455*X$354,2)</f>
        <v>-0.01</v>
      </c>
      <c r="Y455" s="17">
        <f>ROUND($B455*Y$354,2)</f>
        <v>0</v>
      </c>
      <c r="Z455" s="17">
        <f>ROUND($B455*Z$354,2)</f>
        <v>0</v>
      </c>
      <c r="AA455" s="17">
        <f>ROUND($B455*AA$354,2)</f>
        <v>0</v>
      </c>
      <c r="AB455" s="19">
        <f>SUM(U450:AA450)</f>
        <v>0</v>
      </c>
      <c r="AC455" s="67" t="str">
        <f>+F455</f>
        <v>SE5</v>
      </c>
    </row>
    <row r="456" spans="1:29" x14ac:dyDescent="0.2">
      <c r="A456" s="9"/>
      <c r="B456" s="103">
        <v>-1</v>
      </c>
      <c r="C456" s="34"/>
      <c r="F456" s="12"/>
      <c r="G456" s="12"/>
      <c r="H456" s="12"/>
      <c r="I456" s="19"/>
      <c r="J456" s="12"/>
      <c r="K456" s="35">
        <f>IF(D457&gt;K$355,+K$355,D457)</f>
        <v>0</v>
      </c>
      <c r="L456" s="35">
        <f>IF(D457&gt;K456,+D457-K456,0)</f>
        <v>0</v>
      </c>
      <c r="M456" s="34">
        <f>IF(B457&gt;D457,+B457-D457,0)</f>
        <v>0</v>
      </c>
      <c r="N456" s="34"/>
      <c r="O456" s="34"/>
      <c r="P456" s="34"/>
      <c r="Q456" s="34"/>
      <c r="R456" s="12"/>
      <c r="S456" s="50">
        <v>0</v>
      </c>
      <c r="T456" s="12"/>
      <c r="U456" s="12"/>
      <c r="V456" s="12"/>
      <c r="W456" s="12"/>
      <c r="X456" s="12"/>
      <c r="Y456" s="12"/>
      <c r="Z456" s="12"/>
      <c r="AA456" s="12"/>
    </row>
    <row r="457" spans="1:29" x14ac:dyDescent="0.2">
      <c r="A457" s="1" t="s">
        <v>137</v>
      </c>
      <c r="B457" s="103">
        <f>IF(AND('AES Indiana Bill Calc.'!$D$17="SE",'AES Indiana Bill Calc.'!$D$18="No",'AES Indiana Bill Calc.'!$D$20="Yes 2025"),'AES Indiana Bill Calc.'!$D$19,-1)</f>
        <v>-1</v>
      </c>
      <c r="C457" s="103" t="b">
        <f>IF(AND('AES Indiana Bill Calc.'!$D$17="SE",'AES Indiana Bill Calc.'!$D$18="No",'AES Indiana Bill Calc.'!$D$20="Yes 2025"),'AES Indiana Bill Calc.'!$D$23)</f>
        <v>0</v>
      </c>
      <c r="D457" s="2">
        <f>ROUND(C457*D$354,0)</f>
        <v>0</v>
      </c>
      <c r="F457" s="36" t="s">
        <v>317</v>
      </c>
      <c r="G457" s="17">
        <f>SUM(J457:M457,O457:P457,R457:AA457)</f>
        <v>54.99</v>
      </c>
      <c r="H457" s="19" t="e">
        <f>IF(ISBLANK(B457),0,+#REF!/B457)</f>
        <v>#REF!</v>
      </c>
      <c r="I457" s="19"/>
      <c r="J457" s="16">
        <f>IF(ISBLANK(B457),0,+J$354)</f>
        <v>55</v>
      </c>
      <c r="K457" s="16">
        <f>ROUND(K456*K$354,2)</f>
        <v>0</v>
      </c>
      <c r="L457" s="16">
        <f>ROUND(L456*L$354,2)</f>
        <v>0</v>
      </c>
      <c r="M457" s="16">
        <f>ROUND(M456*M$354,2)</f>
        <v>0</v>
      </c>
      <c r="N457" s="16">
        <f>SUM(K457:M457)</f>
        <v>0</v>
      </c>
      <c r="O457" s="16"/>
      <c r="P457" s="16"/>
      <c r="Q457" s="16"/>
      <c r="R457" s="8"/>
      <c r="S457" s="17">
        <f>ROUND($B457*S$354*S456,2)</f>
        <v>0</v>
      </c>
      <c r="T457" s="17">
        <f>ROUND($B457*T$354,2)</f>
        <v>0</v>
      </c>
      <c r="U457" s="17">
        <f>ROUND($B457*U$354,2)</f>
        <v>0</v>
      </c>
      <c r="V457" s="17">
        <f>ROUND($B457*V$352,2)</f>
        <v>0</v>
      </c>
      <c r="W457" s="17">
        <f>ROUND($B457*W$354,2)</f>
        <v>0</v>
      </c>
      <c r="X457" s="17">
        <f>ROUND($B457*X$354,2)</f>
        <v>-0.01</v>
      </c>
      <c r="Y457" s="17">
        <f>ROUND($B457*Y$354,2)</f>
        <v>0</v>
      </c>
      <c r="Z457" s="17">
        <f>ROUND($B457*Z$354,2)</f>
        <v>0</v>
      </c>
      <c r="AA457" s="17">
        <f>ROUND($B457*AA$354,2)</f>
        <v>0</v>
      </c>
      <c r="AB457" s="19">
        <f>SUM(U452:AA452)</f>
        <v>0</v>
      </c>
      <c r="AC457" s="67" t="str">
        <f>+F457</f>
        <v>SE5</v>
      </c>
    </row>
    <row r="458" spans="1:29" x14ac:dyDescent="0.2">
      <c r="B458" s="103">
        <v>-1</v>
      </c>
      <c r="C458" s="34"/>
      <c r="F458" s="12"/>
      <c r="G458" s="12"/>
      <c r="H458" s="12"/>
      <c r="I458" s="19"/>
      <c r="J458" s="12"/>
      <c r="K458" s="35">
        <f>IF(D459&gt;K$355,+K$355,D459)</f>
        <v>0</v>
      </c>
      <c r="L458" s="35">
        <f>IF(D459&gt;K458,+D459-K458,0)</f>
        <v>0</v>
      </c>
      <c r="M458" s="34">
        <f>IF(B459&gt;D459,+B459-D459,0)</f>
        <v>0</v>
      </c>
      <c r="N458" s="34"/>
      <c r="O458" s="34"/>
      <c r="P458" s="34"/>
      <c r="Q458" s="34"/>
      <c r="R458" s="12"/>
      <c r="S458" s="50">
        <v>1</v>
      </c>
      <c r="T458" s="12"/>
      <c r="U458" s="12"/>
      <c r="V458" s="12"/>
      <c r="W458" s="12"/>
      <c r="X458" s="12"/>
      <c r="Y458" s="12"/>
      <c r="Z458" s="12"/>
      <c r="AA458" s="12"/>
    </row>
    <row r="459" spans="1:29" x14ac:dyDescent="0.2">
      <c r="A459" s="1" t="s">
        <v>138</v>
      </c>
      <c r="B459" s="103">
        <f>IF(AND('AES Indiana Bill Calc.'!$D$17="SE",'AES Indiana Bill Calc.'!$D$18="Yes 100%",'AES Indiana Bill Calc.'!$D$20="Yes 2026"),'AES Indiana Bill Calc.'!$D$19,-1)</f>
        <v>-1</v>
      </c>
      <c r="C459" s="103" t="b">
        <f>IF(AND('AES Indiana Bill Calc.'!$D$17="SE",'AES Indiana Bill Calc.'!$D$18="Yes 100%",'AES Indiana Bill Calc.'!$D$20="Yes 2025"),'AES Indiana Bill Calc.'!$D$23)</f>
        <v>0</v>
      </c>
      <c r="D459" s="2">
        <f>ROUND(C459*D$354,0)</f>
        <v>0</v>
      </c>
      <c r="F459" s="36" t="s">
        <v>378</v>
      </c>
      <c r="G459" s="17">
        <f>SUM(J459:M459,O459:P459,R459:AA459)</f>
        <v>54.980000000000004</v>
      </c>
      <c r="H459" s="19" t="e">
        <f>IF(ISBLANK(B459),0,+#REF!/B459)</f>
        <v>#REF!</v>
      </c>
      <c r="I459" s="19"/>
      <c r="J459" s="16">
        <f>IF(ISBLANK(B459),0,+J$354)</f>
        <v>55</v>
      </c>
      <c r="K459" s="16">
        <f>ROUND(K458*K$354,2)</f>
        <v>0</v>
      </c>
      <c r="L459" s="16">
        <f>ROUND(L458*L$354,2)</f>
        <v>0</v>
      </c>
      <c r="M459" s="16">
        <f>ROUND(M458*M$354,2)</f>
        <v>0</v>
      </c>
      <c r="N459" s="16">
        <f>SUM(K459:M459)</f>
        <v>0</v>
      </c>
      <c r="O459" s="16"/>
      <c r="P459" s="16"/>
      <c r="Q459" s="16"/>
      <c r="R459" s="8"/>
      <c r="S459" s="17">
        <f>ROUND($B459*S$354*S458,2)</f>
        <v>0</v>
      </c>
      <c r="T459" s="17">
        <f>ROUND($B459*T$354,2)</f>
        <v>0</v>
      </c>
      <c r="U459" s="17">
        <f>ROUND($B459*U$354,2)</f>
        <v>0</v>
      </c>
      <c r="V459" s="17">
        <f>ROUND($B459*V$353,2)</f>
        <v>-0.01</v>
      </c>
      <c r="W459" s="17">
        <f>ROUND($B459*W$354,2)</f>
        <v>0</v>
      </c>
      <c r="X459" s="17">
        <f>ROUND($B459*X$354,2)</f>
        <v>-0.01</v>
      </c>
      <c r="Y459" s="17">
        <f>ROUND($B459*Y$354,2)</f>
        <v>0</v>
      </c>
      <c r="Z459" s="17">
        <f>ROUND($B459*Z$354,2)</f>
        <v>0</v>
      </c>
      <c r="AA459" s="17">
        <f>ROUND($B459*AA$354,2)</f>
        <v>0</v>
      </c>
      <c r="AB459" s="19">
        <f>SUM(U454:AA454)</f>
        <v>0</v>
      </c>
      <c r="AC459" s="67" t="str">
        <f>+F459</f>
        <v>SE6</v>
      </c>
    </row>
    <row r="460" spans="1:29" x14ac:dyDescent="0.2">
      <c r="A460" s="9"/>
      <c r="B460" s="103">
        <v>-1</v>
      </c>
      <c r="C460" s="34"/>
      <c r="F460" s="12"/>
      <c r="G460" s="12"/>
      <c r="H460" s="12"/>
      <c r="I460" s="19"/>
      <c r="J460" s="12"/>
      <c r="K460" s="35">
        <f>IF(D461&gt;K$355,+K$355,D461)</f>
        <v>0</v>
      </c>
      <c r="L460" s="35">
        <f>IF(D461&gt;K460,+D461-K460,0)</f>
        <v>0</v>
      </c>
      <c r="M460" s="34">
        <f>IF(B461&gt;D461,+B461-D461,0)</f>
        <v>0</v>
      </c>
      <c r="N460" s="34"/>
      <c r="O460" s="34"/>
      <c r="P460" s="34"/>
      <c r="Q460" s="34"/>
      <c r="R460" s="12"/>
      <c r="S460" s="50">
        <v>0.5</v>
      </c>
      <c r="T460" s="12"/>
      <c r="U460" s="12"/>
      <c r="V460" s="12"/>
      <c r="W460" s="12"/>
      <c r="X460" s="12"/>
      <c r="Y460" s="12"/>
      <c r="Z460" s="12"/>
      <c r="AA460" s="12"/>
    </row>
    <row r="461" spans="1:29" x14ac:dyDescent="0.2">
      <c r="A461" s="1" t="s">
        <v>139</v>
      </c>
      <c r="B461" s="103">
        <f>IF(AND('AES Indiana Bill Calc.'!$D$17="SE",'AES Indiana Bill Calc.'!$D$18="Yes 50%",'AES Indiana Bill Calc.'!$D$20="Yes 2026"),'AES Indiana Bill Calc.'!$D$19,-1)</f>
        <v>-1</v>
      </c>
      <c r="C461" s="103" t="b">
        <f>IF(AND('AES Indiana Bill Calc.'!$D$17="SE",'AES Indiana Bill Calc.'!$D$18="Yes 50%",'AES Indiana Bill Calc.'!$D$20="Yes 2025"),'AES Indiana Bill Calc.'!$D$23)</f>
        <v>0</v>
      </c>
      <c r="D461" s="2">
        <f>ROUND(C461*D$354,0)</f>
        <v>0</v>
      </c>
      <c r="F461" s="36" t="s">
        <v>378</v>
      </c>
      <c r="G461" s="17">
        <f>SUM(J461:M461,O461:P461,R461:AA461)</f>
        <v>54.980000000000004</v>
      </c>
      <c r="H461" s="19" t="e">
        <f>IF(ISBLANK(B461),0,+#REF!/B461)</f>
        <v>#REF!</v>
      </c>
      <c r="I461" s="19"/>
      <c r="J461" s="16">
        <f>IF(ISBLANK(B461),0,+J$354)</f>
        <v>55</v>
      </c>
      <c r="K461" s="16">
        <f>ROUND(K460*K$354,2)</f>
        <v>0</v>
      </c>
      <c r="L461" s="16">
        <f>ROUND(L460*L$354,2)</f>
        <v>0</v>
      </c>
      <c r="M461" s="16">
        <f>ROUND(M460*M$354,2)</f>
        <v>0</v>
      </c>
      <c r="N461" s="16">
        <f>SUM(K461:M461)</f>
        <v>0</v>
      </c>
      <c r="O461" s="16"/>
      <c r="P461" s="16"/>
      <c r="Q461" s="16"/>
      <c r="R461" s="8"/>
      <c r="S461" s="17">
        <f>ROUND($B461*S$354*S460,2)</f>
        <v>0</v>
      </c>
      <c r="T461" s="17">
        <f>ROUND($B461*T$354,2)</f>
        <v>0</v>
      </c>
      <c r="U461" s="17">
        <f>ROUND($B461*U$354,2)</f>
        <v>0</v>
      </c>
      <c r="V461" s="17">
        <f>ROUND($B461*V$353,2)</f>
        <v>-0.01</v>
      </c>
      <c r="W461" s="17">
        <f>ROUND($B461*W$354,2)</f>
        <v>0</v>
      </c>
      <c r="X461" s="17">
        <f>ROUND($B461*X$354,2)</f>
        <v>-0.01</v>
      </c>
      <c r="Y461" s="17">
        <f>ROUND($B461*Y$354,2)</f>
        <v>0</v>
      </c>
      <c r="Z461" s="17">
        <f>ROUND($B461*Z$354,2)</f>
        <v>0</v>
      </c>
      <c r="AA461" s="17">
        <f>ROUND($B461*AA$354,2)</f>
        <v>0</v>
      </c>
      <c r="AB461" s="19">
        <f>SUM(U456:AA456)</f>
        <v>0</v>
      </c>
      <c r="AC461" s="67" t="str">
        <f>+F461</f>
        <v>SE6</v>
      </c>
    </row>
    <row r="462" spans="1:29" x14ac:dyDescent="0.2">
      <c r="A462" s="9"/>
      <c r="B462" s="103">
        <v>-1</v>
      </c>
      <c r="C462" s="34"/>
      <c r="F462" s="12"/>
      <c r="G462" s="12"/>
      <c r="H462" s="12"/>
      <c r="I462" s="19"/>
      <c r="J462" s="12"/>
      <c r="K462" s="35">
        <f>IF(D463&gt;K$355,+K$355,D463)</f>
        <v>0</v>
      </c>
      <c r="L462" s="35">
        <f>IF(D463&gt;K462,+D463-K462,0)</f>
        <v>0</v>
      </c>
      <c r="M462" s="34">
        <f>IF(B463&gt;D463,+B463-D463,0)</f>
        <v>0</v>
      </c>
      <c r="N462" s="34"/>
      <c r="O462" s="34"/>
      <c r="P462" s="34"/>
      <c r="Q462" s="34"/>
      <c r="R462" s="12"/>
      <c r="S462" s="50">
        <v>0.25</v>
      </c>
      <c r="T462" s="12"/>
      <c r="U462" s="12"/>
      <c r="V462" s="12"/>
      <c r="W462" s="12"/>
      <c r="X462" s="12"/>
      <c r="Y462" s="12"/>
      <c r="Z462" s="12"/>
      <c r="AA462" s="12"/>
    </row>
    <row r="463" spans="1:29" x14ac:dyDescent="0.2">
      <c r="A463" s="1" t="s">
        <v>140</v>
      </c>
      <c r="B463" s="103">
        <f>IF(AND('AES Indiana Bill Calc.'!$D$17="SE",'AES Indiana Bill Calc.'!$D$18="Yes 25%",'AES Indiana Bill Calc.'!$D$20="Yes 2026"),'AES Indiana Bill Calc.'!$D$19,-1)</f>
        <v>-1</v>
      </c>
      <c r="C463" s="103" t="b">
        <f>IF(AND('AES Indiana Bill Calc.'!$D$17="SE",'AES Indiana Bill Calc.'!$D$18="Yes 25%",'AES Indiana Bill Calc.'!$D$20="Yes 2025"),'AES Indiana Bill Calc.'!$D$23)</f>
        <v>0</v>
      </c>
      <c r="D463" s="2">
        <f>ROUND(C463*D$354,0)</f>
        <v>0</v>
      </c>
      <c r="F463" s="36" t="s">
        <v>378</v>
      </c>
      <c r="G463" s="17">
        <f>SUM(J463:M463,O463:P463,R463:AA463)</f>
        <v>54.980000000000004</v>
      </c>
      <c r="H463" s="19" t="e">
        <f>IF(ISBLANK(B463),0,+#REF!/B463)</f>
        <v>#REF!</v>
      </c>
      <c r="I463" s="19"/>
      <c r="J463" s="16">
        <f>IF(ISBLANK(B463),0,+J$354)</f>
        <v>55</v>
      </c>
      <c r="K463" s="16">
        <f>ROUND(K462*K$354,2)</f>
        <v>0</v>
      </c>
      <c r="L463" s="16">
        <f>ROUND(L462*L$354,2)</f>
        <v>0</v>
      </c>
      <c r="M463" s="16">
        <f>ROUND(M462*M$354,2)</f>
        <v>0</v>
      </c>
      <c r="N463" s="16">
        <f>SUM(K463:M463)</f>
        <v>0</v>
      </c>
      <c r="O463" s="16"/>
      <c r="P463" s="16"/>
      <c r="Q463" s="16"/>
      <c r="R463" s="8"/>
      <c r="S463" s="17">
        <f>ROUND($B463*S$354*S462,2)</f>
        <v>0</v>
      </c>
      <c r="T463" s="17">
        <f>ROUND($B463*T$354,2)</f>
        <v>0</v>
      </c>
      <c r="U463" s="17">
        <f>ROUND($B463*U$354,2)</f>
        <v>0</v>
      </c>
      <c r="V463" s="17">
        <f>ROUND($B463*V$353,2)</f>
        <v>-0.01</v>
      </c>
      <c r="W463" s="17">
        <f>ROUND($B463*W$354,2)</f>
        <v>0</v>
      </c>
      <c r="X463" s="17">
        <f>ROUND($B463*X$354,2)</f>
        <v>-0.01</v>
      </c>
      <c r="Y463" s="17">
        <f>ROUND($B463*Y$354,2)</f>
        <v>0</v>
      </c>
      <c r="Z463" s="17">
        <f>ROUND($B463*Z$354,2)</f>
        <v>0</v>
      </c>
      <c r="AA463" s="17">
        <f>ROUND($B463*AA$354,2)</f>
        <v>0</v>
      </c>
      <c r="AB463" s="19">
        <f>SUM(U458:AA458)</f>
        <v>0</v>
      </c>
      <c r="AC463" s="67" t="str">
        <f>+F463</f>
        <v>SE6</v>
      </c>
    </row>
    <row r="464" spans="1:29" x14ac:dyDescent="0.2">
      <c r="A464" s="9"/>
      <c r="B464" s="103">
        <v>-1</v>
      </c>
      <c r="C464" s="34"/>
      <c r="F464" s="12"/>
      <c r="G464" s="12"/>
      <c r="H464" s="12"/>
      <c r="I464" s="19"/>
      <c r="J464" s="12"/>
      <c r="K464" s="35">
        <f>IF(D465&gt;K$355,+K$355,D465)</f>
        <v>0</v>
      </c>
      <c r="L464" s="35">
        <f>IF(D465&gt;K464,+D465-K464,0)</f>
        <v>0</v>
      </c>
      <c r="M464" s="34">
        <f>IF(B465&gt;D465,+B465-D465,0)</f>
        <v>0</v>
      </c>
      <c r="N464" s="34"/>
      <c r="O464" s="34"/>
      <c r="P464" s="34"/>
      <c r="Q464" s="34"/>
      <c r="R464" s="12"/>
      <c r="S464" s="50">
        <v>0.1</v>
      </c>
      <c r="T464" s="12"/>
      <c r="U464" s="12"/>
      <c r="V464" s="12"/>
      <c r="W464" s="12"/>
      <c r="X464" s="12"/>
      <c r="Y464" s="12"/>
      <c r="Z464" s="12"/>
      <c r="AA464" s="12"/>
    </row>
    <row r="465" spans="1:29" x14ac:dyDescent="0.2">
      <c r="A465" s="1" t="s">
        <v>154</v>
      </c>
      <c r="B465" s="103">
        <f>IF(AND('AES Indiana Bill Calc.'!$D$17="SE",'AES Indiana Bill Calc.'!$D$18="Yes 10%",'AES Indiana Bill Calc.'!$D$20="Yes 2026"),'AES Indiana Bill Calc.'!$D$19,-1)</f>
        <v>-1</v>
      </c>
      <c r="C465" s="103" t="b">
        <f>IF(AND('AES Indiana Bill Calc.'!$D$17="SE",'AES Indiana Bill Calc.'!$D$18="Yes 10%",'AES Indiana Bill Calc.'!$D$20="Yes 2025"),'AES Indiana Bill Calc.'!$D$23)</f>
        <v>0</v>
      </c>
      <c r="D465" s="2">
        <f>ROUND(C465*D$354,0)</f>
        <v>0</v>
      </c>
      <c r="F465" s="36" t="s">
        <v>378</v>
      </c>
      <c r="G465" s="17">
        <f>SUM(J465:M465,O465:P465,R465:AA465)</f>
        <v>54.980000000000004</v>
      </c>
      <c r="H465" s="19" t="e">
        <f>IF(ISBLANK(B465),0,+#REF!/B465)</f>
        <v>#REF!</v>
      </c>
      <c r="I465" s="19"/>
      <c r="J465" s="16">
        <f>IF(ISBLANK(B465),0,+J$354)</f>
        <v>55</v>
      </c>
      <c r="K465" s="16">
        <f>ROUND(K464*K$354,2)</f>
        <v>0</v>
      </c>
      <c r="L465" s="16">
        <f>ROUND(L464*L$354,2)</f>
        <v>0</v>
      </c>
      <c r="M465" s="16">
        <f>ROUND(M464*M$354,2)</f>
        <v>0</v>
      </c>
      <c r="N465" s="16">
        <f>SUM(K465:M465)</f>
        <v>0</v>
      </c>
      <c r="O465" s="16"/>
      <c r="P465" s="16"/>
      <c r="Q465" s="16"/>
      <c r="R465" s="8"/>
      <c r="S465" s="17">
        <f>ROUND($B465*S$354*S464,2)</f>
        <v>0</v>
      </c>
      <c r="T465" s="17">
        <f>ROUND($B465*T$354,2)</f>
        <v>0</v>
      </c>
      <c r="U465" s="17">
        <f>ROUND($B465*U$354,2)</f>
        <v>0</v>
      </c>
      <c r="V465" s="17">
        <f>ROUND($B465*V$353,2)</f>
        <v>-0.01</v>
      </c>
      <c r="W465" s="17">
        <f>ROUND($B465*W$354,2)</f>
        <v>0</v>
      </c>
      <c r="X465" s="17">
        <f>ROUND($B465*X$354,2)</f>
        <v>-0.01</v>
      </c>
      <c r="Y465" s="17">
        <f>ROUND($B465*Y$354,2)</f>
        <v>0</v>
      </c>
      <c r="Z465" s="17">
        <f>ROUND($B465*Z$354,2)</f>
        <v>0</v>
      </c>
      <c r="AA465" s="17">
        <f>ROUND($B465*AA$354,2)</f>
        <v>0</v>
      </c>
      <c r="AB465" s="19">
        <f>SUM(U460:AA460)</f>
        <v>0</v>
      </c>
      <c r="AC465" s="67" t="str">
        <f>+F465</f>
        <v>SE6</v>
      </c>
    </row>
    <row r="466" spans="1:29" x14ac:dyDescent="0.2">
      <c r="A466" s="9"/>
      <c r="B466" s="103">
        <v>-1</v>
      </c>
      <c r="C466" s="34"/>
      <c r="F466" s="12"/>
      <c r="G466" s="12"/>
      <c r="H466" s="12"/>
      <c r="I466" s="19"/>
      <c r="J466" s="12"/>
      <c r="K466" s="35">
        <f>IF(D467&gt;K$355,+K$355,D467)</f>
        <v>0</v>
      </c>
      <c r="L466" s="35">
        <f>IF(D467&gt;K466,+D467-K466,0)</f>
        <v>0</v>
      </c>
      <c r="M466" s="34">
        <f>IF(B467&gt;D467,+B467-D467,0)</f>
        <v>0</v>
      </c>
      <c r="N466" s="34"/>
      <c r="O466" s="34"/>
      <c r="P466" s="34"/>
      <c r="Q466" s="34"/>
      <c r="R466" s="12"/>
      <c r="S466" s="50">
        <v>0</v>
      </c>
      <c r="T466" s="12"/>
      <c r="U466" s="12"/>
      <c r="V466" s="12"/>
      <c r="W466" s="12"/>
      <c r="X466" s="12"/>
      <c r="Y466" s="12"/>
      <c r="Z466" s="12"/>
      <c r="AA466" s="12"/>
    </row>
    <row r="467" spans="1:29" x14ac:dyDescent="0.2">
      <c r="A467" s="1" t="s">
        <v>137</v>
      </c>
      <c r="B467" s="103">
        <f>IF(AND('AES Indiana Bill Calc.'!$D$17="SE",'AES Indiana Bill Calc.'!$D$18="No",'AES Indiana Bill Calc.'!$D$20="Yes 2026"),'AES Indiana Bill Calc.'!$D$19,-1)</f>
        <v>-1</v>
      </c>
      <c r="C467" s="103" t="b">
        <f>IF(AND('AES Indiana Bill Calc.'!$D$17="SE",'AES Indiana Bill Calc.'!$D$18="No",'AES Indiana Bill Calc.'!$D$20="Yes 2025"),'AES Indiana Bill Calc.'!$D$23)</f>
        <v>0</v>
      </c>
      <c r="D467" s="2">
        <f>ROUND(C467*D$354,0)</f>
        <v>0</v>
      </c>
      <c r="F467" s="36" t="s">
        <v>378</v>
      </c>
      <c r="G467" s="17">
        <f>SUM(J467:M467,O467:P467,R467:AA467)</f>
        <v>54.980000000000004</v>
      </c>
      <c r="H467" s="19" t="e">
        <f>IF(ISBLANK(B467),0,+#REF!/B467)</f>
        <v>#REF!</v>
      </c>
      <c r="I467" s="19"/>
      <c r="J467" s="16">
        <f>IF(ISBLANK(B467),0,+J$354)</f>
        <v>55</v>
      </c>
      <c r="K467" s="16">
        <f>ROUND(K466*K$354,2)</f>
        <v>0</v>
      </c>
      <c r="L467" s="16">
        <f>ROUND(L466*L$354,2)</f>
        <v>0</v>
      </c>
      <c r="M467" s="16">
        <f>ROUND(M466*M$354,2)</f>
        <v>0</v>
      </c>
      <c r="N467" s="16">
        <f>SUM(K467:M467)</f>
        <v>0</v>
      </c>
      <c r="O467" s="16"/>
      <c r="P467" s="16"/>
      <c r="Q467" s="16"/>
      <c r="R467" s="8"/>
      <c r="S467" s="17">
        <f>ROUND($B467*S$354*S466,2)</f>
        <v>0</v>
      </c>
      <c r="T467" s="17">
        <f>ROUND($B467*T$354,2)</f>
        <v>0</v>
      </c>
      <c r="U467" s="17">
        <f>ROUND($B467*U$354,2)</f>
        <v>0</v>
      </c>
      <c r="V467" s="17">
        <f>ROUND($B467*V$353,2)</f>
        <v>-0.01</v>
      </c>
      <c r="W467" s="17">
        <f>ROUND($B467*W$354,2)</f>
        <v>0</v>
      </c>
      <c r="X467" s="17">
        <f>ROUND($B467*X$354,2)</f>
        <v>-0.01</v>
      </c>
      <c r="Y467" s="17">
        <f>ROUND($B467*Y$354,2)</f>
        <v>0</v>
      </c>
      <c r="Z467" s="17">
        <f>ROUND($B467*Z$354,2)</f>
        <v>0</v>
      </c>
      <c r="AA467" s="17">
        <f>ROUND($B467*AA$354,2)</f>
        <v>0</v>
      </c>
      <c r="AB467" s="19">
        <f>SUM(U462:AA462)</f>
        <v>0</v>
      </c>
      <c r="AC467" s="67" t="str">
        <f>+F467</f>
        <v>SE6</v>
      </c>
    </row>
    <row r="468" spans="1:29" x14ac:dyDescent="0.2">
      <c r="A468" s="1"/>
      <c r="B468" s="103">
        <v>-1</v>
      </c>
      <c r="C468" s="103"/>
      <c r="D468" s="2"/>
      <c r="F468" s="36"/>
      <c r="G468" s="17"/>
      <c r="H468" s="19"/>
      <c r="I468" s="19"/>
      <c r="J468" s="16"/>
      <c r="K468" s="16"/>
      <c r="L468" s="16"/>
      <c r="M468" s="16"/>
      <c r="N468" s="16"/>
      <c r="O468" s="16"/>
      <c r="P468" s="16"/>
      <c r="Q468" s="16"/>
      <c r="R468" s="8"/>
      <c r="S468" s="17"/>
      <c r="T468" s="17"/>
      <c r="U468" s="17"/>
      <c r="V468" s="17"/>
      <c r="W468" s="17"/>
      <c r="X468" s="17"/>
      <c r="Y468" s="17"/>
      <c r="Z468" s="17"/>
      <c r="AA468" s="17"/>
      <c r="AB468" s="19"/>
      <c r="AC468" s="67"/>
    </row>
    <row r="469" spans="1:29" x14ac:dyDescent="0.2">
      <c r="A469" s="1"/>
      <c r="B469" s="103">
        <v>-1</v>
      </c>
      <c r="C469" s="103"/>
      <c r="D469" s="2"/>
      <c r="F469" s="36"/>
      <c r="G469" s="17"/>
      <c r="H469" s="19"/>
      <c r="I469" s="19"/>
      <c r="J469" s="16"/>
      <c r="K469" s="16"/>
      <c r="L469" s="16"/>
      <c r="M469" s="16"/>
      <c r="N469" s="16"/>
      <c r="O469" s="16"/>
      <c r="P469" s="16"/>
      <c r="Q469" s="16"/>
      <c r="R469" s="8"/>
      <c r="S469" s="17"/>
      <c r="T469" s="17"/>
      <c r="U469" s="17"/>
      <c r="V469" s="17"/>
      <c r="W469" s="17"/>
      <c r="X469" s="17"/>
      <c r="Y469" s="17"/>
      <c r="Z469" s="17"/>
      <c r="AA469" s="17"/>
      <c r="AB469" s="19"/>
      <c r="AC469" s="67"/>
    </row>
    <row r="470" spans="1:29" x14ac:dyDescent="0.2">
      <c r="B470" s="103">
        <v>-1</v>
      </c>
      <c r="H470" s="19"/>
      <c r="I470" s="19"/>
      <c r="J470" s="8"/>
      <c r="K470" s="17"/>
      <c r="L470" s="8"/>
      <c r="M470" s="8"/>
      <c r="N470" s="8"/>
      <c r="O470" s="8"/>
      <c r="P470" s="8"/>
      <c r="Q470" s="8"/>
      <c r="R470" s="8"/>
      <c r="S470" s="17"/>
      <c r="T470" s="17"/>
      <c r="U470" s="17"/>
      <c r="V470" s="17"/>
      <c r="W470" s="17"/>
      <c r="X470" s="17"/>
      <c r="Y470" s="17"/>
      <c r="Z470" s="17"/>
      <c r="AA470" s="17"/>
    </row>
    <row r="471" spans="1:29" x14ac:dyDescent="0.2">
      <c r="B471" s="103">
        <v>-1</v>
      </c>
      <c r="C471" s="4"/>
      <c r="I471" s="19"/>
      <c r="J471" s="157">
        <v>20</v>
      </c>
      <c r="K471" s="158">
        <v>7.6942999999999998E-2</v>
      </c>
      <c r="L471" s="5"/>
      <c r="M471" s="5"/>
      <c r="N471" s="5"/>
      <c r="O471" s="5"/>
      <c r="P471" s="5"/>
      <c r="Q471" s="5"/>
      <c r="R471" s="5"/>
      <c r="S471" s="27">
        <f>+M$3</f>
        <v>1.8E-3</v>
      </c>
      <c r="T471" s="27">
        <f t="shared" ref="T471:AA471" si="28">+R$3</f>
        <v>2.3900000000000001E-4</v>
      </c>
      <c r="U471" s="27">
        <f>$S$3</f>
        <v>4.7739999999999996E-3</v>
      </c>
      <c r="V471" s="27">
        <f t="shared" si="28"/>
        <v>6.1580000000000003E-3</v>
      </c>
      <c r="W471" s="27">
        <f t="shared" si="28"/>
        <v>0</v>
      </c>
      <c r="X471" s="27">
        <f t="shared" si="28"/>
        <v>9.476E-3</v>
      </c>
      <c r="Y471" s="27">
        <f t="shared" si="28"/>
        <v>-5.1900000000000004E-4</v>
      </c>
      <c r="Z471" s="27">
        <f t="shared" si="28"/>
        <v>4.1159999999999999E-3</v>
      </c>
      <c r="AA471" s="27">
        <f t="shared" si="28"/>
        <v>7.3200000000000001E-4</v>
      </c>
      <c r="AB471" s="19">
        <f>SUM(U471:Z471)</f>
        <v>2.4005000000000006E-2</v>
      </c>
    </row>
    <row r="472" spans="1:29" x14ac:dyDescent="0.2">
      <c r="A472" s="1"/>
      <c r="B472" s="103">
        <v>-1</v>
      </c>
      <c r="I472" s="19"/>
      <c r="J472" s="76"/>
      <c r="K472" s="77">
        <v>999999</v>
      </c>
    </row>
    <row r="473" spans="1:29" x14ac:dyDescent="0.2">
      <c r="B473" s="103">
        <v>-1</v>
      </c>
      <c r="F473" s="12"/>
      <c r="I473" s="19"/>
      <c r="J473" s="12" t="s">
        <v>127</v>
      </c>
      <c r="K473" s="254" t="s">
        <v>28</v>
      </c>
      <c r="L473" s="254"/>
      <c r="M473" s="12"/>
      <c r="N473" s="12"/>
      <c r="O473" s="12"/>
      <c r="P473" s="12"/>
      <c r="Q473" s="140" t="s">
        <v>163</v>
      </c>
      <c r="R473" s="12"/>
      <c r="S473" s="12">
        <v>21</v>
      </c>
      <c r="T473" s="12">
        <v>6</v>
      </c>
      <c r="U473" s="12">
        <v>3</v>
      </c>
      <c r="V473" s="12">
        <v>22</v>
      </c>
      <c r="W473" s="12">
        <v>13</v>
      </c>
      <c r="X473" s="12">
        <v>20</v>
      </c>
      <c r="Y473" s="12">
        <v>24</v>
      </c>
      <c r="Z473" s="12">
        <v>25</v>
      </c>
      <c r="AA473" s="12">
        <v>26</v>
      </c>
    </row>
    <row r="474" spans="1:29" x14ac:dyDescent="0.2">
      <c r="A474" s="13"/>
      <c r="B474" s="14">
        <v>-1</v>
      </c>
      <c r="C474" s="14" t="s">
        <v>182</v>
      </c>
      <c r="D474" s="15"/>
      <c r="F474" s="13" t="s">
        <v>131</v>
      </c>
      <c r="G474" s="13" t="s">
        <v>132</v>
      </c>
      <c r="H474" s="13" t="s">
        <v>133</v>
      </c>
      <c r="I474" s="19"/>
      <c r="J474" s="13" t="s">
        <v>134</v>
      </c>
      <c r="K474" s="13" t="s">
        <v>164</v>
      </c>
      <c r="L474" s="13"/>
      <c r="M474" s="13"/>
      <c r="N474" s="140" t="s">
        <v>128</v>
      </c>
      <c r="O474" s="13"/>
      <c r="P474" s="13"/>
      <c r="Q474" s="13"/>
      <c r="R474" s="13"/>
      <c r="S474" s="13" t="s">
        <v>96</v>
      </c>
      <c r="T474" s="13" t="s">
        <v>36</v>
      </c>
      <c r="U474" s="136" t="s">
        <v>38</v>
      </c>
      <c r="V474" s="13" t="s">
        <v>97</v>
      </c>
      <c r="W474" s="13" t="s">
        <v>98</v>
      </c>
      <c r="X474" s="13" t="s">
        <v>99</v>
      </c>
      <c r="Y474" s="136" t="s">
        <v>44</v>
      </c>
      <c r="Z474" s="136" t="s">
        <v>46</v>
      </c>
      <c r="AA474" s="136" t="s">
        <v>48</v>
      </c>
      <c r="AB474" s="66" t="s">
        <v>100</v>
      </c>
    </row>
    <row r="475" spans="1:29" x14ac:dyDescent="0.2">
      <c r="B475" s="103">
        <v>-1</v>
      </c>
      <c r="C475" s="34"/>
      <c r="F475" s="12"/>
      <c r="G475" s="12"/>
      <c r="H475" s="12"/>
      <c r="I475" s="19"/>
      <c r="J475" s="12"/>
      <c r="K475" s="12"/>
      <c r="L475" s="12"/>
      <c r="M475" s="12"/>
      <c r="N475" s="12"/>
      <c r="O475" s="12"/>
      <c r="P475" s="12"/>
      <c r="Q475" s="12"/>
      <c r="R475" s="12"/>
      <c r="S475" s="50">
        <v>1</v>
      </c>
      <c r="T475" s="12"/>
      <c r="U475" s="12"/>
      <c r="V475" s="12"/>
      <c r="W475" s="12"/>
      <c r="X475" s="12"/>
      <c r="Y475" s="12"/>
      <c r="Z475" s="12"/>
      <c r="AA475" s="12"/>
    </row>
    <row r="476" spans="1:29" x14ac:dyDescent="0.2">
      <c r="A476" s="1" t="s">
        <v>138</v>
      </c>
      <c r="B476" s="103">
        <f>IF(AND('AES Indiana Bill Calc.'!$D$17="CR",'AES Indiana Bill Calc.'!$D$18="Yes 100%"),'AES Indiana Bill Calc.'!$D$19,-1)</f>
        <v>-1</v>
      </c>
      <c r="C476" s="9"/>
      <c r="F476" s="36" t="s">
        <v>58</v>
      </c>
      <c r="G476" s="17">
        <f>SUM(J476:M476,O476:P476,R476:AA476)</f>
        <v>19.899999999999999</v>
      </c>
      <c r="H476" s="19" t="e">
        <f>IF(ISBLANK(B476),0,+#REF!/B476)</f>
        <v>#REF!</v>
      </c>
      <c r="I476" s="19"/>
      <c r="J476" s="16">
        <f>IF(ISBLANK(B476),0,+J$471)</f>
        <v>20</v>
      </c>
      <c r="K476" s="16">
        <f>ROUND($B476*K$471,2)</f>
        <v>-0.08</v>
      </c>
      <c r="L476" s="16"/>
      <c r="M476" s="8"/>
      <c r="N476" s="8">
        <f>SUM(K476:L476)</f>
        <v>-0.08</v>
      </c>
      <c r="O476" s="8"/>
      <c r="P476" s="8"/>
      <c r="Q476" s="8"/>
      <c r="R476" s="8"/>
      <c r="S476" s="17">
        <f>ROUND($B476*S$471*S475,2)</f>
        <v>0</v>
      </c>
      <c r="T476" s="17">
        <f t="shared" ref="T476:AA484" si="29">ROUND($B476*T$471,2)</f>
        <v>0</v>
      </c>
      <c r="U476" s="17">
        <f t="shared" si="29"/>
        <v>0</v>
      </c>
      <c r="V476" s="17">
        <f t="shared" si="29"/>
        <v>-0.01</v>
      </c>
      <c r="W476" s="17">
        <f t="shared" si="29"/>
        <v>0</v>
      </c>
      <c r="X476" s="17">
        <f t="shared" si="29"/>
        <v>-0.01</v>
      </c>
      <c r="Y476" s="17">
        <f t="shared" si="29"/>
        <v>0</v>
      </c>
      <c r="Z476" s="17">
        <f t="shared" si="29"/>
        <v>0</v>
      </c>
      <c r="AA476" s="17">
        <f t="shared" si="29"/>
        <v>0</v>
      </c>
      <c r="AB476" s="19">
        <f>SUM(U471:AA471)</f>
        <v>2.4737000000000006E-2</v>
      </c>
      <c r="AC476" s="67" t="str">
        <f>+F476</f>
        <v>CR</v>
      </c>
    </row>
    <row r="477" spans="1:29" x14ac:dyDescent="0.2">
      <c r="A477" s="9"/>
      <c r="B477" s="103">
        <v>-1</v>
      </c>
      <c r="C477" s="34"/>
      <c r="F477" s="12"/>
      <c r="G477" s="12"/>
      <c r="H477" s="12"/>
      <c r="I477" s="19"/>
      <c r="J477" s="12"/>
      <c r="K477" s="12"/>
      <c r="L477" s="12"/>
      <c r="M477" s="12"/>
      <c r="N477" s="12"/>
      <c r="O477" s="12"/>
      <c r="P477" s="12"/>
      <c r="Q477" s="12"/>
      <c r="R477" s="12"/>
      <c r="S477" s="50">
        <v>0.5</v>
      </c>
      <c r="T477" s="12"/>
      <c r="U477" s="12"/>
      <c r="V477" s="12"/>
      <c r="W477" s="12"/>
      <c r="X477" s="12"/>
      <c r="Y477" s="12"/>
      <c r="Z477" s="12"/>
      <c r="AA477" s="12"/>
    </row>
    <row r="478" spans="1:29" x14ac:dyDescent="0.2">
      <c r="A478" s="1" t="s">
        <v>139</v>
      </c>
      <c r="B478" s="103">
        <f>IF(AND('AES Indiana Bill Calc.'!$D$17="CR",'AES Indiana Bill Calc.'!$D$18="Yes 50%"),'AES Indiana Bill Calc.'!$D$19,-1)</f>
        <v>-1</v>
      </c>
      <c r="C478" s="9"/>
      <c r="F478" s="36" t="s">
        <v>58</v>
      </c>
      <c r="G478" s="17">
        <f>SUM(J478:M478,O478:P478,R478:AA478)</f>
        <v>19.899999999999999</v>
      </c>
      <c r="H478" s="19" t="e">
        <f>IF(ISBLANK(B478),0,+#REF!/B478)</f>
        <v>#REF!</v>
      </c>
      <c r="I478" s="19"/>
      <c r="J478" s="16">
        <f>IF(ISBLANK(B478),0,+J$471)</f>
        <v>20</v>
      </c>
      <c r="K478" s="16">
        <f>ROUND($B478*K$471,2)</f>
        <v>-0.08</v>
      </c>
      <c r="L478" s="16"/>
      <c r="M478" s="8"/>
      <c r="N478" s="8">
        <f>SUM(K478:L478)</f>
        <v>-0.08</v>
      </c>
      <c r="O478" s="8"/>
      <c r="P478" s="8"/>
      <c r="Q478" s="8"/>
      <c r="R478" s="8"/>
      <c r="S478" s="17">
        <f>ROUND($B478*S$471*S477,2)</f>
        <v>0</v>
      </c>
      <c r="T478" s="17">
        <f t="shared" si="29"/>
        <v>0</v>
      </c>
      <c r="U478" s="17">
        <f t="shared" si="29"/>
        <v>0</v>
      </c>
      <c r="V478" s="17">
        <f t="shared" si="29"/>
        <v>-0.01</v>
      </c>
      <c r="W478" s="17">
        <f t="shared" si="29"/>
        <v>0</v>
      </c>
      <c r="X478" s="17">
        <f t="shared" si="29"/>
        <v>-0.01</v>
      </c>
      <c r="Y478" s="17">
        <f t="shared" si="29"/>
        <v>0</v>
      </c>
      <c r="Z478" s="17">
        <f t="shared" si="29"/>
        <v>0</v>
      </c>
      <c r="AA478" s="17">
        <f t="shared" si="29"/>
        <v>0</v>
      </c>
      <c r="AB478" s="19">
        <f>SUM(U473:AA473)</f>
        <v>133</v>
      </c>
      <c r="AC478" s="67" t="str">
        <f>+F478</f>
        <v>CR</v>
      </c>
    </row>
    <row r="479" spans="1:29" x14ac:dyDescent="0.2">
      <c r="A479" s="9"/>
      <c r="B479" s="103">
        <v>-1</v>
      </c>
      <c r="C479" s="34"/>
      <c r="F479" s="12"/>
      <c r="G479" s="12"/>
      <c r="H479" s="12"/>
      <c r="I479" s="19"/>
      <c r="J479" s="12"/>
      <c r="K479" s="12"/>
      <c r="L479" s="12"/>
      <c r="M479" s="12"/>
      <c r="N479" s="12"/>
      <c r="O479" s="12"/>
      <c r="P479" s="12"/>
      <c r="Q479" s="12"/>
      <c r="R479" s="12"/>
      <c r="S479" s="50">
        <v>0.25</v>
      </c>
      <c r="T479" s="12"/>
      <c r="U479" s="12"/>
      <c r="V479" s="12"/>
      <c r="W479" s="12"/>
      <c r="X479" s="12"/>
      <c r="Y479" s="12"/>
      <c r="Z479" s="12"/>
      <c r="AA479" s="12"/>
    </row>
    <row r="480" spans="1:29" x14ac:dyDescent="0.2">
      <c r="A480" s="1" t="s">
        <v>140</v>
      </c>
      <c r="B480" s="103">
        <f>IF(AND('AES Indiana Bill Calc.'!$D$17="CR",'AES Indiana Bill Calc.'!$D$18="Yes 25%"),'AES Indiana Bill Calc.'!$D$19,-1)</f>
        <v>-1</v>
      </c>
      <c r="C480" s="9"/>
      <c r="F480" s="36" t="s">
        <v>58</v>
      </c>
      <c r="G480" s="17">
        <f>SUM(J480:M480,O480:P480,R480:AA480)</f>
        <v>19.899999999999999</v>
      </c>
      <c r="H480" s="19" t="e">
        <f>IF(ISBLANK(B480),0,+#REF!/B480)</f>
        <v>#REF!</v>
      </c>
      <c r="I480" s="19"/>
      <c r="J480" s="16">
        <f>IF(ISBLANK(B480),0,+J$471)</f>
        <v>20</v>
      </c>
      <c r="K480" s="16">
        <f>ROUND($B480*K$471,2)</f>
        <v>-0.08</v>
      </c>
      <c r="L480" s="16"/>
      <c r="M480" s="8"/>
      <c r="N480" s="8">
        <f>SUM(K480:L480)</f>
        <v>-0.08</v>
      </c>
      <c r="O480" s="8"/>
      <c r="P480" s="8"/>
      <c r="Q480" s="8"/>
      <c r="R480" s="8"/>
      <c r="S480" s="17">
        <f>ROUND($B480*S$471*S479,2)</f>
        <v>0</v>
      </c>
      <c r="T480" s="17">
        <f t="shared" si="29"/>
        <v>0</v>
      </c>
      <c r="U480" s="17">
        <f t="shared" si="29"/>
        <v>0</v>
      </c>
      <c r="V480" s="17">
        <f t="shared" si="29"/>
        <v>-0.01</v>
      </c>
      <c r="W480" s="17">
        <f t="shared" si="29"/>
        <v>0</v>
      </c>
      <c r="X480" s="17">
        <f t="shared" si="29"/>
        <v>-0.01</v>
      </c>
      <c r="Y480" s="17">
        <f t="shared" si="29"/>
        <v>0</v>
      </c>
      <c r="Z480" s="17">
        <f t="shared" si="29"/>
        <v>0</v>
      </c>
      <c r="AA480" s="17">
        <f t="shared" si="29"/>
        <v>0</v>
      </c>
      <c r="AB480" s="19">
        <f>SUM(U475:AA475)</f>
        <v>0</v>
      </c>
      <c r="AC480" s="67" t="str">
        <f>+F480</f>
        <v>CR</v>
      </c>
    </row>
    <row r="481" spans="1:29" x14ac:dyDescent="0.2">
      <c r="A481" s="1"/>
      <c r="B481" s="103">
        <v>-1</v>
      </c>
      <c r="C481" s="34"/>
      <c r="F481" s="12"/>
      <c r="G481" s="12"/>
      <c r="H481" s="12"/>
      <c r="I481" s="19"/>
      <c r="J481" s="12"/>
      <c r="K481" s="12"/>
      <c r="L481" s="12"/>
      <c r="M481" s="12"/>
      <c r="N481" s="12"/>
      <c r="O481" s="12"/>
      <c r="P481" s="12"/>
      <c r="Q481" s="12"/>
      <c r="R481" s="12"/>
      <c r="S481" s="50">
        <v>0.1</v>
      </c>
      <c r="T481" s="12"/>
      <c r="U481" s="12"/>
      <c r="V481" s="12"/>
      <c r="W481" s="12"/>
      <c r="X481" s="12"/>
      <c r="Y481" s="12"/>
      <c r="Z481" s="12"/>
      <c r="AA481" s="12"/>
    </row>
    <row r="482" spans="1:29" x14ac:dyDescent="0.2">
      <c r="A482" s="1" t="s">
        <v>154</v>
      </c>
      <c r="B482" s="103">
        <f>IF(AND('AES Indiana Bill Calc.'!$D$17="CR",'AES Indiana Bill Calc.'!$D$18="Yes 10%"),'AES Indiana Bill Calc.'!$D$19,-1)</f>
        <v>-1</v>
      </c>
      <c r="C482" s="9"/>
      <c r="F482" s="36" t="s">
        <v>58</v>
      </c>
      <c r="G482" s="17">
        <f>SUM(J482:M482,O482:P482,R482:AA482)</f>
        <v>19.899999999999999</v>
      </c>
      <c r="H482" s="19" t="e">
        <f>IF(ISBLANK(B482),0,+#REF!/B482)</f>
        <v>#REF!</v>
      </c>
      <c r="I482" s="19"/>
      <c r="J482" s="16">
        <f>IF(ISBLANK(B482),0,+J$471)</f>
        <v>20</v>
      </c>
      <c r="K482" s="16">
        <f>ROUND($B482*K$471,2)</f>
        <v>-0.08</v>
      </c>
      <c r="L482" s="16"/>
      <c r="M482" s="8"/>
      <c r="N482" s="8">
        <f>SUM(K482:L482)</f>
        <v>-0.08</v>
      </c>
      <c r="O482" s="8"/>
      <c r="P482" s="8"/>
      <c r="Q482" s="8"/>
      <c r="R482" s="8"/>
      <c r="S482" s="17">
        <f>ROUND($B482*S$471*S481,2)</f>
        <v>0</v>
      </c>
      <c r="T482" s="17">
        <f t="shared" si="29"/>
        <v>0</v>
      </c>
      <c r="U482" s="17">
        <f t="shared" si="29"/>
        <v>0</v>
      </c>
      <c r="V482" s="17">
        <f t="shared" si="29"/>
        <v>-0.01</v>
      </c>
      <c r="W482" s="17">
        <f t="shared" si="29"/>
        <v>0</v>
      </c>
      <c r="X482" s="17">
        <f t="shared" si="29"/>
        <v>-0.01</v>
      </c>
      <c r="Y482" s="17">
        <f t="shared" si="29"/>
        <v>0</v>
      </c>
      <c r="Z482" s="17">
        <f t="shared" si="29"/>
        <v>0</v>
      </c>
      <c r="AA482" s="17">
        <f t="shared" si="29"/>
        <v>0</v>
      </c>
      <c r="AB482" s="19">
        <f>SUM(U477:AA477)</f>
        <v>0</v>
      </c>
      <c r="AC482" s="67" t="str">
        <f>+F482</f>
        <v>CR</v>
      </c>
    </row>
    <row r="483" spans="1:29" x14ac:dyDescent="0.2">
      <c r="A483" s="9"/>
      <c r="B483" s="103">
        <v>-1</v>
      </c>
      <c r="C483" s="34"/>
      <c r="F483" s="12"/>
      <c r="G483" s="12"/>
      <c r="H483" s="12"/>
      <c r="I483" s="19"/>
      <c r="J483" s="12"/>
      <c r="K483" s="12"/>
      <c r="L483" s="12"/>
      <c r="M483" s="12"/>
      <c r="N483" s="12"/>
      <c r="O483" s="12"/>
      <c r="P483" s="12"/>
      <c r="Q483" s="12"/>
      <c r="R483" s="12"/>
      <c r="S483" s="50">
        <v>0</v>
      </c>
      <c r="T483" s="12"/>
      <c r="U483" s="12"/>
      <c r="V483" s="12"/>
      <c r="W483" s="12"/>
      <c r="X483" s="12"/>
      <c r="Y483" s="12"/>
      <c r="Z483" s="12"/>
      <c r="AA483" s="12"/>
    </row>
    <row r="484" spans="1:29" x14ac:dyDescent="0.2">
      <c r="A484" s="1" t="s">
        <v>137</v>
      </c>
      <c r="B484" s="103">
        <f>IF(AND('AES Indiana Bill Calc.'!$D$17="CR",'AES Indiana Bill Calc.'!$D$18="No"),'AES Indiana Bill Calc.'!$D$19,-1)</f>
        <v>-1</v>
      </c>
      <c r="C484" s="9"/>
      <c r="F484" s="36" t="s">
        <v>58</v>
      </c>
      <c r="G484" s="17">
        <f>SUM(J484:M484,O484:P484,R484:AA484)</f>
        <v>19.899999999999999</v>
      </c>
      <c r="H484" s="19" t="e">
        <f>IF(ISBLANK(B484),0,+#REF!/B484)</f>
        <v>#REF!</v>
      </c>
      <c r="I484" s="19"/>
      <c r="J484" s="16">
        <f>IF(ISBLANK(B484),0,+J$471)</f>
        <v>20</v>
      </c>
      <c r="K484" s="16">
        <f>ROUND($B484*K$471,2)</f>
        <v>-0.08</v>
      </c>
      <c r="L484" s="16"/>
      <c r="M484" s="8"/>
      <c r="N484" s="8">
        <f>SUM(K484:L484)</f>
        <v>-0.08</v>
      </c>
      <c r="O484" s="8"/>
      <c r="P484" s="8"/>
      <c r="Q484" s="8"/>
      <c r="R484" s="8"/>
      <c r="S484" s="17">
        <f>ROUND($B484*S$471*S483,2)</f>
        <v>0</v>
      </c>
      <c r="T484" s="17">
        <f t="shared" si="29"/>
        <v>0</v>
      </c>
      <c r="U484" s="17">
        <f t="shared" si="29"/>
        <v>0</v>
      </c>
      <c r="V484" s="17">
        <f t="shared" si="29"/>
        <v>-0.01</v>
      </c>
      <c r="W484" s="17">
        <f t="shared" si="29"/>
        <v>0</v>
      </c>
      <c r="X484" s="17">
        <f t="shared" si="29"/>
        <v>-0.01</v>
      </c>
      <c r="Y484" s="17">
        <f t="shared" si="29"/>
        <v>0</v>
      </c>
      <c r="Z484" s="17">
        <f t="shared" si="29"/>
        <v>0</v>
      </c>
      <c r="AA484" s="17">
        <f t="shared" si="29"/>
        <v>0</v>
      </c>
      <c r="AB484" s="19">
        <f>SUM(U479:AA479)</f>
        <v>0</v>
      </c>
      <c r="AC484" s="67" t="str">
        <f>+F484</f>
        <v>CR</v>
      </c>
    </row>
    <row r="485" spans="1:29" x14ac:dyDescent="0.2">
      <c r="A485" s="53"/>
      <c r="B485" s="103">
        <v>-1</v>
      </c>
      <c r="C485" s="9"/>
      <c r="F485" s="36"/>
      <c r="G485" s="17"/>
      <c r="H485" s="19"/>
      <c r="I485" s="19"/>
      <c r="J485" s="16"/>
      <c r="K485" s="16"/>
      <c r="L485" s="16"/>
      <c r="M485" s="8"/>
      <c r="N485" s="8"/>
      <c r="O485" s="8"/>
      <c r="P485" s="8"/>
      <c r="Q485" s="8"/>
      <c r="R485" s="8"/>
      <c r="S485" s="17"/>
      <c r="T485" s="17"/>
      <c r="U485" s="17"/>
      <c r="V485" s="17"/>
      <c r="W485" s="17"/>
      <c r="X485" s="17"/>
      <c r="Y485" s="17"/>
      <c r="Z485" s="17"/>
      <c r="AA485" s="17"/>
      <c r="AB485" s="19"/>
      <c r="AC485" s="67"/>
    </row>
    <row r="486" spans="1:29" x14ac:dyDescent="0.2">
      <c r="A486" s="53"/>
      <c r="B486" s="103">
        <v>-1</v>
      </c>
      <c r="C486" s="9"/>
      <c r="F486" s="36"/>
      <c r="G486" s="17"/>
      <c r="H486" s="19"/>
      <c r="I486" s="19"/>
      <c r="J486" s="16"/>
      <c r="K486" s="16"/>
      <c r="L486" s="16"/>
      <c r="M486" s="8"/>
      <c r="N486" s="8"/>
      <c r="O486" s="8"/>
      <c r="P486" s="8"/>
      <c r="Q486" s="8"/>
      <c r="R486" s="8"/>
      <c r="S486" s="17"/>
      <c r="T486" s="17"/>
      <c r="U486" s="17"/>
      <c r="V486" s="17"/>
      <c r="W486" s="17"/>
      <c r="X486" s="17"/>
      <c r="Y486" s="17"/>
      <c r="Z486" s="17"/>
      <c r="AA486" s="17"/>
      <c r="AB486" s="19"/>
      <c r="AC486" s="67"/>
    </row>
    <row r="487" spans="1:29" x14ac:dyDescent="0.2">
      <c r="B487" s="103">
        <v>-1</v>
      </c>
      <c r="G487" s="17"/>
      <c r="H487" s="19"/>
      <c r="I487" s="19"/>
      <c r="J487" s="8"/>
      <c r="K487" s="17"/>
      <c r="L487" s="8"/>
      <c r="M487" s="8"/>
      <c r="N487" s="8"/>
      <c r="O487" s="8"/>
      <c r="P487" s="8"/>
      <c r="Q487" s="8"/>
      <c r="R487" s="8"/>
      <c r="S487" s="17"/>
      <c r="T487" s="17"/>
      <c r="U487" s="17"/>
      <c r="V487" s="17"/>
      <c r="W487" s="17"/>
      <c r="X487" s="17"/>
      <c r="Y487" s="17"/>
      <c r="Z487" s="17"/>
      <c r="AA487" s="17"/>
    </row>
    <row r="488" spans="1:29" x14ac:dyDescent="0.2">
      <c r="B488" s="103">
        <v>-1</v>
      </c>
      <c r="H488" s="19"/>
      <c r="I488" s="19"/>
      <c r="J488" s="8"/>
      <c r="K488" s="17"/>
      <c r="L488" s="8"/>
      <c r="M488" s="8"/>
      <c r="N488" s="8"/>
      <c r="O488" s="8"/>
      <c r="P488" s="8"/>
      <c r="Q488" s="8"/>
      <c r="R488" s="8"/>
      <c r="S488" s="17"/>
      <c r="T488" s="17"/>
      <c r="U488" s="17"/>
      <c r="V488" s="17"/>
      <c r="W488" s="17"/>
      <c r="X488" s="17"/>
      <c r="Y488" s="17"/>
      <c r="Z488" s="17"/>
      <c r="AA488" s="17"/>
    </row>
    <row r="489" spans="1:29" x14ac:dyDescent="0.2">
      <c r="B489" s="103">
        <v>-1</v>
      </c>
      <c r="C489" s="4"/>
      <c r="I489" s="19"/>
      <c r="J489" s="157">
        <f>J471</f>
        <v>20</v>
      </c>
      <c r="K489" s="158">
        <f>K471</f>
        <v>7.6942999999999998E-2</v>
      </c>
      <c r="L489" s="5">
        <v>0</v>
      </c>
      <c r="M489" s="5"/>
      <c r="N489" s="5"/>
      <c r="O489" s="5"/>
      <c r="P489" s="5"/>
      <c r="Q489" s="5"/>
      <c r="R489" s="5"/>
      <c r="S489" s="27">
        <f>+M$4</f>
        <v>1.8E-3</v>
      </c>
      <c r="T489" s="27">
        <f t="shared" ref="T489:AA489" si="30">+R$4</f>
        <v>2.3900000000000001E-4</v>
      </c>
      <c r="U489" s="27">
        <f>+S$4</f>
        <v>3.4810000000000002E-3</v>
      </c>
      <c r="V489" s="27">
        <f t="shared" si="30"/>
        <v>1.2638E-2</v>
      </c>
      <c r="W489" s="27">
        <f t="shared" si="30"/>
        <v>0</v>
      </c>
      <c r="X489" s="27">
        <f t="shared" si="30"/>
        <v>8.8730000000000007E-3</v>
      </c>
      <c r="Y489" s="27">
        <f t="shared" si="30"/>
        <v>-8.1800000000000004E-4</v>
      </c>
      <c r="Z489" s="27">
        <f t="shared" si="30"/>
        <v>4.2139999999999999E-3</v>
      </c>
      <c r="AA489" s="27">
        <f t="shared" si="30"/>
        <v>7.0699999999999995E-4</v>
      </c>
      <c r="AB489" s="19">
        <f>SUM(U489:Z489)</f>
        <v>2.8388E-2</v>
      </c>
    </row>
    <row r="490" spans="1:29" x14ac:dyDescent="0.2">
      <c r="A490" s="1"/>
      <c r="B490" s="103">
        <v>-1</v>
      </c>
      <c r="C490" s="37"/>
      <c r="I490" s="19"/>
      <c r="J490" s="72"/>
      <c r="K490" s="73">
        <v>999999</v>
      </c>
    </row>
    <row r="491" spans="1:29" x14ac:dyDescent="0.2">
      <c r="B491" s="103">
        <v>-1</v>
      </c>
      <c r="F491" s="12"/>
      <c r="I491" s="19"/>
      <c r="J491" s="12" t="s">
        <v>127</v>
      </c>
      <c r="K491" s="254" t="s">
        <v>28</v>
      </c>
      <c r="L491" s="254"/>
      <c r="M491" s="12"/>
      <c r="N491" s="12"/>
      <c r="O491" s="12"/>
      <c r="P491" s="12"/>
      <c r="Q491" s="140" t="s">
        <v>163</v>
      </c>
      <c r="R491" s="12"/>
      <c r="S491" s="12">
        <v>21</v>
      </c>
      <c r="T491" s="12">
        <v>6</v>
      </c>
      <c r="U491" s="12">
        <v>3</v>
      </c>
      <c r="V491" s="12">
        <v>22</v>
      </c>
      <c r="W491" s="12">
        <v>13</v>
      </c>
      <c r="X491" s="12">
        <v>20</v>
      </c>
      <c r="Y491" s="12">
        <v>24</v>
      </c>
      <c r="Z491" s="12">
        <v>25</v>
      </c>
      <c r="AA491" s="12">
        <v>26</v>
      </c>
    </row>
    <row r="492" spans="1:29" x14ac:dyDescent="0.2">
      <c r="A492" s="13"/>
      <c r="B492" s="103">
        <v>-1</v>
      </c>
      <c r="C492" s="14" t="s">
        <v>182</v>
      </c>
      <c r="D492" s="15"/>
      <c r="F492" s="13" t="s">
        <v>131</v>
      </c>
      <c r="G492" s="13" t="s">
        <v>132</v>
      </c>
      <c r="H492" s="13" t="s">
        <v>133</v>
      </c>
      <c r="I492" s="19"/>
      <c r="J492" s="13" t="s">
        <v>134</v>
      </c>
      <c r="K492" s="13" t="s">
        <v>164</v>
      </c>
      <c r="L492" s="13"/>
      <c r="M492" s="13"/>
      <c r="N492" s="140" t="s">
        <v>128</v>
      </c>
      <c r="O492" s="13"/>
      <c r="P492" s="13"/>
      <c r="Q492" s="13"/>
      <c r="R492" s="13"/>
      <c r="S492" s="13" t="s">
        <v>96</v>
      </c>
      <c r="T492" s="13" t="s">
        <v>36</v>
      </c>
      <c r="U492" s="136" t="s">
        <v>38</v>
      </c>
      <c r="V492" s="13" t="s">
        <v>97</v>
      </c>
      <c r="W492" s="13" t="s">
        <v>98</v>
      </c>
      <c r="X492" s="13" t="s">
        <v>99</v>
      </c>
      <c r="Y492" s="136" t="s">
        <v>44</v>
      </c>
      <c r="Z492" s="136" t="s">
        <v>46</v>
      </c>
      <c r="AA492" s="136" t="s">
        <v>48</v>
      </c>
      <c r="AB492" s="66" t="s">
        <v>100</v>
      </c>
    </row>
    <row r="493" spans="1:29" x14ac:dyDescent="0.2">
      <c r="B493" s="103">
        <v>-1</v>
      </c>
      <c r="C493" s="34"/>
      <c r="F493" s="12"/>
      <c r="G493" s="12"/>
      <c r="H493" s="12"/>
      <c r="I493" s="19"/>
      <c r="J493" s="12"/>
      <c r="K493" s="12"/>
      <c r="L493" s="12"/>
      <c r="M493" s="12"/>
      <c r="N493" s="12"/>
      <c r="O493" s="12"/>
      <c r="P493" s="12"/>
      <c r="Q493" s="12"/>
      <c r="R493" s="12"/>
      <c r="S493" s="50">
        <v>1</v>
      </c>
      <c r="T493" s="12"/>
      <c r="U493" s="12"/>
      <c r="V493" s="12"/>
      <c r="W493" s="12"/>
      <c r="X493" s="12"/>
      <c r="Y493" s="12"/>
      <c r="Z493" s="12"/>
      <c r="AA493" s="12"/>
    </row>
    <row r="494" spans="1:29" x14ac:dyDescent="0.2">
      <c r="A494" s="53"/>
      <c r="B494" s="103">
        <f>IF(AND('AES Indiana Bill Calc.'!$D$17="CB",'AES Indiana Bill Calc.'!$D$18="Yes 100%"),'AES Indiana Bill Calc.'!$D$19,-1)</f>
        <v>-1</v>
      </c>
      <c r="C494" s="1" t="s">
        <v>138</v>
      </c>
      <c r="F494" s="36" t="s">
        <v>59</v>
      </c>
      <c r="G494" s="17">
        <f>SUM(J494:M494,O494:P494,R494:AA494)</f>
        <v>19.899999999999999</v>
      </c>
      <c r="H494" s="19" t="e">
        <f>IF(ISBLANK(B494),0,+#REF!/B494)</f>
        <v>#REF!</v>
      </c>
      <c r="I494" s="19"/>
      <c r="J494" s="16">
        <f>IF(ISBLANK(B494),0,+J$489)</f>
        <v>20</v>
      </c>
      <c r="K494" s="16">
        <f>ROUND($B494*K$489,2)</f>
        <v>-0.08</v>
      </c>
      <c r="L494" s="16">
        <f>IF($B494&gt;K$228,ROUND(($B494-K$228)*L$489,2),0)</f>
        <v>0</v>
      </c>
      <c r="M494" s="8"/>
      <c r="N494" s="8">
        <f>SUM(K494:L494)</f>
        <v>-0.08</v>
      </c>
      <c r="O494" s="8"/>
      <c r="P494" s="8"/>
      <c r="Q494" s="8"/>
      <c r="R494" s="8"/>
      <c r="S494" s="17">
        <f>ROUND($B494*S$489*S493,2)</f>
        <v>0</v>
      </c>
      <c r="T494" s="17">
        <f t="shared" ref="T494:AA502" si="31">ROUND($B494*T$489,2)</f>
        <v>0</v>
      </c>
      <c r="U494" s="17">
        <f t="shared" si="31"/>
        <v>0</v>
      </c>
      <c r="V494" s="17">
        <f t="shared" si="31"/>
        <v>-0.01</v>
      </c>
      <c r="W494" s="17">
        <f t="shared" si="31"/>
        <v>0</v>
      </c>
      <c r="X494" s="17">
        <f t="shared" si="31"/>
        <v>-0.01</v>
      </c>
      <c r="Y494" s="17">
        <f t="shared" si="31"/>
        <v>0</v>
      </c>
      <c r="Z494" s="17">
        <f t="shared" si="31"/>
        <v>0</v>
      </c>
      <c r="AA494" s="17">
        <f t="shared" si="31"/>
        <v>0</v>
      </c>
      <c r="AB494" s="19">
        <f>SUM(U489:AA489)</f>
        <v>2.9094999999999999E-2</v>
      </c>
      <c r="AC494" s="67" t="str">
        <f>+F494</f>
        <v>CB</v>
      </c>
    </row>
    <row r="495" spans="1:29" x14ac:dyDescent="0.2">
      <c r="B495" s="103">
        <v>-1</v>
      </c>
      <c r="C495" s="9"/>
      <c r="F495" s="12"/>
      <c r="G495" s="12"/>
      <c r="H495" s="12"/>
      <c r="I495" s="19"/>
      <c r="J495" s="12"/>
      <c r="K495" s="12"/>
      <c r="L495" s="12"/>
      <c r="M495" s="12"/>
      <c r="N495" s="12"/>
      <c r="O495" s="12"/>
      <c r="P495" s="12"/>
      <c r="Q495" s="12"/>
      <c r="R495" s="12"/>
      <c r="S495" s="50">
        <v>0.5</v>
      </c>
      <c r="T495" s="12"/>
      <c r="U495" s="12"/>
      <c r="V495" s="12"/>
      <c r="W495" s="12"/>
      <c r="X495" s="12"/>
      <c r="Y495" s="12"/>
      <c r="Z495" s="12"/>
      <c r="AA495" s="12"/>
    </row>
    <row r="496" spans="1:29" x14ac:dyDescent="0.2">
      <c r="A496" s="53"/>
      <c r="B496" s="103">
        <f>IF(AND('AES Indiana Bill Calc.'!$D$17="CB",'AES Indiana Bill Calc.'!$D$18="Yes 50%"),'AES Indiana Bill Calc.'!$D$19,-1)</f>
        <v>-1</v>
      </c>
      <c r="C496" s="1" t="s">
        <v>139</v>
      </c>
      <c r="F496" s="36" t="s">
        <v>59</v>
      </c>
      <c r="G496" s="17">
        <f>SUM(J496:M496,O496:P496,R496:AA496)</f>
        <v>19.899999999999999</v>
      </c>
      <c r="H496" s="19" t="e">
        <f>IF(ISBLANK(B496),0,+#REF!/B496)</f>
        <v>#REF!</v>
      </c>
      <c r="I496" s="19"/>
      <c r="J496" s="16">
        <f>IF(ISBLANK(B496),0,+J$489)</f>
        <v>20</v>
      </c>
      <c r="K496" s="16">
        <f>ROUND($B496*K$489,2)</f>
        <v>-0.08</v>
      </c>
      <c r="L496" s="16">
        <f>IF($B496&gt;K$228,ROUND(($B496-K$228)*L$489,2),0)</f>
        <v>0</v>
      </c>
      <c r="M496" s="8"/>
      <c r="N496" s="8">
        <f>SUM(K496:L496)</f>
        <v>-0.08</v>
      </c>
      <c r="O496" s="8"/>
      <c r="P496" s="8"/>
      <c r="Q496" s="8"/>
      <c r="R496" s="8"/>
      <c r="S496" s="17">
        <f>ROUND($B496*S$489*S495,2)</f>
        <v>0</v>
      </c>
      <c r="T496" s="17">
        <f t="shared" si="31"/>
        <v>0</v>
      </c>
      <c r="U496" s="17">
        <f t="shared" si="31"/>
        <v>0</v>
      </c>
      <c r="V496" s="17">
        <f t="shared" si="31"/>
        <v>-0.01</v>
      </c>
      <c r="W496" s="17">
        <f t="shared" si="31"/>
        <v>0</v>
      </c>
      <c r="X496" s="17">
        <f t="shared" si="31"/>
        <v>-0.01</v>
      </c>
      <c r="Y496" s="17">
        <f t="shared" si="31"/>
        <v>0</v>
      </c>
      <c r="Z496" s="17">
        <f t="shared" si="31"/>
        <v>0</v>
      </c>
      <c r="AA496" s="17">
        <f t="shared" si="31"/>
        <v>0</v>
      </c>
      <c r="AB496" s="19">
        <f>SUM(U491:AA491)</f>
        <v>133</v>
      </c>
      <c r="AC496" s="67" t="str">
        <f>+F496</f>
        <v>CB</v>
      </c>
    </row>
    <row r="497" spans="1:29" x14ac:dyDescent="0.2">
      <c r="B497" s="103">
        <v>-1</v>
      </c>
      <c r="C497" s="9"/>
      <c r="F497" s="12"/>
      <c r="G497" s="12"/>
      <c r="H497" s="12"/>
      <c r="I497" s="19"/>
      <c r="J497" s="12"/>
      <c r="K497" s="12"/>
      <c r="L497" s="12"/>
      <c r="M497" s="12"/>
      <c r="N497" s="12"/>
      <c r="O497" s="12"/>
      <c r="P497" s="12"/>
      <c r="Q497" s="12"/>
      <c r="R497" s="12"/>
      <c r="S497" s="50">
        <v>0.25</v>
      </c>
      <c r="T497" s="12"/>
      <c r="U497" s="12"/>
      <c r="V497" s="12"/>
      <c r="W497" s="12"/>
      <c r="X497" s="12"/>
      <c r="Y497" s="12"/>
      <c r="Z497" s="12"/>
      <c r="AA497" s="12"/>
    </row>
    <row r="498" spans="1:29" x14ac:dyDescent="0.2">
      <c r="A498" s="53"/>
      <c r="B498" s="103">
        <f>IF(AND('AES Indiana Bill Calc.'!$D$17="CB",'AES Indiana Bill Calc.'!$D$18="Yes 25%"),'AES Indiana Bill Calc.'!$D$19,-1)</f>
        <v>-1</v>
      </c>
      <c r="C498" s="1" t="s">
        <v>140</v>
      </c>
      <c r="F498" s="36" t="s">
        <v>59</v>
      </c>
      <c r="G498" s="17">
        <f>SUM(J498:M498,O498:P498,R498:AA498)</f>
        <v>19.899999999999999</v>
      </c>
      <c r="H498" s="19" t="e">
        <f>IF(ISBLANK(B498),0,+#REF!/B498)</f>
        <v>#REF!</v>
      </c>
      <c r="I498" s="19"/>
      <c r="J498" s="16">
        <f>IF(ISBLANK(B498),0,+J$489)</f>
        <v>20</v>
      </c>
      <c r="K498" s="16">
        <f>ROUND($B498*K$489,2)</f>
        <v>-0.08</v>
      </c>
      <c r="L498" s="16">
        <f>IF($B498&gt;K$228,ROUND(($B498-K$228)*L$489,2),0)</f>
        <v>0</v>
      </c>
      <c r="M498" s="8"/>
      <c r="N498" s="8">
        <f>SUM(K498:L498)</f>
        <v>-0.08</v>
      </c>
      <c r="O498" s="8"/>
      <c r="P498" s="8"/>
      <c r="Q498" s="8"/>
      <c r="R498" s="8"/>
      <c r="S498" s="17">
        <f>ROUND($B498*S$489*S497,2)</f>
        <v>0</v>
      </c>
      <c r="T498" s="17">
        <f t="shared" si="31"/>
        <v>0</v>
      </c>
      <c r="U498" s="17">
        <f t="shared" si="31"/>
        <v>0</v>
      </c>
      <c r="V498" s="17">
        <f t="shared" si="31"/>
        <v>-0.01</v>
      </c>
      <c r="W498" s="17">
        <f t="shared" si="31"/>
        <v>0</v>
      </c>
      <c r="X498" s="17">
        <f t="shared" si="31"/>
        <v>-0.01</v>
      </c>
      <c r="Y498" s="17">
        <f t="shared" si="31"/>
        <v>0</v>
      </c>
      <c r="Z498" s="17">
        <f t="shared" si="31"/>
        <v>0</v>
      </c>
      <c r="AA498" s="17">
        <f t="shared" si="31"/>
        <v>0</v>
      </c>
      <c r="AB498" s="19">
        <f>SUM(U493:AA493)</f>
        <v>0</v>
      </c>
      <c r="AC498" s="67" t="str">
        <f>+F498</f>
        <v>CB</v>
      </c>
    </row>
    <row r="499" spans="1:29" x14ac:dyDescent="0.2">
      <c r="B499" s="103">
        <v>-1</v>
      </c>
      <c r="C499" s="9"/>
      <c r="F499" s="12"/>
      <c r="G499" s="12"/>
      <c r="H499" s="12"/>
      <c r="I499" s="19"/>
      <c r="J499" s="12"/>
      <c r="K499" s="12"/>
      <c r="L499" s="12"/>
      <c r="M499" s="12"/>
      <c r="N499" s="12"/>
      <c r="O499" s="12"/>
      <c r="P499" s="12"/>
      <c r="Q499" s="12"/>
      <c r="R499" s="12"/>
      <c r="S499" s="50">
        <v>0.1</v>
      </c>
      <c r="T499" s="12"/>
      <c r="U499" s="12"/>
      <c r="V499" s="12"/>
      <c r="W499" s="12"/>
      <c r="X499" s="12"/>
      <c r="Y499" s="12"/>
      <c r="Z499" s="12"/>
      <c r="AA499" s="12"/>
    </row>
    <row r="500" spans="1:29" x14ac:dyDescent="0.2">
      <c r="A500" s="53"/>
      <c r="B500" s="103">
        <f>IF(AND('AES Indiana Bill Calc.'!$D$17="CB",'AES Indiana Bill Calc.'!$D$18="Yes 10%"),'AES Indiana Bill Calc.'!$D$19,-1)</f>
        <v>-1</v>
      </c>
      <c r="C500" s="1" t="s">
        <v>154</v>
      </c>
      <c r="F500" s="36" t="s">
        <v>59</v>
      </c>
      <c r="G500" s="17">
        <f>SUM(J500:M500,O500:P500,R500:AA500)</f>
        <v>19.899999999999999</v>
      </c>
      <c r="H500" s="19" t="e">
        <f>IF(ISBLANK(B500),0,+#REF!/B500)</f>
        <v>#REF!</v>
      </c>
      <c r="I500" s="19"/>
      <c r="J500" s="16">
        <f>IF(ISBLANK(B500),0,+J$489)</f>
        <v>20</v>
      </c>
      <c r="K500" s="16">
        <f>ROUND($B500*K$489,2)</f>
        <v>-0.08</v>
      </c>
      <c r="L500" s="16">
        <f>IF($B500&gt;K$228,ROUND(($B500-K$228)*L$489,2),0)</f>
        <v>0</v>
      </c>
      <c r="M500" s="8"/>
      <c r="N500" s="8">
        <f>SUM(K500:L500)</f>
        <v>-0.08</v>
      </c>
      <c r="O500" s="8"/>
      <c r="P500" s="8"/>
      <c r="Q500" s="8"/>
      <c r="R500" s="8"/>
      <c r="S500" s="17">
        <f>ROUND($B500*S$489*S499,2)</f>
        <v>0</v>
      </c>
      <c r="T500" s="17">
        <f t="shared" si="31"/>
        <v>0</v>
      </c>
      <c r="U500" s="17">
        <f t="shared" si="31"/>
        <v>0</v>
      </c>
      <c r="V500" s="17">
        <f t="shared" si="31"/>
        <v>-0.01</v>
      </c>
      <c r="W500" s="17">
        <f t="shared" si="31"/>
        <v>0</v>
      </c>
      <c r="X500" s="17">
        <f t="shared" si="31"/>
        <v>-0.01</v>
      </c>
      <c r="Y500" s="17">
        <f t="shared" si="31"/>
        <v>0</v>
      </c>
      <c r="Z500" s="17">
        <f t="shared" si="31"/>
        <v>0</v>
      </c>
      <c r="AA500" s="17">
        <f t="shared" si="31"/>
        <v>0</v>
      </c>
      <c r="AB500" s="19">
        <f>SUM(U495:AA495)</f>
        <v>0</v>
      </c>
      <c r="AC500" s="67" t="str">
        <f>+F500</f>
        <v>CB</v>
      </c>
    </row>
    <row r="501" spans="1:29" x14ac:dyDescent="0.2">
      <c r="B501" s="103">
        <v>-1</v>
      </c>
      <c r="C501" s="9"/>
      <c r="F501" s="12"/>
      <c r="G501" s="12"/>
      <c r="H501" s="12"/>
      <c r="I501" s="19"/>
      <c r="J501" s="12"/>
      <c r="K501" s="12"/>
      <c r="L501" s="12"/>
      <c r="M501" s="12"/>
      <c r="N501" s="12"/>
      <c r="O501" s="12"/>
      <c r="P501" s="12"/>
      <c r="Q501" s="12"/>
      <c r="R501" s="12"/>
      <c r="S501" s="50">
        <v>0</v>
      </c>
      <c r="T501" s="12"/>
      <c r="U501" s="12"/>
      <c r="V501" s="12"/>
      <c r="W501" s="12"/>
      <c r="X501" s="12"/>
      <c r="Y501" s="12"/>
      <c r="Z501" s="12"/>
      <c r="AA501" s="12"/>
    </row>
    <row r="502" spans="1:29" x14ac:dyDescent="0.2">
      <c r="A502" s="53"/>
      <c r="B502" s="103">
        <f>IF(AND('AES Indiana Bill Calc.'!$D$17="CB",'AES Indiana Bill Calc.'!$D$18="No"),'AES Indiana Bill Calc.'!$D$19,-1)</f>
        <v>-1</v>
      </c>
      <c r="C502" s="1" t="s">
        <v>137</v>
      </c>
      <c r="F502" s="36" t="s">
        <v>59</v>
      </c>
      <c r="G502" s="17">
        <f>SUM(J502:M502,O502:P502,R502:AA502)</f>
        <v>19.899999999999999</v>
      </c>
      <c r="H502" s="19" t="e">
        <f>IF(ISBLANK(B502),0,+#REF!/B502)</f>
        <v>#REF!</v>
      </c>
      <c r="I502" s="19"/>
      <c r="J502" s="16">
        <f>IF(ISBLANK(B502),0,+J$489)</f>
        <v>20</v>
      </c>
      <c r="K502" s="16">
        <f>ROUND($B502*K$489,2)</f>
        <v>-0.08</v>
      </c>
      <c r="L502" s="16">
        <f>IF($B502&gt;K$228,ROUND(($B502-K$228)*L$489,2),0)</f>
        <v>0</v>
      </c>
      <c r="M502" s="8"/>
      <c r="N502" s="8">
        <f>SUM(K502:L502)</f>
        <v>-0.08</v>
      </c>
      <c r="O502" s="8"/>
      <c r="P502" s="8"/>
      <c r="Q502" s="8"/>
      <c r="R502" s="8"/>
      <c r="S502" s="17">
        <f>ROUND($B502*S$489*S501,2)</f>
        <v>0</v>
      </c>
      <c r="T502" s="17">
        <f t="shared" si="31"/>
        <v>0</v>
      </c>
      <c r="U502" s="17">
        <f t="shared" si="31"/>
        <v>0</v>
      </c>
      <c r="V502" s="17">
        <f t="shared" si="31"/>
        <v>-0.01</v>
      </c>
      <c r="W502" s="17">
        <f t="shared" si="31"/>
        <v>0</v>
      </c>
      <c r="X502" s="17">
        <f t="shared" si="31"/>
        <v>-0.01</v>
      </c>
      <c r="Y502" s="17">
        <f t="shared" si="31"/>
        <v>0</v>
      </c>
      <c r="Z502" s="17">
        <f t="shared" si="31"/>
        <v>0</v>
      </c>
      <c r="AA502" s="17">
        <f t="shared" si="31"/>
        <v>0</v>
      </c>
      <c r="AB502" s="19">
        <f>SUM(U497:AA497)</f>
        <v>0</v>
      </c>
      <c r="AC502" s="67" t="str">
        <f>+F502</f>
        <v>CB</v>
      </c>
    </row>
    <row r="503" spans="1:29" x14ac:dyDescent="0.2">
      <c r="B503" s="103">
        <v>-1</v>
      </c>
      <c r="C503" s="40"/>
      <c r="G503" s="42"/>
      <c r="H503" s="19"/>
      <c r="I503" s="19"/>
      <c r="J503" s="41"/>
      <c r="K503" s="42"/>
      <c r="L503" s="41"/>
      <c r="M503" s="41"/>
      <c r="N503" s="41"/>
      <c r="O503" s="41"/>
      <c r="P503" s="41"/>
      <c r="Q503" s="41"/>
      <c r="R503" s="41"/>
      <c r="S503" s="42"/>
      <c r="T503" s="42"/>
      <c r="U503" s="42"/>
      <c r="V503" s="42"/>
      <c r="W503" s="42"/>
      <c r="X503" s="42"/>
      <c r="Y503" s="42"/>
      <c r="Z503" s="42"/>
      <c r="AA503" s="42"/>
    </row>
    <row r="504" spans="1:29" x14ac:dyDescent="0.2">
      <c r="B504" s="103">
        <v>-1</v>
      </c>
      <c r="H504" s="19"/>
      <c r="I504" s="19"/>
      <c r="J504" s="8"/>
      <c r="K504" s="17"/>
      <c r="L504" s="8"/>
      <c r="M504" s="8"/>
      <c r="N504" s="8"/>
      <c r="O504" s="8"/>
      <c r="P504" s="8"/>
      <c r="Q504" s="8"/>
      <c r="R504" s="8"/>
      <c r="S504" s="17"/>
      <c r="T504" s="17"/>
      <c r="U504" s="17"/>
      <c r="V504" s="17"/>
      <c r="W504" s="17"/>
      <c r="X504" s="17"/>
      <c r="Y504" s="17"/>
      <c r="Z504" s="17"/>
      <c r="AA504" s="17"/>
    </row>
    <row r="505" spans="1:29" x14ac:dyDescent="0.2">
      <c r="B505" s="103">
        <v>-1</v>
      </c>
      <c r="C505" s="4"/>
      <c r="I505" s="19"/>
      <c r="J505" s="157">
        <v>40</v>
      </c>
      <c r="K505" s="158">
        <v>8.9470999999999995E-2</v>
      </c>
      <c r="L505" s="5">
        <v>0</v>
      </c>
      <c r="M505" s="5"/>
      <c r="N505" s="5"/>
      <c r="O505" s="5"/>
      <c r="P505" s="5"/>
      <c r="Q505" s="5"/>
      <c r="R505" s="5"/>
      <c r="S505" s="27">
        <f>+M$4</f>
        <v>1.8E-3</v>
      </c>
      <c r="T505" s="27">
        <f t="shared" ref="T505:AA505" si="32">+R$4</f>
        <v>2.3900000000000001E-4</v>
      </c>
      <c r="U505" s="27">
        <f>+S$3</f>
        <v>4.7739999999999996E-3</v>
      </c>
      <c r="V505" s="27">
        <f t="shared" si="32"/>
        <v>1.2638E-2</v>
      </c>
      <c r="W505" s="27">
        <f t="shared" si="32"/>
        <v>0</v>
      </c>
      <c r="X505" s="27">
        <f t="shared" si="32"/>
        <v>8.8730000000000007E-3</v>
      </c>
      <c r="Y505" s="27">
        <f t="shared" si="32"/>
        <v>-8.1800000000000004E-4</v>
      </c>
      <c r="Z505" s="27">
        <f t="shared" si="32"/>
        <v>4.2139999999999999E-3</v>
      </c>
      <c r="AA505" s="27">
        <f t="shared" si="32"/>
        <v>7.0699999999999995E-4</v>
      </c>
      <c r="AB505" s="19">
        <f>SUM(U505:Z505)</f>
        <v>2.9681000000000003E-2</v>
      </c>
    </row>
    <row r="506" spans="1:29" x14ac:dyDescent="0.2">
      <c r="A506" s="1"/>
      <c r="B506" s="103">
        <v>-1</v>
      </c>
      <c r="C506" s="37"/>
      <c r="I506" s="19"/>
      <c r="J506" s="72"/>
      <c r="K506" s="73">
        <v>999999</v>
      </c>
    </row>
    <row r="507" spans="1:29" x14ac:dyDescent="0.2">
      <c r="B507" s="103">
        <v>-1</v>
      </c>
      <c r="F507" s="12"/>
      <c r="I507" s="19"/>
      <c r="J507" s="12" t="s">
        <v>127</v>
      </c>
      <c r="K507" s="254" t="s">
        <v>28</v>
      </c>
      <c r="L507" s="254"/>
      <c r="M507" s="12"/>
      <c r="N507" s="12"/>
      <c r="O507" s="12"/>
      <c r="P507" s="12"/>
      <c r="Q507" s="140" t="s">
        <v>163</v>
      </c>
      <c r="R507" s="12"/>
      <c r="S507" s="12">
        <v>21</v>
      </c>
      <c r="T507" s="12">
        <v>6</v>
      </c>
      <c r="U507" s="12">
        <v>3</v>
      </c>
      <c r="V507" s="12">
        <v>22</v>
      </c>
      <c r="W507" s="12">
        <v>13</v>
      </c>
      <c r="X507" s="12">
        <v>20</v>
      </c>
      <c r="Y507" s="12">
        <v>24</v>
      </c>
      <c r="Z507" s="12">
        <v>25</v>
      </c>
      <c r="AA507" s="12">
        <v>26</v>
      </c>
    </row>
    <row r="508" spans="1:29" x14ac:dyDescent="0.2">
      <c r="A508" s="13"/>
      <c r="B508" s="14" t="s">
        <v>130</v>
      </c>
      <c r="C508" s="14" t="s">
        <v>182</v>
      </c>
      <c r="D508" s="15"/>
      <c r="F508" s="13" t="s">
        <v>131</v>
      </c>
      <c r="G508" s="13" t="s">
        <v>132</v>
      </c>
      <c r="H508" s="13" t="s">
        <v>133</v>
      </c>
      <c r="I508" s="19"/>
      <c r="J508" s="13" t="s">
        <v>134</v>
      </c>
      <c r="K508" s="13" t="s">
        <v>164</v>
      </c>
      <c r="L508" s="13"/>
      <c r="M508" s="13"/>
      <c r="N508" s="140" t="s">
        <v>128</v>
      </c>
      <c r="O508" s="13"/>
      <c r="P508" s="13"/>
      <c r="Q508" s="13"/>
      <c r="R508" s="13"/>
      <c r="S508" s="13" t="s">
        <v>96</v>
      </c>
      <c r="T508" s="13" t="s">
        <v>36</v>
      </c>
      <c r="U508" s="136" t="s">
        <v>38</v>
      </c>
      <c r="V508" s="13" t="s">
        <v>97</v>
      </c>
      <c r="W508" s="13" t="s">
        <v>98</v>
      </c>
      <c r="X508" s="13" t="s">
        <v>99</v>
      </c>
      <c r="Y508" s="136" t="s">
        <v>44</v>
      </c>
      <c r="Z508" s="136" t="s">
        <v>46</v>
      </c>
      <c r="AA508" s="136" t="s">
        <v>48</v>
      </c>
      <c r="AB508" s="66" t="s">
        <v>100</v>
      </c>
    </row>
    <row r="509" spans="1:29" x14ac:dyDescent="0.2">
      <c r="B509" s="126">
        <v>-1</v>
      </c>
      <c r="C509" s="34"/>
      <c r="F509" s="12"/>
      <c r="G509" s="12"/>
      <c r="H509" s="12"/>
      <c r="I509" s="19"/>
      <c r="J509" s="12"/>
      <c r="K509" s="12"/>
      <c r="L509" s="12"/>
      <c r="M509" s="12"/>
      <c r="N509" s="12"/>
      <c r="O509" s="12"/>
      <c r="P509" s="12"/>
      <c r="Q509" s="12"/>
      <c r="R509" s="12"/>
      <c r="S509" s="50">
        <v>1</v>
      </c>
      <c r="T509" s="12"/>
      <c r="U509" s="12"/>
      <c r="V509" s="12"/>
      <c r="W509" s="12"/>
      <c r="X509" s="12"/>
      <c r="Y509" s="12"/>
      <c r="Z509" s="12"/>
      <c r="AA509" s="12"/>
    </row>
    <row r="510" spans="1:29" x14ac:dyDescent="0.2">
      <c r="A510" s="53"/>
      <c r="B510" s="103">
        <f>IF(AND('AES Indiana Bill Calc.'!$D$17="UW",'AES Indiana Bill Calc.'!$D$18="Yes 100%"),'AES Indiana Bill Calc.'!$D$19,-1)</f>
        <v>-1</v>
      </c>
      <c r="C510" s="1" t="s">
        <v>138</v>
      </c>
      <c r="F510" s="36" t="s">
        <v>60</v>
      </c>
      <c r="G510" s="17">
        <f>SUM(J510:M510,O510:P510,R510:AA510)</f>
        <v>39.89</v>
      </c>
      <c r="H510" s="19" t="e">
        <f>IF(ISBLANK(B510),0,+#REF!/B510)</f>
        <v>#REF!</v>
      </c>
      <c r="I510" s="19"/>
      <c r="J510" s="16">
        <f>IF(ISBLANK(B510),0,+J$505)</f>
        <v>40</v>
      </c>
      <c r="K510" s="16">
        <f>ROUND($B510*K$505,2)</f>
        <v>-0.09</v>
      </c>
      <c r="L510" s="16">
        <f>IF($B510&gt;K$228,ROUND(($B510-K$228)*L$505,2),0)</f>
        <v>0</v>
      </c>
      <c r="M510" s="8"/>
      <c r="N510" s="8">
        <f>SUM(K510:L510)</f>
        <v>-0.09</v>
      </c>
      <c r="O510" s="8"/>
      <c r="P510" s="8"/>
      <c r="Q510" s="8"/>
      <c r="R510" s="8"/>
      <c r="S510" s="17">
        <f>ROUND($B510*S$505*S509,2)</f>
        <v>0</v>
      </c>
      <c r="T510" s="17">
        <f t="shared" ref="T510:AA518" si="33">ROUND($B510*T$505,2)</f>
        <v>0</v>
      </c>
      <c r="U510" s="17">
        <f t="shared" si="33"/>
        <v>0</v>
      </c>
      <c r="V510" s="17">
        <f t="shared" si="33"/>
        <v>-0.01</v>
      </c>
      <c r="W510" s="17">
        <f t="shared" si="33"/>
        <v>0</v>
      </c>
      <c r="X510" s="17">
        <f t="shared" si="33"/>
        <v>-0.01</v>
      </c>
      <c r="Y510" s="17">
        <f t="shared" si="33"/>
        <v>0</v>
      </c>
      <c r="Z510" s="17">
        <f t="shared" si="33"/>
        <v>0</v>
      </c>
      <c r="AA510" s="17">
        <f t="shared" si="33"/>
        <v>0</v>
      </c>
      <c r="AB510" s="19">
        <f>SUM(U505:AA505)</f>
        <v>3.0388000000000002E-2</v>
      </c>
      <c r="AC510" s="67" t="str">
        <f>+F510</f>
        <v>UW</v>
      </c>
    </row>
    <row r="511" spans="1:29" x14ac:dyDescent="0.2">
      <c r="B511" s="126">
        <v>-1</v>
      </c>
      <c r="C511" s="9"/>
      <c r="F511" s="12"/>
      <c r="G511" s="12"/>
      <c r="H511" s="12"/>
      <c r="I511" s="19"/>
      <c r="J511" s="12"/>
      <c r="K511" s="12"/>
      <c r="L511" s="12"/>
      <c r="M511" s="12"/>
      <c r="N511" s="12"/>
      <c r="O511" s="12"/>
      <c r="P511" s="12"/>
      <c r="Q511" s="12"/>
      <c r="R511" s="12"/>
      <c r="S511" s="50">
        <v>0.5</v>
      </c>
      <c r="T511" s="12"/>
      <c r="U511" s="12"/>
      <c r="V511" s="12"/>
      <c r="W511" s="12"/>
      <c r="X511" s="12"/>
      <c r="Y511" s="12"/>
      <c r="Z511" s="12"/>
      <c r="AA511" s="12"/>
    </row>
    <row r="512" spans="1:29" x14ac:dyDescent="0.2">
      <c r="A512" s="53"/>
      <c r="B512" s="103">
        <f>IF(AND('AES Indiana Bill Calc.'!$D$17="UW",'AES Indiana Bill Calc.'!$D$18="Yes 50%"),'AES Indiana Bill Calc.'!$D$19,-1)</f>
        <v>-1</v>
      </c>
      <c r="C512" s="1" t="s">
        <v>139</v>
      </c>
      <c r="F512" s="36" t="s">
        <v>60</v>
      </c>
      <c r="G512" s="17">
        <f>SUM(J512:M512,O512:P512,R512:AA512)</f>
        <v>39.89</v>
      </c>
      <c r="H512" s="19" t="e">
        <f>IF(ISBLANK(B512),0,+#REF!/B512)</f>
        <v>#REF!</v>
      </c>
      <c r="I512" s="19"/>
      <c r="J512" s="16">
        <f>IF(ISBLANK(B512),0,+J$505)</f>
        <v>40</v>
      </c>
      <c r="K512" s="16">
        <f>ROUND($B512*K$505,2)</f>
        <v>-0.09</v>
      </c>
      <c r="L512" s="16">
        <f>IF($B512&gt;K$228,ROUND(($B512-K$228)*L$505,2),0)</f>
        <v>0</v>
      </c>
      <c r="M512" s="8"/>
      <c r="N512" s="8">
        <f>SUM(K512:L512)</f>
        <v>-0.09</v>
      </c>
      <c r="O512" s="8"/>
      <c r="P512" s="8"/>
      <c r="Q512" s="8"/>
      <c r="R512" s="8"/>
      <c r="S512" s="17">
        <f>ROUND($B512*S$505*S511,2)</f>
        <v>0</v>
      </c>
      <c r="T512" s="17">
        <f t="shared" si="33"/>
        <v>0</v>
      </c>
      <c r="U512" s="17">
        <f t="shared" si="33"/>
        <v>0</v>
      </c>
      <c r="V512" s="17">
        <f t="shared" si="33"/>
        <v>-0.01</v>
      </c>
      <c r="W512" s="17">
        <f t="shared" si="33"/>
        <v>0</v>
      </c>
      <c r="X512" s="17">
        <f t="shared" si="33"/>
        <v>-0.01</v>
      </c>
      <c r="Y512" s="17">
        <f t="shared" si="33"/>
        <v>0</v>
      </c>
      <c r="Z512" s="17">
        <f t="shared" si="33"/>
        <v>0</v>
      </c>
      <c r="AA512" s="17">
        <f t="shared" si="33"/>
        <v>0</v>
      </c>
      <c r="AB512" s="19">
        <f>SUM(U507:AA507)</f>
        <v>133</v>
      </c>
      <c r="AC512" s="67" t="str">
        <f>+F512</f>
        <v>UW</v>
      </c>
    </row>
    <row r="513" spans="1:29" x14ac:dyDescent="0.2">
      <c r="B513" s="126">
        <v>-1</v>
      </c>
      <c r="C513" s="9"/>
      <c r="F513" s="12"/>
      <c r="G513" s="12"/>
      <c r="H513" s="12"/>
      <c r="I513" s="19"/>
      <c r="J513" s="12"/>
      <c r="K513" s="12"/>
      <c r="L513" s="12"/>
      <c r="M513" s="12"/>
      <c r="N513" s="12"/>
      <c r="O513" s="12"/>
      <c r="P513" s="12"/>
      <c r="Q513" s="12"/>
      <c r="R513" s="12"/>
      <c r="S513" s="50">
        <v>0.25</v>
      </c>
      <c r="T513" s="12"/>
      <c r="U513" s="12"/>
      <c r="V513" s="12"/>
      <c r="W513" s="12"/>
      <c r="X513" s="12"/>
      <c r="Y513" s="12"/>
      <c r="Z513" s="12"/>
      <c r="AA513" s="12"/>
    </row>
    <row r="514" spans="1:29" x14ac:dyDescent="0.2">
      <c r="A514" s="53"/>
      <c r="B514" s="103">
        <f>IF(AND('AES Indiana Bill Calc.'!$D$17="UW",'AES Indiana Bill Calc.'!$D$18="Yes 25%"),'AES Indiana Bill Calc.'!$D$19,-1)</f>
        <v>-1</v>
      </c>
      <c r="C514" s="1" t="s">
        <v>140</v>
      </c>
      <c r="F514" s="36" t="s">
        <v>60</v>
      </c>
      <c r="G514" s="17">
        <f>SUM(J514:M514,O514:P514,R514:AA514)</f>
        <v>39.89</v>
      </c>
      <c r="H514" s="19" t="e">
        <f>IF(ISBLANK(B514),0,+#REF!/B514)</f>
        <v>#REF!</v>
      </c>
      <c r="I514" s="19"/>
      <c r="J514" s="16">
        <f>IF(ISBLANK(B514),0,+J$505)</f>
        <v>40</v>
      </c>
      <c r="K514" s="16">
        <f>ROUND($B514*K$505,2)</f>
        <v>-0.09</v>
      </c>
      <c r="L514" s="16">
        <f>IF($B514&gt;K$228,ROUND(($B514-K$228)*L$505,2),0)</f>
        <v>0</v>
      </c>
      <c r="M514" s="8"/>
      <c r="N514" s="8">
        <f>SUM(K514:L514)</f>
        <v>-0.09</v>
      </c>
      <c r="O514" s="8"/>
      <c r="P514" s="8"/>
      <c r="Q514" s="8"/>
      <c r="R514" s="8"/>
      <c r="S514" s="17">
        <f>ROUND($B514*S$505*S513,2)</f>
        <v>0</v>
      </c>
      <c r="T514" s="17">
        <f t="shared" si="33"/>
        <v>0</v>
      </c>
      <c r="U514" s="17">
        <f t="shared" si="33"/>
        <v>0</v>
      </c>
      <c r="V514" s="17">
        <f t="shared" si="33"/>
        <v>-0.01</v>
      </c>
      <c r="W514" s="17">
        <f t="shared" si="33"/>
        <v>0</v>
      </c>
      <c r="X514" s="17">
        <f t="shared" si="33"/>
        <v>-0.01</v>
      </c>
      <c r="Y514" s="17">
        <f t="shared" si="33"/>
        <v>0</v>
      </c>
      <c r="Z514" s="17">
        <f t="shared" si="33"/>
        <v>0</v>
      </c>
      <c r="AA514" s="17">
        <f t="shared" si="33"/>
        <v>0</v>
      </c>
      <c r="AB514" s="19">
        <f>SUM(U509:AA509)</f>
        <v>0</v>
      </c>
      <c r="AC514" s="67" t="str">
        <f>+F514</f>
        <v>UW</v>
      </c>
    </row>
    <row r="515" spans="1:29" x14ac:dyDescent="0.2">
      <c r="B515" s="126">
        <v>-1</v>
      </c>
      <c r="C515" s="9"/>
      <c r="F515" s="12"/>
      <c r="G515" s="12"/>
      <c r="H515" s="12"/>
      <c r="I515" s="19"/>
      <c r="J515" s="12"/>
      <c r="K515" s="12"/>
      <c r="L515" s="12"/>
      <c r="M515" s="12"/>
      <c r="N515" s="12"/>
      <c r="O515" s="12"/>
      <c r="P515" s="12"/>
      <c r="Q515" s="12"/>
      <c r="R515" s="12"/>
      <c r="S515" s="50">
        <v>0.1</v>
      </c>
      <c r="T515" s="12"/>
      <c r="U515" s="12"/>
      <c r="V515" s="12"/>
      <c r="W515" s="12"/>
      <c r="X515" s="12"/>
      <c r="Y515" s="12"/>
      <c r="Z515" s="12"/>
      <c r="AA515" s="12"/>
    </row>
    <row r="516" spans="1:29" x14ac:dyDescent="0.2">
      <c r="A516" s="53"/>
      <c r="B516" s="103">
        <f>IF(AND('AES Indiana Bill Calc.'!$D$17="UW",'AES Indiana Bill Calc.'!$D$18="Yes 10%"),'AES Indiana Bill Calc.'!$D$19,-1)</f>
        <v>-1</v>
      </c>
      <c r="C516" s="1" t="s">
        <v>154</v>
      </c>
      <c r="F516" s="36" t="s">
        <v>60</v>
      </c>
      <c r="G516" s="17">
        <f>SUM(J516:M516,O516:P516,R516:AA516)</f>
        <v>39.89</v>
      </c>
      <c r="H516" s="19" t="e">
        <f>IF(ISBLANK(B516),0,+#REF!/B516)</f>
        <v>#REF!</v>
      </c>
      <c r="I516" s="19"/>
      <c r="J516" s="16">
        <f>IF(ISBLANK(B516),0,+J$505)</f>
        <v>40</v>
      </c>
      <c r="K516" s="16">
        <f>ROUND($B516*K$505,2)</f>
        <v>-0.09</v>
      </c>
      <c r="L516" s="16">
        <f>IF($B516&gt;K$228,ROUND(($B516-K$228)*L$505,2),0)</f>
        <v>0</v>
      </c>
      <c r="M516" s="8"/>
      <c r="N516" s="8">
        <f>SUM(K516:L516)</f>
        <v>-0.09</v>
      </c>
      <c r="O516" s="8"/>
      <c r="P516" s="8"/>
      <c r="Q516" s="8"/>
      <c r="R516" s="8"/>
      <c r="S516" s="17">
        <f>ROUND($B516*S$505*S515,2)</f>
        <v>0</v>
      </c>
      <c r="T516" s="17">
        <f t="shared" si="33"/>
        <v>0</v>
      </c>
      <c r="U516" s="17">
        <f t="shared" si="33"/>
        <v>0</v>
      </c>
      <c r="V516" s="17">
        <f t="shared" si="33"/>
        <v>-0.01</v>
      </c>
      <c r="W516" s="17">
        <f t="shared" si="33"/>
        <v>0</v>
      </c>
      <c r="X516" s="17">
        <f t="shared" si="33"/>
        <v>-0.01</v>
      </c>
      <c r="Y516" s="17">
        <f t="shared" si="33"/>
        <v>0</v>
      </c>
      <c r="Z516" s="17">
        <f t="shared" si="33"/>
        <v>0</v>
      </c>
      <c r="AA516" s="17">
        <f t="shared" si="33"/>
        <v>0</v>
      </c>
      <c r="AB516" s="19">
        <f>SUM(U511:AA511)</f>
        <v>0</v>
      </c>
      <c r="AC516" s="67" t="str">
        <f>+F516</f>
        <v>UW</v>
      </c>
    </row>
    <row r="517" spans="1:29" x14ac:dyDescent="0.2">
      <c r="B517" s="126">
        <v>-1</v>
      </c>
      <c r="C517" s="9"/>
      <c r="F517" s="12"/>
      <c r="G517" s="12"/>
      <c r="H517" s="12"/>
      <c r="I517" s="19"/>
      <c r="J517" s="12"/>
      <c r="K517" s="12"/>
      <c r="L517" s="12"/>
      <c r="M517" s="12"/>
      <c r="N517" s="12"/>
      <c r="O517" s="12"/>
      <c r="P517" s="12"/>
      <c r="Q517" s="12"/>
      <c r="R517" s="12"/>
      <c r="S517" s="50">
        <v>0</v>
      </c>
      <c r="T517" s="12"/>
      <c r="U517" s="12"/>
      <c r="V517" s="12"/>
      <c r="W517" s="12"/>
      <c r="X517" s="12"/>
      <c r="Y517" s="12"/>
      <c r="Z517" s="12"/>
      <c r="AA517" s="12"/>
    </row>
    <row r="518" spans="1:29" x14ac:dyDescent="0.2">
      <c r="A518" s="53"/>
      <c r="B518" s="103">
        <f>IF(AND('AES Indiana Bill Calc.'!$D$17="UW",'AES Indiana Bill Calc.'!$D$18="No"),'AES Indiana Bill Calc.'!$D$19,-1)</f>
        <v>-1</v>
      </c>
      <c r="C518" s="1" t="s">
        <v>137</v>
      </c>
      <c r="F518" s="36" t="s">
        <v>60</v>
      </c>
      <c r="G518" s="17">
        <f>SUM(J518:M518,O518:P518,R518:AA518)</f>
        <v>39.89</v>
      </c>
      <c r="H518" s="19" t="e">
        <f>IF(ISBLANK(B518),0,+#REF!/B518)</f>
        <v>#REF!</v>
      </c>
      <c r="I518" s="19"/>
      <c r="J518" s="16">
        <f>IF(ISBLANK(B518),0,+J$505)</f>
        <v>40</v>
      </c>
      <c r="K518" s="16">
        <f>ROUND($B518*K$505,2)</f>
        <v>-0.09</v>
      </c>
      <c r="L518" s="16">
        <f>IF($B518&gt;K$228,ROUND(($B518-K$228)*L$505,2),0)</f>
        <v>0</v>
      </c>
      <c r="M518" s="8"/>
      <c r="N518" s="8">
        <f>SUM(K518:L518)</f>
        <v>-0.09</v>
      </c>
      <c r="O518" s="8"/>
      <c r="P518" s="8"/>
      <c r="Q518" s="8"/>
      <c r="R518" s="8"/>
      <c r="S518" s="17">
        <f>ROUND($B518*S$505*S517,2)</f>
        <v>0</v>
      </c>
      <c r="T518" s="17">
        <f t="shared" si="33"/>
        <v>0</v>
      </c>
      <c r="U518" s="17">
        <f t="shared" si="33"/>
        <v>0</v>
      </c>
      <c r="V518" s="17">
        <f t="shared" si="33"/>
        <v>-0.01</v>
      </c>
      <c r="W518" s="17">
        <f t="shared" si="33"/>
        <v>0</v>
      </c>
      <c r="X518" s="17">
        <f t="shared" si="33"/>
        <v>-0.01</v>
      </c>
      <c r="Y518" s="17">
        <f t="shared" si="33"/>
        <v>0</v>
      </c>
      <c r="Z518" s="17">
        <f t="shared" si="33"/>
        <v>0</v>
      </c>
      <c r="AA518" s="17">
        <f t="shared" si="33"/>
        <v>0</v>
      </c>
      <c r="AB518" s="19">
        <f>SUM(U513:AA513)</f>
        <v>0</v>
      </c>
      <c r="AC518" s="67" t="str">
        <f>+F518</f>
        <v>UW</v>
      </c>
    </row>
    <row r="519" spans="1:29" ht="13.5" thickBot="1" x14ac:dyDescent="0.25">
      <c r="A519" s="21"/>
      <c r="B519" s="125">
        <v>-1</v>
      </c>
      <c r="C519" s="28"/>
      <c r="D519" s="21"/>
      <c r="F519" s="21"/>
      <c r="G519" s="23"/>
      <c r="H519" s="25"/>
      <c r="I519" s="19"/>
      <c r="J519" s="24"/>
      <c r="K519" s="23"/>
      <c r="L519" s="24"/>
      <c r="M519" s="24"/>
      <c r="N519" s="24"/>
      <c r="O519" s="24"/>
      <c r="P519" s="24"/>
      <c r="Q519" s="24"/>
      <c r="R519" s="24"/>
      <c r="S519" s="23"/>
      <c r="T519" s="23"/>
      <c r="U519" s="23"/>
      <c r="V519" s="23"/>
      <c r="W519" s="23"/>
      <c r="X519" s="23"/>
      <c r="Y519" s="23"/>
      <c r="Z519" s="23"/>
      <c r="AA519" s="23"/>
      <c r="AB519" s="25"/>
    </row>
    <row r="520" spans="1:29" x14ac:dyDescent="0.2">
      <c r="B520" s="126">
        <v>-1</v>
      </c>
      <c r="G520" s="17"/>
      <c r="H520" s="19"/>
      <c r="I520" s="19"/>
      <c r="J520" s="8"/>
      <c r="K520" s="17"/>
      <c r="L520" s="8"/>
      <c r="M520" s="8"/>
      <c r="N520" s="8"/>
      <c r="O520" s="8"/>
      <c r="P520" s="8"/>
      <c r="Q520" s="8"/>
      <c r="R520" s="8"/>
      <c r="S520" s="17"/>
      <c r="T520" s="17"/>
      <c r="U520" s="17"/>
      <c r="V520" s="27">
        <f>+T10</f>
        <v>0</v>
      </c>
      <c r="W520" s="6" t="s">
        <v>162</v>
      </c>
      <c r="X520" s="17"/>
      <c r="Y520" s="17"/>
      <c r="Z520" s="17"/>
      <c r="AA520" s="17"/>
      <c r="AB520" s="19" t="e">
        <f>+AB$532-V$532+#REF!</f>
        <v>#REF!</v>
      </c>
    </row>
    <row r="521" spans="1:29" x14ac:dyDescent="0.2">
      <c r="B521" s="126">
        <v>-1</v>
      </c>
      <c r="L521" t="s">
        <v>183</v>
      </c>
      <c r="M521" t="s">
        <v>183</v>
      </c>
      <c r="S521" s="6"/>
      <c r="T521" s="6"/>
      <c r="U521" s="6"/>
      <c r="V521" s="27">
        <f>+T12</f>
        <v>0</v>
      </c>
      <c r="W521" s="6" t="s">
        <v>144</v>
      </c>
      <c r="X521" s="6"/>
      <c r="Y521" s="6"/>
      <c r="Z521" s="6"/>
      <c r="AA521" s="6"/>
      <c r="AB521" s="19">
        <f>+AB$532-V$532+V520</f>
        <v>1.3756999999999998E-2</v>
      </c>
    </row>
    <row r="522" spans="1:29" x14ac:dyDescent="0.2">
      <c r="B522" s="126">
        <v>-1</v>
      </c>
      <c r="S522" s="6"/>
      <c r="T522" s="6"/>
      <c r="U522" s="6"/>
      <c r="V522" s="27">
        <f>+T14</f>
        <v>0</v>
      </c>
      <c r="W522" s="6" t="s">
        <v>145</v>
      </c>
      <c r="X522" s="6"/>
      <c r="Y522" s="6"/>
      <c r="Z522" s="6"/>
      <c r="AA522" s="6"/>
      <c r="AB522" s="19">
        <f>+AB$532-V$532+V521</f>
        <v>1.3756999999999998E-2</v>
      </c>
    </row>
    <row r="523" spans="1:29" x14ac:dyDescent="0.2">
      <c r="B523" s="126">
        <v>-1</v>
      </c>
      <c r="S523" s="6"/>
      <c r="T523" s="6"/>
      <c r="U523" s="6"/>
      <c r="V523" s="27">
        <f>T16</f>
        <v>0</v>
      </c>
      <c r="W523" s="6" t="s">
        <v>146</v>
      </c>
      <c r="X523" s="6"/>
      <c r="Y523" s="6"/>
      <c r="Z523" s="6"/>
      <c r="AA523" s="6"/>
      <c r="AB523" s="19">
        <f>+AB$532-V$532+V522</f>
        <v>1.3756999999999998E-2</v>
      </c>
    </row>
    <row r="524" spans="1:29" x14ac:dyDescent="0.2">
      <c r="B524" s="126">
        <v>-1</v>
      </c>
      <c r="S524" s="6"/>
      <c r="T524" s="6"/>
      <c r="U524" s="6"/>
      <c r="V524" s="27">
        <f>$T$19</f>
        <v>0</v>
      </c>
      <c r="W524" s="6" t="s">
        <v>147</v>
      </c>
      <c r="X524" s="6"/>
      <c r="Y524" s="6"/>
      <c r="Z524" s="6"/>
      <c r="AA524" s="6"/>
      <c r="AB524" s="19"/>
    </row>
    <row r="525" spans="1:29" x14ac:dyDescent="0.2">
      <c r="B525" s="126">
        <v>-1</v>
      </c>
      <c r="S525" s="6"/>
      <c r="T525" s="6"/>
      <c r="U525" s="6"/>
      <c r="V525" s="27">
        <f>$T$21</f>
        <v>0</v>
      </c>
      <c r="W525" s="6" t="s">
        <v>148</v>
      </c>
      <c r="X525" s="6"/>
      <c r="Y525" s="6"/>
      <c r="Z525" s="6"/>
      <c r="AA525" s="6"/>
      <c r="AB525" s="19"/>
    </row>
    <row r="526" spans="1:29" x14ac:dyDescent="0.2">
      <c r="B526" s="126">
        <v>-1</v>
      </c>
      <c r="S526" s="6"/>
      <c r="T526" s="6"/>
      <c r="U526" s="6"/>
      <c r="V526" s="27">
        <f>$T$23</f>
        <v>-4.0299999999999998E-4</v>
      </c>
      <c r="W526" s="6" t="s">
        <v>149</v>
      </c>
      <c r="X526" s="6"/>
      <c r="Y526" s="6"/>
      <c r="Z526" s="6"/>
      <c r="AA526" s="6"/>
      <c r="AB526" s="19"/>
    </row>
    <row r="527" spans="1:29" x14ac:dyDescent="0.2">
      <c r="B527" s="126">
        <v>-1</v>
      </c>
      <c r="S527" s="6"/>
      <c r="T527" s="6"/>
      <c r="U527" s="6"/>
      <c r="V527" s="27">
        <f>$T$25</f>
        <v>0</v>
      </c>
      <c r="W527" s="6" t="s">
        <v>150</v>
      </c>
      <c r="X527" s="6"/>
      <c r="Y527" s="6"/>
      <c r="Z527" s="6"/>
      <c r="AA527" s="6"/>
      <c r="AB527" s="19"/>
    </row>
    <row r="528" spans="1:29" x14ac:dyDescent="0.2">
      <c r="B528" s="126">
        <v>-1</v>
      </c>
      <c r="S528" s="6"/>
      <c r="T528" s="6"/>
      <c r="U528" s="6"/>
      <c r="V528" s="19">
        <f>T27</f>
        <v>0</v>
      </c>
      <c r="W528" s="6" t="s">
        <v>151</v>
      </c>
      <c r="X528" s="6"/>
      <c r="Y528" s="6"/>
      <c r="Z528" s="6"/>
      <c r="AA528" s="6"/>
      <c r="AB528" s="19"/>
    </row>
    <row r="529" spans="1:29" x14ac:dyDescent="0.2">
      <c r="B529" s="126">
        <v>-1</v>
      </c>
      <c r="S529" s="6"/>
      <c r="T529" s="6"/>
      <c r="U529" s="6"/>
      <c r="V529" s="19">
        <f>T29</f>
        <v>3.3769999999999998E-3</v>
      </c>
      <c r="W529" s="6" t="s">
        <v>285</v>
      </c>
      <c r="X529" s="6"/>
      <c r="Y529" s="6"/>
      <c r="Z529" s="6"/>
      <c r="AA529" s="6"/>
      <c r="AB529" s="19"/>
    </row>
    <row r="530" spans="1:29" x14ac:dyDescent="0.2">
      <c r="B530" s="126">
        <v>-1</v>
      </c>
      <c r="S530" s="6"/>
      <c r="T530" s="6"/>
      <c r="U530" s="6"/>
      <c r="V530" s="19">
        <f>T31</f>
        <v>7.6290000000000004E-3</v>
      </c>
      <c r="W530" s="6" t="s">
        <v>162</v>
      </c>
      <c r="X530" s="6"/>
      <c r="Y530" s="6"/>
      <c r="Z530" s="6"/>
      <c r="AA530" s="6"/>
      <c r="AB530" s="19"/>
    </row>
    <row r="531" spans="1:29" x14ac:dyDescent="0.2">
      <c r="B531" s="126"/>
      <c r="S531" s="6"/>
      <c r="T531" s="6"/>
      <c r="U531" s="6"/>
      <c r="V531" s="19">
        <f>T33</f>
        <v>9.0039999999999999E-3</v>
      </c>
      <c r="W531" s="6" t="s">
        <v>144</v>
      </c>
      <c r="X531" s="6"/>
      <c r="Y531" s="6"/>
      <c r="Z531" s="6"/>
      <c r="AA531" s="6"/>
      <c r="AB531" s="19"/>
    </row>
    <row r="532" spans="1:29" x14ac:dyDescent="0.2">
      <c r="B532" s="126">
        <v>-1</v>
      </c>
      <c r="C532" s="33" t="s">
        <v>184</v>
      </c>
      <c r="D532" s="70"/>
      <c r="F532" s="70"/>
      <c r="G532" s="70"/>
      <c r="H532" s="70"/>
      <c r="I532" s="70"/>
      <c r="J532" s="157">
        <v>120</v>
      </c>
      <c r="K532" s="158">
        <v>4.1430000000000002E-2</v>
      </c>
      <c r="L532" s="161"/>
      <c r="M532" s="157">
        <v>24.74</v>
      </c>
      <c r="N532" s="72"/>
      <c r="O532" s="157">
        <v>24.74</v>
      </c>
      <c r="P532" s="72"/>
      <c r="Q532" s="72"/>
      <c r="R532" s="5"/>
      <c r="S532" s="27">
        <f>+M$5</f>
        <v>1.8E-3</v>
      </c>
      <c r="T532" s="27">
        <f t="shared" ref="T532:AA532" si="34">+R$5</f>
        <v>2.3900000000000001E-4</v>
      </c>
      <c r="U532" s="27">
        <f t="shared" si="34"/>
        <v>2.098E-3</v>
      </c>
      <c r="V532" s="27">
        <f t="shared" si="34"/>
        <v>1.5089999999999999E-2</v>
      </c>
      <c r="W532" s="27">
        <f t="shared" si="34"/>
        <v>0</v>
      </c>
      <c r="X532" s="27">
        <f t="shared" si="34"/>
        <v>8.1969999999999994E-3</v>
      </c>
      <c r="Y532" s="27">
        <f t="shared" si="34"/>
        <v>-4.8200000000000001E-4</v>
      </c>
      <c r="Z532" s="27">
        <f t="shared" si="34"/>
        <v>3.9439999999999996E-3</v>
      </c>
      <c r="AA532" s="27">
        <f t="shared" si="34"/>
        <v>6.6600000000000003E-4</v>
      </c>
      <c r="AB532" s="19">
        <f>SUM(U532:Z532)</f>
        <v>2.8846999999999998E-2</v>
      </c>
    </row>
    <row r="533" spans="1:29" x14ac:dyDescent="0.2">
      <c r="A533" s="1"/>
      <c r="B533" s="126">
        <v>-1</v>
      </c>
      <c r="C533" s="73">
        <v>50</v>
      </c>
      <c r="D533" s="70"/>
      <c r="F533" s="70"/>
      <c r="G533" s="70"/>
      <c r="H533" s="70"/>
      <c r="I533" s="70"/>
      <c r="J533" s="70"/>
      <c r="K533" s="70"/>
      <c r="M533" s="73">
        <v>500</v>
      </c>
      <c r="N533" s="73"/>
      <c r="O533" s="70"/>
      <c r="P533" s="70"/>
      <c r="Q533" s="70"/>
      <c r="R533" s="12" t="s">
        <v>185</v>
      </c>
    </row>
    <row r="534" spans="1:29" x14ac:dyDescent="0.2">
      <c r="B534" s="126">
        <v>-1</v>
      </c>
      <c r="D534" s="12" t="s">
        <v>186</v>
      </c>
      <c r="F534" s="12"/>
      <c r="J534" s="12" t="s">
        <v>127</v>
      </c>
      <c r="K534" s="12" t="s">
        <v>187</v>
      </c>
      <c r="N534" s="130" t="s">
        <v>128</v>
      </c>
      <c r="O534" s="15" t="s">
        <v>30</v>
      </c>
      <c r="P534" s="15"/>
      <c r="Q534" s="140" t="s">
        <v>163</v>
      </c>
      <c r="R534" s="12" t="s">
        <v>186</v>
      </c>
      <c r="S534" s="12">
        <v>21</v>
      </c>
      <c r="T534" s="12">
        <v>6</v>
      </c>
      <c r="U534" s="12">
        <v>3</v>
      </c>
      <c r="V534" s="12">
        <v>22</v>
      </c>
      <c r="W534" s="12">
        <v>13</v>
      </c>
      <c r="X534" s="12">
        <v>20</v>
      </c>
      <c r="Y534" s="12">
        <v>24</v>
      </c>
      <c r="Z534" s="12">
        <v>25</v>
      </c>
      <c r="AA534" s="12">
        <v>26</v>
      </c>
    </row>
    <row r="535" spans="1:29" x14ac:dyDescent="0.2">
      <c r="A535" s="13"/>
      <c r="B535" s="126">
        <v>-1</v>
      </c>
      <c r="C535" s="14" t="s">
        <v>182</v>
      </c>
      <c r="D535" s="13" t="s">
        <v>188</v>
      </c>
      <c r="E535" s="130" t="s">
        <v>189</v>
      </c>
      <c r="F535" s="13" t="s">
        <v>131</v>
      </c>
      <c r="G535" s="13" t="s">
        <v>132</v>
      </c>
      <c r="H535" s="13" t="s">
        <v>133</v>
      </c>
      <c r="I535" s="12"/>
      <c r="J535" s="13" t="s">
        <v>134</v>
      </c>
      <c r="K535" s="13" t="s">
        <v>134</v>
      </c>
      <c r="O535" s="13" t="s">
        <v>190</v>
      </c>
      <c r="P535" s="13" t="s">
        <v>136</v>
      </c>
      <c r="Q535" s="13"/>
      <c r="R535" s="13" t="s">
        <v>191</v>
      </c>
      <c r="S535" s="13" t="s">
        <v>96</v>
      </c>
      <c r="T535" s="13" t="s">
        <v>36</v>
      </c>
      <c r="U535" s="136" t="s">
        <v>38</v>
      </c>
      <c r="V535" s="13" t="s">
        <v>97</v>
      </c>
      <c r="W535" s="13" t="s">
        <v>98</v>
      </c>
      <c r="X535" s="13" t="s">
        <v>99</v>
      </c>
      <c r="Y535" s="136" t="s">
        <v>44</v>
      </c>
      <c r="Z535" s="136" t="s">
        <v>46</v>
      </c>
      <c r="AA535" s="136" t="s">
        <v>48</v>
      </c>
      <c r="AB535" s="66" t="s">
        <v>100</v>
      </c>
    </row>
    <row r="536" spans="1:29" x14ac:dyDescent="0.2">
      <c r="B536" s="126">
        <v>-1</v>
      </c>
      <c r="C536" s="34"/>
      <c r="D536" s="18"/>
      <c r="F536" s="36"/>
      <c r="G536" s="12"/>
      <c r="H536" s="12"/>
      <c r="I536" s="12"/>
      <c r="J536" s="12"/>
      <c r="K536" s="12"/>
      <c r="O536" s="12"/>
      <c r="P536" s="12"/>
      <c r="Q536" s="12"/>
      <c r="R536" s="38" t="e">
        <f>INDEX('Pwr Factor'!$A$1:$B$52,MATCH((D537),'Pwr Factor'!$A$1:$A$52,0),2)</f>
        <v>#N/A</v>
      </c>
      <c r="S536" s="50">
        <v>1</v>
      </c>
      <c r="T536" s="12"/>
      <c r="U536" s="12"/>
      <c r="V536" s="12"/>
      <c r="W536" s="12"/>
      <c r="X536" s="12"/>
      <c r="Y536" s="12"/>
      <c r="Z536" s="12"/>
      <c r="AA536" s="12"/>
    </row>
    <row r="537" spans="1:29" x14ac:dyDescent="0.2">
      <c r="A537" s="1" t="s">
        <v>138</v>
      </c>
      <c r="B537" s="103">
        <f>IF(AND('AES Indiana Bill Calc.'!$D$17="SL",'AES Indiana Bill Calc.'!$D$18="Yes 100%",'AES Indiana Bill Calc.'!$D$20="No"),'AES Indiana Bill Calc.'!$D$19,-1)</f>
        <v>-1</v>
      </c>
      <c r="C537" s="103">
        <f>MAX(E537,$C$533)</f>
        <v>50</v>
      </c>
      <c r="D537" s="103" t="b">
        <f>IF(AND('AES Indiana Bill Calc.'!$D$17="SL",'AES Indiana Bill Calc.'!$D$18="Yes 100%",'AES Indiana Bill Calc.'!$D$20="No"),'AES Indiana Bill Calc.'!$D$22)</f>
        <v>0</v>
      </c>
      <c r="E537" s="103" t="b">
        <f>IF(AND('AES Indiana Bill Calc.'!$D$17="SL",'AES Indiana Bill Calc.'!$D$18="Yes 100%",'AES Indiana Bill Calc.'!$D$20="No"),'AES Indiana Bill Calc.'!$D$21)</f>
        <v>0</v>
      </c>
      <c r="F537" s="36" t="s">
        <v>61</v>
      </c>
      <c r="G537" s="17" t="e">
        <f>SUM(J537:M537,O537:P537,R537:AA537)</f>
        <v>#N/A</v>
      </c>
      <c r="H537" s="19" t="e">
        <f>IF(ISBLANK(B537),0,+#REF!/B537)</f>
        <v>#REF!</v>
      </c>
      <c r="I537" s="19"/>
      <c r="J537" s="16">
        <f>IF(ISBLANK(B537),0,+J$532)</f>
        <v>120</v>
      </c>
      <c r="K537" s="17">
        <f>ROUND($B537*K$532,2)</f>
        <v>-0.04</v>
      </c>
      <c r="N537" s="18">
        <f>K537</f>
        <v>-0.04</v>
      </c>
      <c r="O537" s="17">
        <f>IF($C537&gt;M$533,ROUND(M$533*M$532,2),ROUND($C537*M$532,2))</f>
        <v>1237</v>
      </c>
      <c r="P537" s="17">
        <f>IF($C537&gt;M$533,ROUND(($C537-M$533)*O$532,2),0)</f>
        <v>0</v>
      </c>
      <c r="Q537" s="17">
        <f>SUM(O537:P537)</f>
        <v>1237</v>
      </c>
      <c r="R537" s="16" t="e">
        <f>ROUND(SUM(N537:P537)*(R536-1),2)</f>
        <v>#N/A</v>
      </c>
      <c r="S537" s="17">
        <f>ROUND($B537*S$532*S536,2)</f>
        <v>0</v>
      </c>
      <c r="T537" s="17">
        <f t="shared" ref="T537:AA545" si="35">ROUND($B537*T$532,2)</f>
        <v>0</v>
      </c>
      <c r="U537" s="17">
        <f t="shared" si="35"/>
        <v>0</v>
      </c>
      <c r="V537" s="17">
        <f t="shared" si="35"/>
        <v>-0.02</v>
      </c>
      <c r="W537" s="17">
        <f t="shared" si="35"/>
        <v>0</v>
      </c>
      <c r="X537" s="17">
        <f t="shared" si="35"/>
        <v>-0.01</v>
      </c>
      <c r="Y537" s="17">
        <f t="shared" si="35"/>
        <v>0</v>
      </c>
      <c r="Z537" s="17">
        <f t="shared" si="35"/>
        <v>0</v>
      </c>
      <c r="AA537" s="17">
        <f t="shared" si="35"/>
        <v>0</v>
      </c>
      <c r="AB537" s="19">
        <f>SUM(U532:AA532)</f>
        <v>2.9512999999999998E-2</v>
      </c>
      <c r="AC537" s="67" t="str">
        <f>+F537</f>
        <v>SL</v>
      </c>
    </row>
    <row r="538" spans="1:29" x14ac:dyDescent="0.2">
      <c r="A538" s="9"/>
      <c r="B538" s="126">
        <v>-1</v>
      </c>
      <c r="D538" s="18"/>
      <c r="E538" s="34"/>
      <c r="F538" s="36"/>
      <c r="G538" s="12"/>
      <c r="H538" s="12"/>
      <c r="I538" s="12"/>
      <c r="J538" s="12"/>
      <c r="K538" s="12"/>
      <c r="O538" s="12"/>
      <c r="P538" s="12"/>
      <c r="Q538" s="12"/>
      <c r="R538" s="38" t="e">
        <f>INDEX('Pwr Factor'!$A$1:$B$52,MATCH((D539),'Pwr Factor'!$A$1:$A$52,0),2)</f>
        <v>#N/A</v>
      </c>
      <c r="S538" s="50">
        <v>0.5</v>
      </c>
      <c r="T538" s="12"/>
      <c r="U538" s="12"/>
      <c r="V538" s="12"/>
      <c r="W538" s="12"/>
      <c r="X538" s="12"/>
      <c r="Y538" s="12"/>
      <c r="Z538" s="12"/>
      <c r="AA538" s="12"/>
    </row>
    <row r="539" spans="1:29" x14ac:dyDescent="0.2">
      <c r="A539" s="1" t="s">
        <v>139</v>
      </c>
      <c r="B539" s="103">
        <f>IF(AND('AES Indiana Bill Calc.'!$D$17="SL",'AES Indiana Bill Calc.'!$D$18="Yes 50%",'AES Indiana Bill Calc.'!$D$20="No"),'AES Indiana Bill Calc.'!$D$19,-1)</f>
        <v>-1</v>
      </c>
      <c r="C539" s="103">
        <f>MAX(E539,$C$533)</f>
        <v>50</v>
      </c>
      <c r="D539" s="103" t="b">
        <f>IF(AND('AES Indiana Bill Calc.'!$D$17="SL",'AES Indiana Bill Calc.'!$D$18="Yes 50%",'AES Indiana Bill Calc.'!$D$20="No"),'AES Indiana Bill Calc.'!$D$22)</f>
        <v>0</v>
      </c>
      <c r="E539" s="103" t="b">
        <f>IF(AND('AES Indiana Bill Calc.'!$D$17="SL",'AES Indiana Bill Calc.'!$D$18="Yes 50%",'AES Indiana Bill Calc.'!$D$20="No"),'AES Indiana Bill Calc.'!$D$21)</f>
        <v>0</v>
      </c>
      <c r="F539" s="36" t="s">
        <v>61</v>
      </c>
      <c r="G539" s="17" t="e">
        <f>SUM(J539:M539,O539:P539,R539:AA539)</f>
        <v>#N/A</v>
      </c>
      <c r="H539" s="19" t="e">
        <f>IF(ISBLANK(B539),0,+#REF!/B539)</f>
        <v>#REF!</v>
      </c>
      <c r="I539" s="19"/>
      <c r="J539" s="16">
        <f>IF(ISBLANK(B539),0,+J$532)</f>
        <v>120</v>
      </c>
      <c r="K539" s="17">
        <f>ROUND($B539*K$532,2)</f>
        <v>-0.04</v>
      </c>
      <c r="N539" s="18">
        <f>K539</f>
        <v>-0.04</v>
      </c>
      <c r="O539" s="17">
        <f>IF($C539&gt;M$533,ROUND(M$533*M$532,2),ROUND($C539*M$532,2))</f>
        <v>1237</v>
      </c>
      <c r="P539" s="17">
        <f>IF($C539&gt;M$533,ROUND(($C539-M$533)*O$532,2),0)</f>
        <v>0</v>
      </c>
      <c r="Q539" s="17">
        <f>SUM(O539:P539)</f>
        <v>1237</v>
      </c>
      <c r="R539" s="16" t="e">
        <f>ROUND(SUM(N539:P539)*(R538-1),2)</f>
        <v>#N/A</v>
      </c>
      <c r="S539" s="17">
        <f>ROUND($B539*S$532*S538,2)</f>
        <v>0</v>
      </c>
      <c r="T539" s="17">
        <f t="shared" si="35"/>
        <v>0</v>
      </c>
      <c r="U539" s="17">
        <f t="shared" si="35"/>
        <v>0</v>
      </c>
      <c r="V539" s="17">
        <f t="shared" si="35"/>
        <v>-0.02</v>
      </c>
      <c r="W539" s="17">
        <f t="shared" si="35"/>
        <v>0</v>
      </c>
      <c r="X539" s="17">
        <f t="shared" si="35"/>
        <v>-0.01</v>
      </c>
      <c r="Y539" s="17">
        <f t="shared" si="35"/>
        <v>0</v>
      </c>
      <c r="Z539" s="17">
        <f t="shared" si="35"/>
        <v>0</v>
      </c>
      <c r="AA539" s="17">
        <f t="shared" si="35"/>
        <v>0</v>
      </c>
      <c r="AB539" s="19">
        <f>SUM(U534:AA534)</f>
        <v>133</v>
      </c>
      <c r="AC539" s="67" t="str">
        <f>+F539</f>
        <v>SL</v>
      </c>
    </row>
    <row r="540" spans="1:29" x14ac:dyDescent="0.2">
      <c r="A540" s="9"/>
      <c r="B540" s="126">
        <v>-1</v>
      </c>
      <c r="D540" s="18"/>
      <c r="E540" s="34"/>
      <c r="F540" s="36"/>
      <c r="G540" s="12"/>
      <c r="H540" s="12"/>
      <c r="I540" s="12"/>
      <c r="J540" s="12"/>
      <c r="K540" s="12"/>
      <c r="O540" s="12"/>
      <c r="P540" s="12"/>
      <c r="Q540" s="12"/>
      <c r="R540" s="38" t="e">
        <f>INDEX('Pwr Factor'!$A$1:$B$52,MATCH((D541),'Pwr Factor'!$A$1:$A$52,0),2)</f>
        <v>#N/A</v>
      </c>
      <c r="S540" s="50">
        <v>0.25</v>
      </c>
      <c r="T540" s="12"/>
      <c r="U540" s="12"/>
      <c r="V540" s="12"/>
      <c r="W540" s="12"/>
      <c r="X540" s="12"/>
      <c r="Y540" s="12"/>
      <c r="Z540" s="12"/>
      <c r="AA540" s="12"/>
    </row>
    <row r="541" spans="1:29" x14ac:dyDescent="0.2">
      <c r="A541" s="1" t="s">
        <v>140</v>
      </c>
      <c r="B541" s="103">
        <f>IF(AND('AES Indiana Bill Calc.'!$D$17="SL",'AES Indiana Bill Calc.'!$D$18="Yes 25%",'AES Indiana Bill Calc.'!$D$20="No"),'AES Indiana Bill Calc.'!$D$19,-1)</f>
        <v>-1</v>
      </c>
      <c r="C541" s="103">
        <f>MAX(E541,$C$533)</f>
        <v>50</v>
      </c>
      <c r="D541" s="103" t="b">
        <f>IF(AND('AES Indiana Bill Calc.'!$D$17="SL",'AES Indiana Bill Calc.'!$D$18="Yes 25%",'AES Indiana Bill Calc.'!$D$20="No"),'AES Indiana Bill Calc.'!$D$22)</f>
        <v>0</v>
      </c>
      <c r="E541" s="103" t="b">
        <f>IF(AND('AES Indiana Bill Calc.'!$D$17="SL",'AES Indiana Bill Calc.'!$D$18="Yes 25%",'AES Indiana Bill Calc.'!$D$20="No"),'AES Indiana Bill Calc.'!$D$21)</f>
        <v>0</v>
      </c>
      <c r="F541" s="36" t="s">
        <v>61</v>
      </c>
      <c r="G541" s="17" t="e">
        <f>SUM(J541:M541,O541:P541,R541:AA541)</f>
        <v>#N/A</v>
      </c>
      <c r="H541" s="19" t="e">
        <f>IF(ISBLANK(B541),0,+#REF!/B541)</f>
        <v>#REF!</v>
      </c>
      <c r="I541" s="19"/>
      <c r="J541" s="16">
        <f>IF(ISBLANK(B541),0,+J$532)</f>
        <v>120</v>
      </c>
      <c r="K541" s="17">
        <f>ROUND($B541*K$532,2)</f>
        <v>-0.04</v>
      </c>
      <c r="N541" s="18">
        <f>K541</f>
        <v>-0.04</v>
      </c>
      <c r="O541" s="17">
        <f>IF($C541&gt;M$533,ROUND(M$533*M$532,2),ROUND($C541*M$532,2))</f>
        <v>1237</v>
      </c>
      <c r="P541" s="17">
        <f>IF($C541&gt;M$533,ROUND(($C541-M$533)*O$532,2),0)</f>
        <v>0</v>
      </c>
      <c r="Q541" s="17">
        <f>SUM(O541:P541)</f>
        <v>1237</v>
      </c>
      <c r="R541" s="16" t="e">
        <f>ROUND(SUM(N541:P541)*(R540-1),2)</f>
        <v>#N/A</v>
      </c>
      <c r="S541" s="17">
        <f>ROUND($B541*S$532*S540,2)</f>
        <v>0</v>
      </c>
      <c r="T541" s="17">
        <f t="shared" si="35"/>
        <v>0</v>
      </c>
      <c r="U541" s="17">
        <f t="shared" si="35"/>
        <v>0</v>
      </c>
      <c r="V541" s="17">
        <f t="shared" si="35"/>
        <v>-0.02</v>
      </c>
      <c r="W541" s="17">
        <f t="shared" si="35"/>
        <v>0</v>
      </c>
      <c r="X541" s="17">
        <f t="shared" si="35"/>
        <v>-0.01</v>
      </c>
      <c r="Y541" s="17">
        <f t="shared" si="35"/>
        <v>0</v>
      </c>
      <c r="Z541" s="17">
        <f t="shared" si="35"/>
        <v>0</v>
      </c>
      <c r="AA541" s="17">
        <f t="shared" si="35"/>
        <v>0</v>
      </c>
      <c r="AB541" s="19">
        <f>SUM(U536:AA536)</f>
        <v>0</v>
      </c>
      <c r="AC541" s="67" t="str">
        <f>+F541</f>
        <v>SL</v>
      </c>
    </row>
    <row r="542" spans="1:29" x14ac:dyDescent="0.2">
      <c r="A542" s="9"/>
      <c r="B542" s="103">
        <v>-1</v>
      </c>
      <c r="D542" s="18"/>
      <c r="E542" s="34"/>
      <c r="F542" s="36"/>
      <c r="G542" s="12"/>
      <c r="H542" s="12"/>
      <c r="I542" s="12"/>
      <c r="J542" s="12"/>
      <c r="K542" s="12"/>
      <c r="O542" s="12"/>
      <c r="P542" s="12"/>
      <c r="Q542" s="12"/>
      <c r="R542" s="38" t="e">
        <f>INDEX('Pwr Factor'!$A$1:$B$52,MATCH((D543),'Pwr Factor'!$A$1:$A$52,0),2)</f>
        <v>#N/A</v>
      </c>
      <c r="S542" s="50">
        <v>0.1</v>
      </c>
      <c r="T542" s="12"/>
      <c r="U542" s="12"/>
      <c r="V542" s="12"/>
      <c r="W542" s="12"/>
      <c r="X542" s="12"/>
      <c r="Y542" s="12"/>
      <c r="Z542" s="12"/>
      <c r="AA542" s="12"/>
    </row>
    <row r="543" spans="1:29" x14ac:dyDescent="0.2">
      <c r="A543" s="1" t="s">
        <v>154</v>
      </c>
      <c r="B543" s="103">
        <f>IF(AND('AES Indiana Bill Calc.'!$D$17="SL",'AES Indiana Bill Calc.'!$D$18="Yes 10%",'AES Indiana Bill Calc.'!$D$20="No"),'AES Indiana Bill Calc.'!$D$19,-1)</f>
        <v>-1</v>
      </c>
      <c r="C543" s="103">
        <f>MAX(E543,$C$533)</f>
        <v>50</v>
      </c>
      <c r="D543" s="103" t="b">
        <f>IF(AND('AES Indiana Bill Calc.'!$D$17="SL",'AES Indiana Bill Calc.'!$D$18="Yes 10%",'AES Indiana Bill Calc.'!$D$20="No"),'AES Indiana Bill Calc.'!$D$22)</f>
        <v>0</v>
      </c>
      <c r="E543" s="103" t="b">
        <f>IF(AND('AES Indiana Bill Calc.'!$D$17="SL",'AES Indiana Bill Calc.'!$D$18="Yes 10%",'AES Indiana Bill Calc.'!$D$20="No"),'AES Indiana Bill Calc.'!$D$21)</f>
        <v>0</v>
      </c>
      <c r="F543" s="36" t="s">
        <v>61</v>
      </c>
      <c r="G543" s="17" t="e">
        <f>SUM(J543:M543,O543:P543,R543:AA543)</f>
        <v>#N/A</v>
      </c>
      <c r="H543" s="19" t="e">
        <f>IF(ISBLANK(B543),0,+#REF!/B543)</f>
        <v>#REF!</v>
      </c>
      <c r="I543" s="19"/>
      <c r="J543" s="16">
        <f>IF(ISBLANK(B543),0,+J$532)</f>
        <v>120</v>
      </c>
      <c r="K543" s="17">
        <f>ROUND($B543*K$532,2)</f>
        <v>-0.04</v>
      </c>
      <c r="N543" s="18">
        <f>K543</f>
        <v>-0.04</v>
      </c>
      <c r="O543" s="17">
        <f>IF($C543&gt;M$533,ROUND(M$533*M$532,2),ROUND($C543*M$532,2))</f>
        <v>1237</v>
      </c>
      <c r="P543" s="17">
        <f>IF($C543&gt;M$533,ROUND(($C543-M$533)*O$532,2),0)</f>
        <v>0</v>
      </c>
      <c r="Q543" s="17">
        <f>SUM(O543:P543)</f>
        <v>1237</v>
      </c>
      <c r="R543" s="16" t="e">
        <f>ROUND(SUM(N543:P543)*(R542-1),2)</f>
        <v>#N/A</v>
      </c>
      <c r="S543" s="17">
        <f>ROUND($B543*S$532*S542,2)</f>
        <v>0</v>
      </c>
      <c r="T543" s="17">
        <f t="shared" si="35"/>
        <v>0</v>
      </c>
      <c r="U543" s="17">
        <f t="shared" si="35"/>
        <v>0</v>
      </c>
      <c r="V543" s="17">
        <f t="shared" si="35"/>
        <v>-0.02</v>
      </c>
      <c r="W543" s="17">
        <f t="shared" si="35"/>
        <v>0</v>
      </c>
      <c r="X543" s="17">
        <f t="shared" si="35"/>
        <v>-0.01</v>
      </c>
      <c r="Y543" s="17">
        <f t="shared" si="35"/>
        <v>0</v>
      </c>
      <c r="Z543" s="17">
        <f t="shared" si="35"/>
        <v>0</v>
      </c>
      <c r="AA543" s="17">
        <f t="shared" si="35"/>
        <v>0</v>
      </c>
      <c r="AB543" s="19">
        <f>SUM(U538:AA538)</f>
        <v>0</v>
      </c>
      <c r="AC543" s="67" t="str">
        <f>+F543</f>
        <v>SL</v>
      </c>
    </row>
    <row r="544" spans="1:29" x14ac:dyDescent="0.2">
      <c r="A544" s="9"/>
      <c r="B544" s="103">
        <v>-1</v>
      </c>
      <c r="D544" s="18"/>
      <c r="E544" s="34"/>
      <c r="F544" s="36"/>
      <c r="G544" s="12"/>
      <c r="H544" s="12"/>
      <c r="I544" s="12"/>
      <c r="J544" s="12"/>
      <c r="K544" s="12"/>
      <c r="O544" s="12"/>
      <c r="P544" s="12"/>
      <c r="Q544" s="12"/>
      <c r="R544" s="38" t="e">
        <f>INDEX('Pwr Factor'!$A$1:$B$52,MATCH((D545),'Pwr Factor'!$A$1:$A$52,0),2)</f>
        <v>#N/A</v>
      </c>
      <c r="S544" s="50">
        <v>0</v>
      </c>
      <c r="T544" s="12"/>
      <c r="U544" s="12"/>
      <c r="V544" s="12"/>
      <c r="W544" s="12"/>
      <c r="X544" s="12"/>
      <c r="Y544" s="12"/>
      <c r="Z544" s="12"/>
      <c r="AA544" s="12"/>
    </row>
    <row r="545" spans="1:29" x14ac:dyDescent="0.2">
      <c r="A545" s="1" t="s">
        <v>137</v>
      </c>
      <c r="B545" s="103">
        <f>IF(AND('AES Indiana Bill Calc.'!$D$17="SL",'AES Indiana Bill Calc.'!$D$18="No",'AES Indiana Bill Calc.'!$D$20="No"),'AES Indiana Bill Calc.'!$D$19,-1)</f>
        <v>-1</v>
      </c>
      <c r="C545" s="103">
        <f>MAX(E545,$C$533)</f>
        <v>50</v>
      </c>
      <c r="D545" s="103" t="b">
        <f>IF(AND('AES Indiana Bill Calc.'!$D$17="SL",'AES Indiana Bill Calc.'!$D$18="No",'AES Indiana Bill Calc.'!$D$20="No"),'AES Indiana Bill Calc.'!$D$22)</f>
        <v>0</v>
      </c>
      <c r="E545" s="103" t="b">
        <f>IF(AND('AES Indiana Bill Calc.'!$D$17="SL",'AES Indiana Bill Calc.'!$D$18="No",'AES Indiana Bill Calc.'!$D$20="No"),'AES Indiana Bill Calc.'!$D$21)</f>
        <v>0</v>
      </c>
      <c r="F545" s="36" t="s">
        <v>61</v>
      </c>
      <c r="G545" s="17" t="e">
        <f>SUM(J545:M545,O545:P545,R545:AA545)</f>
        <v>#N/A</v>
      </c>
      <c r="H545" s="19" t="e">
        <f>IF(ISBLANK(B545),0,+#REF!/B545)</f>
        <v>#REF!</v>
      </c>
      <c r="I545" s="19"/>
      <c r="J545" s="16">
        <f>IF(ISBLANK(B545),0,+J$532)</f>
        <v>120</v>
      </c>
      <c r="K545" s="17">
        <f>ROUND($B545*K$532,2)</f>
        <v>-0.04</v>
      </c>
      <c r="N545" s="18">
        <f>K545</f>
        <v>-0.04</v>
      </c>
      <c r="O545" s="17">
        <f>IF($C545&gt;M$533,ROUND(M$533*M$532,2),ROUND($C545*M$532,2))</f>
        <v>1237</v>
      </c>
      <c r="P545" s="17">
        <f>IF($C545&gt;M$533,ROUND(($C545-M$533)*O$532,2),0)</f>
        <v>0</v>
      </c>
      <c r="Q545" s="17">
        <f>SUM(O545:P545)</f>
        <v>1237</v>
      </c>
      <c r="R545" s="16" t="e">
        <f>ROUND(SUM(N545:P545)*(R544-1),2)</f>
        <v>#N/A</v>
      </c>
      <c r="S545" s="17">
        <f>ROUND($B545*S$532*S544,2)</f>
        <v>0</v>
      </c>
      <c r="T545" s="17">
        <f t="shared" si="35"/>
        <v>0</v>
      </c>
      <c r="U545" s="17">
        <f t="shared" si="35"/>
        <v>0</v>
      </c>
      <c r="V545" s="17">
        <f>ROUND($B545*V$532,2)</f>
        <v>-0.02</v>
      </c>
      <c r="W545" s="17">
        <f t="shared" si="35"/>
        <v>0</v>
      </c>
      <c r="X545" s="17">
        <f t="shared" si="35"/>
        <v>-0.01</v>
      </c>
      <c r="Y545" s="17">
        <f t="shared" si="35"/>
        <v>0</v>
      </c>
      <c r="Z545" s="17">
        <f t="shared" si="35"/>
        <v>0</v>
      </c>
      <c r="AA545" s="17">
        <f t="shared" si="35"/>
        <v>0</v>
      </c>
      <c r="AB545" s="19">
        <f>SUM(U540:AA540)</f>
        <v>0</v>
      </c>
      <c r="AC545" s="67" t="str">
        <f>+F545</f>
        <v>SL</v>
      </c>
    </row>
    <row r="546" spans="1:29" x14ac:dyDescent="0.2">
      <c r="B546" s="103">
        <v>-1</v>
      </c>
      <c r="D546" s="8"/>
      <c r="E546" s="9"/>
      <c r="F546" s="36"/>
      <c r="G546" s="17"/>
      <c r="H546" s="19"/>
      <c r="I546" s="19"/>
      <c r="J546" s="16"/>
      <c r="K546" s="17"/>
      <c r="O546" s="17"/>
      <c r="P546" s="17"/>
      <c r="Q546" s="17"/>
      <c r="R546" s="38" t="e">
        <f>VLOOKUP((D547),'Pwr Factor'!$A$1:$B$52,2)</f>
        <v>#N/A</v>
      </c>
      <c r="S546" s="50">
        <v>1</v>
      </c>
      <c r="T546" s="17"/>
      <c r="U546" s="17"/>
      <c r="V546" s="8"/>
      <c r="W546" s="17"/>
      <c r="X546" s="17"/>
      <c r="Y546" s="17"/>
      <c r="Z546" s="17"/>
      <c r="AA546" s="17"/>
      <c r="AB546" s="19"/>
      <c r="AC546" s="67"/>
    </row>
    <row r="547" spans="1:29" x14ac:dyDescent="0.2">
      <c r="A547" s="1" t="s">
        <v>138</v>
      </c>
      <c r="B547" s="103">
        <f>IF(AND('AES Indiana Bill Calc.'!$D$17="SL",'AES Indiana Bill Calc.'!$D$18="Yes 100%",'AES Indiana Bill Calc.'!$D$20="Yes Before 2018"),'AES Indiana Bill Calc.'!$D$19,-1)</f>
        <v>-1</v>
      </c>
      <c r="C547" s="103">
        <f>MAX(E547,$C$533)</f>
        <v>50</v>
      </c>
      <c r="D547" s="103" t="b">
        <f>IF(AND('AES Indiana Bill Calc.'!$D$17="SL",'AES Indiana Bill Calc.'!$D$18="Yes 100%",'AES Indiana Bill Calc.'!$D$20="Yes Before 2018"),'AES Indiana Bill Calc.'!$D$22)</f>
        <v>0</v>
      </c>
      <c r="E547" s="103" t="b">
        <f>IF(AND('AES Indiana Bill Calc.'!$D$17="SL",'AES Indiana Bill Calc.'!$D$18="Yes 100%",'AES Indiana Bill Calc.'!$D$20="Yes Before 2018"),'AES Indiana Bill Calc.'!$D$21)</f>
        <v>0</v>
      </c>
      <c r="F547" s="36" t="s">
        <v>192</v>
      </c>
      <c r="G547" s="17" t="e">
        <f>SUM(J547:M547,O547:P547,R547:AA547)</f>
        <v>#N/A</v>
      </c>
      <c r="H547" s="19" t="e">
        <f>IF(ISBLANK(B547),0,+#REF!/B547)</f>
        <v>#REF!</v>
      </c>
      <c r="J547" s="82">
        <f>IF(ISBLANK(B547),0,+J$532)</f>
        <v>120</v>
      </c>
      <c r="K547" s="42">
        <f>ROUND($B547*K$532,2)</f>
        <v>-0.04</v>
      </c>
      <c r="N547" s="18">
        <f>K547</f>
        <v>-0.04</v>
      </c>
      <c r="O547" s="17">
        <f>IF($C547&gt;M$533,ROUND(M$533*M$532,2),ROUND($C547*M$532,2))</f>
        <v>1237</v>
      </c>
      <c r="P547" s="17">
        <f>IF($C547&gt;M$533,ROUND(($C547-M$533)*O$532,2),0)</f>
        <v>0</v>
      </c>
      <c r="Q547" s="17">
        <f>SUM(O547:P547)</f>
        <v>1237</v>
      </c>
      <c r="R547" s="16" t="e">
        <f>ROUND(SUM(N547:P547)*(R546-1),2)</f>
        <v>#N/A</v>
      </c>
      <c r="S547" s="42">
        <f>ROUND($B547*S$532*S546,2)</f>
        <v>0</v>
      </c>
      <c r="T547" s="42">
        <f>ROUND($B547*T$532,2)</f>
        <v>0</v>
      </c>
      <c r="U547" s="42">
        <f>ROUND($B547*U$532,2)</f>
        <v>0</v>
      </c>
      <c r="V547" s="41">
        <f>ROUND($B547*V$522,2)</f>
        <v>0</v>
      </c>
      <c r="W547" s="42">
        <f>ROUND($B547*W$532,2)</f>
        <v>0</v>
      </c>
      <c r="X547" s="42">
        <f>ROUND($B547*X$532,2)</f>
        <v>-0.01</v>
      </c>
      <c r="Y547" s="42">
        <f>ROUND($B547*Y$532,2)</f>
        <v>0</v>
      </c>
      <c r="Z547" s="42">
        <f>ROUND($B547*Z$532,2)</f>
        <v>0</v>
      </c>
      <c r="AA547" s="42">
        <f>ROUND($B547*AA$532,2)</f>
        <v>0</v>
      </c>
      <c r="AB547" s="19">
        <f>SUM(U$532:AA$532)+(-V$532+V522)</f>
        <v>1.4422999999999998E-2</v>
      </c>
      <c r="AC547" s="94" t="str">
        <f>+F547</f>
        <v>SL7</v>
      </c>
    </row>
    <row r="548" spans="1:29" x14ac:dyDescent="0.2">
      <c r="A548" s="9"/>
      <c r="B548" s="103">
        <v>-1</v>
      </c>
      <c r="D548" s="8"/>
      <c r="E548" s="9"/>
      <c r="F548" s="36"/>
      <c r="G548" s="17"/>
      <c r="H548" s="19"/>
      <c r="I548" s="19"/>
      <c r="J548" s="16"/>
      <c r="K548" s="17"/>
      <c r="O548" s="17"/>
      <c r="P548" s="17"/>
      <c r="Q548" s="17"/>
      <c r="R548" s="38" t="e">
        <f>VLOOKUP((D549),'Pwr Factor'!$A$1:$B$52,2)</f>
        <v>#N/A</v>
      </c>
      <c r="S548" s="50">
        <v>0.5</v>
      </c>
      <c r="T548" s="17"/>
      <c r="U548" s="17"/>
      <c r="V548" s="8"/>
      <c r="W548" s="17"/>
      <c r="X548" s="17"/>
      <c r="Y548" s="17"/>
      <c r="Z548" s="17"/>
      <c r="AA548" s="17"/>
      <c r="AB548" s="19"/>
      <c r="AC548" s="67"/>
    </row>
    <row r="549" spans="1:29" x14ac:dyDescent="0.2">
      <c r="A549" s="1" t="s">
        <v>139</v>
      </c>
      <c r="B549" s="103">
        <f>IF(AND('AES Indiana Bill Calc.'!$D$17="SL",'AES Indiana Bill Calc.'!$D$18="Yes 50%",'AES Indiana Bill Calc.'!$D$20="Yes Before 2018"),'AES Indiana Bill Calc.'!$D$19,-1)</f>
        <v>-1</v>
      </c>
      <c r="C549" s="103">
        <f>MAX(E549,$C$533)</f>
        <v>50</v>
      </c>
      <c r="D549" s="103" t="b">
        <f>IF(AND('AES Indiana Bill Calc.'!$D$17="SL",'AES Indiana Bill Calc.'!$D$18="Yes 50%",'AES Indiana Bill Calc.'!$D$20="Yes Before 2018"),'AES Indiana Bill Calc.'!$D$22)</f>
        <v>0</v>
      </c>
      <c r="E549" s="103" t="b">
        <f>IF(AND('AES Indiana Bill Calc.'!$D$17="SL",'AES Indiana Bill Calc.'!$D$18="Yes 50%",'AES Indiana Bill Calc.'!$D$20="Yes Before 2018"),'AES Indiana Bill Calc.'!$D$21)</f>
        <v>0</v>
      </c>
      <c r="F549" s="36" t="s">
        <v>192</v>
      </c>
      <c r="G549" s="17" t="e">
        <f>SUM(J549:M549,O549:P549,R549:AA549)</f>
        <v>#N/A</v>
      </c>
      <c r="H549" s="19" t="e">
        <f>IF(ISBLANK(B549),0,+#REF!/B549)</f>
        <v>#REF!</v>
      </c>
      <c r="J549" s="82">
        <f>IF(ISBLANK(B549),0,+J$532)</f>
        <v>120</v>
      </c>
      <c r="K549" s="42">
        <f>ROUND($B549*K$532,2)</f>
        <v>-0.04</v>
      </c>
      <c r="N549" s="18">
        <f>K549</f>
        <v>-0.04</v>
      </c>
      <c r="O549" s="17">
        <f>IF($C549&gt;M$533,ROUND(M$533*M$532,2),ROUND($C549*M$532,2))</f>
        <v>1237</v>
      </c>
      <c r="P549" s="17">
        <f>IF($C549&gt;M$533,ROUND(($C549-M$533)*O$532,2),0)</f>
        <v>0</v>
      </c>
      <c r="Q549" s="17">
        <f>SUM(O549:P549)</f>
        <v>1237</v>
      </c>
      <c r="R549" s="16" t="e">
        <f>ROUND(SUM(N549:P549)*(R548-1),2)</f>
        <v>#N/A</v>
      </c>
      <c r="S549" s="42">
        <f>ROUND($B549*S$532*S548,2)</f>
        <v>0</v>
      </c>
      <c r="T549" s="42">
        <f>ROUND($B549*T$532,2)</f>
        <v>0</v>
      </c>
      <c r="U549" s="42">
        <f>ROUND($B549*U$532,2)</f>
        <v>0</v>
      </c>
      <c r="V549" s="41">
        <f>ROUND($B549*V$522,2)</f>
        <v>0</v>
      </c>
      <c r="W549" s="42">
        <f>ROUND($B549*W$532,2)</f>
        <v>0</v>
      </c>
      <c r="X549" s="42">
        <f>ROUND($B549*X$532,2)</f>
        <v>-0.01</v>
      </c>
      <c r="Y549" s="42">
        <f>ROUND($B549*Y$532,2)</f>
        <v>0</v>
      </c>
      <c r="Z549" s="42">
        <f>ROUND($B549*Z$532,2)</f>
        <v>0</v>
      </c>
      <c r="AA549" s="42">
        <f>ROUND($B549*AA$532,2)</f>
        <v>0</v>
      </c>
      <c r="AB549" s="19">
        <f>SUM(U$532:AA$532)+(-V$532+V524)</f>
        <v>1.4422999999999998E-2</v>
      </c>
      <c r="AC549" s="94" t="str">
        <f>+F549</f>
        <v>SL7</v>
      </c>
    </row>
    <row r="550" spans="1:29" x14ac:dyDescent="0.2">
      <c r="A550" s="9"/>
      <c r="B550" s="103">
        <v>-1</v>
      </c>
      <c r="D550" s="8"/>
      <c r="E550" s="9"/>
      <c r="F550" s="36"/>
      <c r="G550" s="17"/>
      <c r="H550" s="19"/>
      <c r="I550" s="19"/>
      <c r="J550" s="16"/>
      <c r="K550" s="17"/>
      <c r="O550" s="17"/>
      <c r="P550" s="17"/>
      <c r="Q550" s="17"/>
      <c r="R550" s="38" t="e">
        <f>VLOOKUP((D551),'Pwr Factor'!$A$1:$B$52,2)</f>
        <v>#N/A</v>
      </c>
      <c r="S550" s="50">
        <v>0.25</v>
      </c>
      <c r="T550" s="17"/>
      <c r="U550" s="17"/>
      <c r="V550" s="8"/>
      <c r="W550" s="17"/>
      <c r="X550" s="17"/>
      <c r="Y550" s="17"/>
      <c r="Z550" s="17"/>
      <c r="AA550" s="17"/>
      <c r="AB550" s="19"/>
      <c r="AC550" s="67"/>
    </row>
    <row r="551" spans="1:29" x14ac:dyDescent="0.2">
      <c r="A551" s="1" t="s">
        <v>140</v>
      </c>
      <c r="B551" s="103">
        <f>IF(AND('AES Indiana Bill Calc.'!$D$17="SL",'AES Indiana Bill Calc.'!$D$18="Yes 25%",'AES Indiana Bill Calc.'!$D$20="Yes Before 2018"),'AES Indiana Bill Calc.'!$D$19,-1)</f>
        <v>-1</v>
      </c>
      <c r="C551" s="103">
        <f>MAX(E551,$C$533)</f>
        <v>50</v>
      </c>
      <c r="D551" s="103" t="b">
        <f>IF(AND('AES Indiana Bill Calc.'!$D$17="SL",'AES Indiana Bill Calc.'!$D$18="Yes 25%",'AES Indiana Bill Calc.'!$D$20="Yes Before 2018"),'AES Indiana Bill Calc.'!$D$22)</f>
        <v>0</v>
      </c>
      <c r="E551" s="103" t="b">
        <f>IF(AND('AES Indiana Bill Calc.'!$D$17="SL",'AES Indiana Bill Calc.'!$D$18="Yes 25%",'AES Indiana Bill Calc.'!$D$20="Yes Before 2018"),'AES Indiana Bill Calc.'!$D$21)</f>
        <v>0</v>
      </c>
      <c r="F551" s="36" t="s">
        <v>192</v>
      </c>
      <c r="G551" s="17" t="e">
        <f>SUM(J551:M551,O551:P551,R551:AA551)</f>
        <v>#N/A</v>
      </c>
      <c r="H551" s="19" t="e">
        <f>IF(ISBLANK(B551),0,+#REF!/B551)</f>
        <v>#REF!</v>
      </c>
      <c r="J551" s="82">
        <f>IF(ISBLANK(B551),0,+J$532)</f>
        <v>120</v>
      </c>
      <c r="K551" s="42">
        <f>ROUND($B551*K$532,2)</f>
        <v>-0.04</v>
      </c>
      <c r="N551" s="18">
        <f>K551</f>
        <v>-0.04</v>
      </c>
      <c r="O551" s="17">
        <f>IF($C551&gt;M$533,ROUND(M$533*M$532,2),ROUND($C551*M$532,2))</f>
        <v>1237</v>
      </c>
      <c r="P551" s="17">
        <f>IF($C551&gt;M$533,ROUND(($C551-M$533)*O$532,2),0)</f>
        <v>0</v>
      </c>
      <c r="Q551" s="17">
        <f>SUM(O551:P551)</f>
        <v>1237</v>
      </c>
      <c r="R551" s="16" t="e">
        <f>ROUND(SUM(N551:P551)*(R550-1),2)</f>
        <v>#N/A</v>
      </c>
      <c r="S551" s="42">
        <f>ROUND($B551*S$532*S550,2)</f>
        <v>0</v>
      </c>
      <c r="T551" s="42">
        <f>ROUND($B551*T$532,2)</f>
        <v>0</v>
      </c>
      <c r="U551" s="42">
        <f>ROUND($B551*U$532,2)</f>
        <v>0</v>
      </c>
      <c r="V551" s="41">
        <f>ROUND($B551*V$522,2)</f>
        <v>0</v>
      </c>
      <c r="W551" s="42">
        <f>ROUND($B551*W$532,2)</f>
        <v>0</v>
      </c>
      <c r="X551" s="42">
        <f>ROUND($B551*X$532,2)</f>
        <v>-0.01</v>
      </c>
      <c r="Y551" s="42">
        <f>ROUND($B551*Y$532,2)</f>
        <v>0</v>
      </c>
      <c r="Z551" s="42">
        <f>ROUND($B551*Z$532,2)</f>
        <v>0</v>
      </c>
      <c r="AA551" s="42">
        <f>ROUND($B551*AA$532,2)</f>
        <v>0</v>
      </c>
      <c r="AB551" s="19">
        <f>SUM(U$532:AA$532)+(-V$532+V526)</f>
        <v>1.4019999999999998E-2</v>
      </c>
      <c r="AC551" s="94" t="str">
        <f>+F551</f>
        <v>SL7</v>
      </c>
    </row>
    <row r="552" spans="1:29" x14ac:dyDescent="0.2">
      <c r="A552" s="9"/>
      <c r="B552" s="103">
        <v>-1</v>
      </c>
      <c r="D552" s="8"/>
      <c r="E552" s="9"/>
      <c r="F552" s="36"/>
      <c r="G552" s="17"/>
      <c r="H552" s="19"/>
      <c r="I552" s="19"/>
      <c r="J552" s="16"/>
      <c r="K552" s="17"/>
      <c r="O552" s="17"/>
      <c r="P552" s="17"/>
      <c r="Q552" s="17"/>
      <c r="R552" s="38" t="e">
        <f>VLOOKUP((D553),'Pwr Factor'!$A$1:$B$52,2)</f>
        <v>#N/A</v>
      </c>
      <c r="S552" s="50">
        <v>0.1</v>
      </c>
      <c r="T552" s="17"/>
      <c r="U552" s="17"/>
      <c r="V552" s="8"/>
      <c r="W552" s="17"/>
      <c r="X552" s="17"/>
      <c r="Y552" s="17"/>
      <c r="Z552" s="17"/>
      <c r="AA552" s="17"/>
      <c r="AB552" s="19"/>
      <c r="AC552" s="67"/>
    </row>
    <row r="553" spans="1:29" x14ac:dyDescent="0.2">
      <c r="A553" s="1" t="s">
        <v>154</v>
      </c>
      <c r="B553" s="103">
        <f>IF(AND('AES Indiana Bill Calc.'!$D$17="SL",'AES Indiana Bill Calc.'!$D$18="Yes 10%",'AES Indiana Bill Calc.'!$D$20="Yes Before 2018"),'AES Indiana Bill Calc.'!$D$19,-1)</f>
        <v>-1</v>
      </c>
      <c r="C553" s="103">
        <f>MAX(E553,$C$533)</f>
        <v>50</v>
      </c>
      <c r="D553" s="103" t="b">
        <f>IF(AND('AES Indiana Bill Calc.'!$D$17="SL",'AES Indiana Bill Calc.'!$D$18="Yes 10%",'AES Indiana Bill Calc.'!$D$20="Yes Before 2018"),'AES Indiana Bill Calc.'!$D$22)</f>
        <v>0</v>
      </c>
      <c r="E553" s="103" t="b">
        <f>IF(AND('AES Indiana Bill Calc.'!$D$17="SL",'AES Indiana Bill Calc.'!$D$18="Yes 10%",'AES Indiana Bill Calc.'!$D$20="Yes Before 2018"),'AES Indiana Bill Calc.'!$D$21)</f>
        <v>0</v>
      </c>
      <c r="F553" s="36" t="s">
        <v>192</v>
      </c>
      <c r="G553" s="17" t="e">
        <f>SUM(J553:M553,O553:P553,R553:AA553)</f>
        <v>#N/A</v>
      </c>
      <c r="H553" s="19" t="e">
        <f>IF(ISBLANK(B553),0,+#REF!/B553)</f>
        <v>#REF!</v>
      </c>
      <c r="J553" s="82">
        <f>IF(ISBLANK(B553),0,+J$532)</f>
        <v>120</v>
      </c>
      <c r="K553" s="42">
        <f>ROUND($B553*K$532,2)</f>
        <v>-0.04</v>
      </c>
      <c r="N553" s="18">
        <f>K553</f>
        <v>-0.04</v>
      </c>
      <c r="O553" s="17">
        <f>IF($C553&gt;M$533,ROUND(M$533*M$532,2),ROUND($C553*M$532,2))</f>
        <v>1237</v>
      </c>
      <c r="P553" s="17">
        <f>IF($C553&gt;M$533,ROUND(($C553-M$533)*O$532,2),0)</f>
        <v>0</v>
      </c>
      <c r="Q553" s="17">
        <f>SUM(O553:P553)</f>
        <v>1237</v>
      </c>
      <c r="R553" s="16" t="e">
        <f>ROUND(SUM(N553:P553)*(R552-1),2)</f>
        <v>#N/A</v>
      </c>
      <c r="S553" s="42">
        <f>ROUND($B553*S$532*S552,2)</f>
        <v>0</v>
      </c>
      <c r="T553" s="42">
        <f>ROUND($B553*T$532,2)</f>
        <v>0</v>
      </c>
      <c r="U553" s="42">
        <f>ROUND($B553*U$532,2)</f>
        <v>0</v>
      </c>
      <c r="V553" s="41">
        <f>ROUND($B553*V$522,2)</f>
        <v>0</v>
      </c>
      <c r="W553" s="42">
        <f>ROUND($B553*W$532,2)</f>
        <v>0</v>
      </c>
      <c r="X553" s="42">
        <f>ROUND($B553*X$532,2)</f>
        <v>-0.01</v>
      </c>
      <c r="Y553" s="42">
        <f>ROUND($B553*Y$532,2)</f>
        <v>0</v>
      </c>
      <c r="Z553" s="42">
        <f>ROUND($B553*Z$532,2)</f>
        <v>0</v>
      </c>
      <c r="AA553" s="42">
        <f>ROUND($B553*AA$532,2)</f>
        <v>0</v>
      </c>
      <c r="AB553" s="19">
        <f>SUM(U$532:AA$532)+(-V$532+V533)</f>
        <v>1.4422999999999998E-2</v>
      </c>
      <c r="AC553" s="94" t="str">
        <f>+F553</f>
        <v>SL7</v>
      </c>
    </row>
    <row r="554" spans="1:29" x14ac:dyDescent="0.2">
      <c r="A554" s="9"/>
      <c r="B554" s="103">
        <v>-1</v>
      </c>
      <c r="D554" s="8"/>
      <c r="E554" s="9"/>
      <c r="F554" s="36"/>
      <c r="G554" s="17"/>
      <c r="H554" s="19"/>
      <c r="I554" s="19"/>
      <c r="J554" s="16"/>
      <c r="K554" s="17"/>
      <c r="O554" s="17"/>
      <c r="P554" s="17"/>
      <c r="Q554" s="17"/>
      <c r="R554" s="38" t="e">
        <f>VLOOKUP((D555),'Pwr Factor'!$A$1:$B$52,2)</f>
        <v>#N/A</v>
      </c>
      <c r="S554" s="50">
        <v>0</v>
      </c>
      <c r="T554" s="17"/>
      <c r="U554" s="17"/>
      <c r="V554" s="8"/>
      <c r="W554" s="17"/>
      <c r="X554" s="17"/>
      <c r="Y554" s="17"/>
      <c r="Z554" s="17"/>
      <c r="AA554" s="17"/>
      <c r="AB554" s="19"/>
      <c r="AC554" s="67"/>
    </row>
    <row r="555" spans="1:29" x14ac:dyDescent="0.2">
      <c r="A555" s="1" t="s">
        <v>137</v>
      </c>
      <c r="B555" s="103">
        <f>IF(AND('AES Indiana Bill Calc.'!$D$17="SL",'AES Indiana Bill Calc.'!$D$18="No",'AES Indiana Bill Calc.'!$D$20="Yes Before 2018"),'AES Indiana Bill Calc.'!$D$19,-1)</f>
        <v>-1</v>
      </c>
      <c r="C555" s="103">
        <f>MAX(E555,$C$533)</f>
        <v>50</v>
      </c>
      <c r="D555" s="103" t="b">
        <f>IF(AND('AES Indiana Bill Calc.'!$D$17="SL",'AES Indiana Bill Calc.'!$D$18="No",'AES Indiana Bill Calc.'!$D$20="Yes Before 2018"),'AES Indiana Bill Calc.'!$D$22)</f>
        <v>0</v>
      </c>
      <c r="E555" s="103" t="b">
        <f>IF(AND('AES Indiana Bill Calc.'!$D$17="SL",'AES Indiana Bill Calc.'!$D$18="No",'AES Indiana Bill Calc.'!$D$20="Yes Before 2018"),'AES Indiana Bill Calc.'!$D$21)</f>
        <v>0</v>
      </c>
      <c r="F555" s="36" t="s">
        <v>192</v>
      </c>
      <c r="G555" s="17" t="e">
        <f>SUM(J555:M555,O555:P555,R555:AA555)</f>
        <v>#N/A</v>
      </c>
      <c r="H555" s="19" t="e">
        <f>IF(ISBLANK(B555),0,+#REF!/B555)</f>
        <v>#REF!</v>
      </c>
      <c r="J555" s="82">
        <f>IF(ISBLANK(B555),0,+J$532)</f>
        <v>120</v>
      </c>
      <c r="K555" s="42">
        <f>ROUND($B555*K$532,2)</f>
        <v>-0.04</v>
      </c>
      <c r="N555" s="18">
        <f>K555</f>
        <v>-0.04</v>
      </c>
      <c r="O555" s="17">
        <f>IF($C555&gt;M$533,ROUND(M$533*M$532,2),ROUND($C555*M$532,2))</f>
        <v>1237</v>
      </c>
      <c r="P555" s="17">
        <f>IF($C555&gt;M$533,ROUND(($C555-M$533)*O$532,2),0)</f>
        <v>0</v>
      </c>
      <c r="Q555" s="17">
        <f>SUM(O555:P555)</f>
        <v>1237</v>
      </c>
      <c r="R555" s="16" t="e">
        <f>ROUND(SUM(N555:P555)*(R554-1),2)</f>
        <v>#N/A</v>
      </c>
      <c r="S555" s="42">
        <f>ROUND($B555*S$532*S554,2)</f>
        <v>0</v>
      </c>
      <c r="T555" s="42">
        <f>ROUND($B555*T$532,2)</f>
        <v>0</v>
      </c>
      <c r="U555" s="42">
        <f>ROUND($B555*U$532,2)</f>
        <v>0</v>
      </c>
      <c r="V555" s="41">
        <f>ROUND($B555*V$522,2)</f>
        <v>0</v>
      </c>
      <c r="W555" s="42">
        <f>ROUND($B555*W$532,2)</f>
        <v>0</v>
      </c>
      <c r="X555" s="42">
        <f>ROUND($B555*X$532,2)</f>
        <v>-0.01</v>
      </c>
      <c r="Y555" s="42">
        <f>ROUND($B555*Y$532,2)</f>
        <v>0</v>
      </c>
      <c r="Z555" s="42">
        <f>ROUND($B555*Z$532,2)</f>
        <v>0</v>
      </c>
      <c r="AA555" s="42">
        <f>ROUND($B555*AA$532,2)</f>
        <v>0</v>
      </c>
      <c r="AB555" s="19" t="e">
        <f>SUM(U$532:AA$532)+(-V$532+V535)</f>
        <v>#VALUE!</v>
      </c>
      <c r="AC555" s="94" t="str">
        <f>+F555</f>
        <v>SL7</v>
      </c>
    </row>
    <row r="556" spans="1:29" x14ac:dyDescent="0.2">
      <c r="B556" s="103">
        <v>-1</v>
      </c>
      <c r="D556" s="32"/>
      <c r="E556" s="103"/>
      <c r="F556" s="36"/>
      <c r="G556" s="92"/>
      <c r="H556" s="19"/>
      <c r="I556" s="19"/>
      <c r="J556" s="16"/>
      <c r="K556" s="17"/>
      <c r="O556" s="17"/>
      <c r="P556" s="17"/>
      <c r="Q556" s="17"/>
      <c r="R556" s="38" t="e">
        <f>INDEX('Pwr Factor'!$A$1:$B$52,MATCH((D557),'Pwr Factor'!$A$1:$A$52,0),2)</f>
        <v>#N/A</v>
      </c>
      <c r="S556" s="50">
        <v>1</v>
      </c>
      <c r="T556" s="17"/>
      <c r="U556" s="17"/>
      <c r="V556" s="8"/>
      <c r="W556" s="17"/>
      <c r="X556" s="17"/>
      <c r="Y556" s="17"/>
      <c r="Z556" s="17"/>
      <c r="AA556" s="17"/>
      <c r="AB556" s="19"/>
      <c r="AC556" s="67"/>
    </row>
    <row r="557" spans="1:29" x14ac:dyDescent="0.2">
      <c r="A557" s="1" t="s">
        <v>138</v>
      </c>
      <c r="B557" s="103">
        <f>IF(AND('AES Indiana Bill Calc.'!$D$17="SL",'AES Indiana Bill Calc.'!$D$18="Yes 100%",'AES Indiana Bill Calc.'!$D$20="Yes 2018"),'AES Indiana Bill Calc.'!$D$19,-1)</f>
        <v>-1</v>
      </c>
      <c r="C557" s="103">
        <f>MAX(E557,$C$533)</f>
        <v>50</v>
      </c>
      <c r="D557" s="103" t="b">
        <f>IF(AND('AES Indiana Bill Calc.'!$D$17="SL",'AES Indiana Bill Calc.'!$D$18="Yes 100%",'AES Indiana Bill Calc.'!$D$20="Yes 2018"),'AES Indiana Bill Calc.'!$D$22)</f>
        <v>0</v>
      </c>
      <c r="E557" s="103" t="b">
        <f>IF(AND('AES Indiana Bill Calc.'!$D$17="SL",'AES Indiana Bill Calc.'!$D$18="Yes 100%",'AES Indiana Bill Calc.'!$D$20="Yes 2018"),'AES Indiana Bill Calc.'!$D$21)</f>
        <v>0</v>
      </c>
      <c r="F557" s="36" t="s">
        <v>193</v>
      </c>
      <c r="G557" s="17" t="e">
        <f>SUM(J557:M557,O557:P557,R557:AA557)</f>
        <v>#N/A</v>
      </c>
      <c r="H557" s="19" t="e">
        <f>IF(ISBLANK(B557),0,+#REF!/B557)</f>
        <v>#REF!</v>
      </c>
      <c r="J557" s="82">
        <f>IF(ISBLANK(B557),0,+J$532)</f>
        <v>120</v>
      </c>
      <c r="K557" s="42">
        <f>ROUND($B557*K$532,2)</f>
        <v>-0.04</v>
      </c>
      <c r="N557" s="18">
        <f>K557</f>
        <v>-0.04</v>
      </c>
      <c r="O557" s="17">
        <f>IF($C557&gt;M$533,ROUND(M$533*M$532,2),ROUND($C557*M$532,2))</f>
        <v>1237</v>
      </c>
      <c r="P557" s="17">
        <f>IF($C557&gt;M$533,ROUND(($C557-M$533)*O$532,2),0)</f>
        <v>0</v>
      </c>
      <c r="Q557" s="17">
        <f>SUM(O557:P557)</f>
        <v>1237</v>
      </c>
      <c r="R557" s="16" t="e">
        <f>ROUND(SUM(N557:P557)*(R556-1),2)</f>
        <v>#N/A</v>
      </c>
      <c r="S557" s="42">
        <f>ROUND($B557*S$532*S556,2)</f>
        <v>0</v>
      </c>
      <c r="T557" s="42">
        <f>ROUND($B557*T$532,2)</f>
        <v>0</v>
      </c>
      <c r="U557" s="42">
        <f>ROUND($B557*U$532,2)</f>
        <v>0</v>
      </c>
      <c r="V557" s="41">
        <f>ROUND($B557*$V$523,2)</f>
        <v>0</v>
      </c>
      <c r="W557" s="42">
        <f>ROUND($B557*W$532,2)</f>
        <v>0</v>
      </c>
      <c r="X557" s="42">
        <f>ROUND($B557*X$532,2)</f>
        <v>-0.01</v>
      </c>
      <c r="Y557" s="42">
        <f>ROUND($B557*Y$532,2)</f>
        <v>0</v>
      </c>
      <c r="Z557" s="42">
        <f>ROUND($B557*Z$532,2)</f>
        <v>0</v>
      </c>
      <c r="AA557" s="42">
        <f>ROUND($B557*AA$532,2)</f>
        <v>0</v>
      </c>
      <c r="AB557" s="19">
        <f>SUM(U$532:AA$532)+(-V$532+V533)</f>
        <v>1.4422999999999998E-2</v>
      </c>
      <c r="AC557" s="94" t="str">
        <f>+F557</f>
        <v>SL8</v>
      </c>
    </row>
    <row r="558" spans="1:29" x14ac:dyDescent="0.2">
      <c r="A558" s="9"/>
      <c r="B558" s="103">
        <v>-1</v>
      </c>
      <c r="D558" s="32"/>
      <c r="E558" s="103"/>
      <c r="F558" s="36"/>
      <c r="G558" s="92"/>
      <c r="H558" s="19"/>
      <c r="I558" s="19"/>
      <c r="J558" s="16"/>
      <c r="K558" s="17"/>
      <c r="O558" s="17"/>
      <c r="P558" s="17"/>
      <c r="Q558" s="17"/>
      <c r="R558" s="38" t="e">
        <f>INDEX('Pwr Factor'!$A$1:$B$52,MATCH((D559),'Pwr Factor'!$A$1:$A$52,0),2)</f>
        <v>#N/A</v>
      </c>
      <c r="S558" s="50">
        <v>0.5</v>
      </c>
      <c r="T558" s="17"/>
      <c r="U558" s="17"/>
      <c r="V558" s="8"/>
      <c r="W558" s="17"/>
      <c r="X558" s="17"/>
      <c r="Y558" s="17"/>
      <c r="Z558" s="17"/>
      <c r="AA558" s="17"/>
      <c r="AB558" s="19"/>
      <c r="AC558" s="67"/>
    </row>
    <row r="559" spans="1:29" x14ac:dyDescent="0.2">
      <c r="A559" s="1" t="s">
        <v>139</v>
      </c>
      <c r="B559" s="103">
        <f>IF(AND('AES Indiana Bill Calc.'!$D$17="SL",'AES Indiana Bill Calc.'!$D$18="Yes 50%",'AES Indiana Bill Calc.'!$D$20="Yes 2018"),'AES Indiana Bill Calc.'!$D$19,-1)</f>
        <v>-1</v>
      </c>
      <c r="C559" s="103">
        <f>MAX(E559,$C$533)</f>
        <v>50</v>
      </c>
      <c r="D559" s="103" t="b">
        <f>IF(AND('AES Indiana Bill Calc.'!$D$17="SL",'AES Indiana Bill Calc.'!$D$18="Yes 50%",'AES Indiana Bill Calc.'!$D$20="Yes 2018"),'AES Indiana Bill Calc.'!$D$22)</f>
        <v>0</v>
      </c>
      <c r="E559" s="103" t="b">
        <f>IF(AND('AES Indiana Bill Calc.'!$D$17="SL",'AES Indiana Bill Calc.'!$D$18="Yes 50%",'AES Indiana Bill Calc.'!$D$20="Yes 2018"),'AES Indiana Bill Calc.'!$D$21)</f>
        <v>0</v>
      </c>
      <c r="F559" s="36" t="s">
        <v>193</v>
      </c>
      <c r="G559" s="17" t="e">
        <f>SUM(J559:M559,O559:P559,R559:AA559)</f>
        <v>#N/A</v>
      </c>
      <c r="H559" s="19" t="e">
        <f>IF(ISBLANK(B559),0,+#REF!/B559)</f>
        <v>#REF!</v>
      </c>
      <c r="J559" s="82">
        <f>IF(ISBLANK(B559),0,+J$532)</f>
        <v>120</v>
      </c>
      <c r="K559" s="42">
        <f>ROUND($B559*K$532,2)</f>
        <v>-0.04</v>
      </c>
      <c r="N559" s="18">
        <f>K559</f>
        <v>-0.04</v>
      </c>
      <c r="O559" s="17">
        <f>IF($C559&gt;M$533,ROUND(M$533*M$532,2),ROUND($C559*M$532,2))</f>
        <v>1237</v>
      </c>
      <c r="P559" s="17">
        <f>IF($C559&gt;M$533,ROUND(($C559-M$533)*O$532,2),0)</f>
        <v>0</v>
      </c>
      <c r="Q559" s="17">
        <f>SUM(O559:P559)</f>
        <v>1237</v>
      </c>
      <c r="R559" s="16" t="e">
        <f>ROUND(SUM(N559:P559)*(R558-1),2)</f>
        <v>#N/A</v>
      </c>
      <c r="S559" s="42">
        <f>ROUND($B559*S$532*S558,2)</f>
        <v>0</v>
      </c>
      <c r="T559" s="42">
        <f>ROUND($B559*T$532,2)</f>
        <v>0</v>
      </c>
      <c r="U559" s="42">
        <f>ROUND($B559*U$532,2)</f>
        <v>0</v>
      </c>
      <c r="V559" s="41">
        <f>ROUND($B559*$V$523,2)</f>
        <v>0</v>
      </c>
      <c r="W559" s="42">
        <f>ROUND($B559*W$532,2)</f>
        <v>0</v>
      </c>
      <c r="X559" s="42">
        <f>ROUND($B559*X$532,2)</f>
        <v>-0.01</v>
      </c>
      <c r="Y559" s="42">
        <f>ROUND($B559*Y$532,2)</f>
        <v>0</v>
      </c>
      <c r="Z559" s="42">
        <f>ROUND($B559*Z$532,2)</f>
        <v>0</v>
      </c>
      <c r="AA559" s="42">
        <f>ROUND($B559*AA$532,2)</f>
        <v>0</v>
      </c>
      <c r="AB559" s="19" t="e">
        <f>SUM(U$532:AA$532)+(-V$532+V535)</f>
        <v>#VALUE!</v>
      </c>
      <c r="AC559" s="94" t="str">
        <f>+F559</f>
        <v>SL8</v>
      </c>
    </row>
    <row r="560" spans="1:29" x14ac:dyDescent="0.2">
      <c r="A560" s="9"/>
      <c r="B560" s="103">
        <v>-1</v>
      </c>
      <c r="D560" s="32"/>
      <c r="E560" s="103"/>
      <c r="F560" s="36"/>
      <c r="G560" s="92"/>
      <c r="H560" s="19"/>
      <c r="I560" s="19"/>
      <c r="J560" s="16"/>
      <c r="K560" s="17"/>
      <c r="O560" s="17"/>
      <c r="P560" s="17"/>
      <c r="Q560" s="17"/>
      <c r="R560" s="38" t="e">
        <f>INDEX('Pwr Factor'!$A$1:$B$52,MATCH((D561),'Pwr Factor'!$A$1:$A$52,0),2)</f>
        <v>#N/A</v>
      </c>
      <c r="S560" s="50">
        <v>0.25</v>
      </c>
      <c r="T560" s="17"/>
      <c r="U560" s="17"/>
      <c r="V560" s="8"/>
      <c r="W560" s="17"/>
      <c r="X560" s="17"/>
      <c r="Y560" s="17"/>
      <c r="Z560" s="17"/>
      <c r="AA560" s="17"/>
      <c r="AB560" s="19"/>
      <c r="AC560" s="67"/>
    </row>
    <row r="561" spans="1:29" x14ac:dyDescent="0.2">
      <c r="A561" s="1" t="s">
        <v>140</v>
      </c>
      <c r="B561" s="103">
        <f>IF(AND('AES Indiana Bill Calc.'!$D$17="SL",'AES Indiana Bill Calc.'!$D$18="Yes 25%",'AES Indiana Bill Calc.'!$D$20="Yes 2018"),'AES Indiana Bill Calc.'!$D$19,-1)</f>
        <v>-1</v>
      </c>
      <c r="C561" s="103">
        <f>MAX(E561,$C$533)</f>
        <v>50</v>
      </c>
      <c r="D561" s="103" t="b">
        <f>IF(AND('AES Indiana Bill Calc.'!$D$17="SL",'AES Indiana Bill Calc.'!$D$18="Yes 25%",'AES Indiana Bill Calc.'!$D$20="Yes 2018"),'AES Indiana Bill Calc.'!$D$22)</f>
        <v>0</v>
      </c>
      <c r="E561" s="103" t="b">
        <f>IF(AND('AES Indiana Bill Calc.'!$D$17="SL",'AES Indiana Bill Calc.'!$D$18="Yes 25%",'AES Indiana Bill Calc.'!$D$20="Yes 2018"),'AES Indiana Bill Calc.'!$D$21)</f>
        <v>0</v>
      </c>
      <c r="F561" s="36" t="s">
        <v>193</v>
      </c>
      <c r="G561" s="17" t="e">
        <f>SUM(J561:M561,O561:P561,R561:AA561)</f>
        <v>#N/A</v>
      </c>
      <c r="H561" s="19" t="e">
        <f>IF(ISBLANK(B561),0,+#REF!/B561)</f>
        <v>#REF!</v>
      </c>
      <c r="J561" s="82">
        <f>IF(ISBLANK(B561),0,+J$532)</f>
        <v>120</v>
      </c>
      <c r="K561" s="42">
        <f>ROUND($B561*K$532,2)</f>
        <v>-0.04</v>
      </c>
      <c r="N561" s="18">
        <f>K561</f>
        <v>-0.04</v>
      </c>
      <c r="O561" s="17">
        <f>IF($C561&gt;M$533,ROUND(M$533*M$532,2),ROUND($C561*M$532,2))</f>
        <v>1237</v>
      </c>
      <c r="P561" s="17">
        <f>IF($C561&gt;M$533,ROUND(($C561-M$533)*O$532,2),0)</f>
        <v>0</v>
      </c>
      <c r="Q561" s="17">
        <f>SUM(O561:P561)</f>
        <v>1237</v>
      </c>
      <c r="R561" s="16" t="e">
        <f>ROUND(SUM(N561:P561)*(R560-1),2)</f>
        <v>#N/A</v>
      </c>
      <c r="S561" s="42">
        <f>ROUND($B561*S$532*S560,2)</f>
        <v>0</v>
      </c>
      <c r="T561" s="42">
        <f>ROUND($B561*T$532,2)</f>
        <v>0</v>
      </c>
      <c r="U561" s="42">
        <f>ROUND($B561*U$532,2)</f>
        <v>0</v>
      </c>
      <c r="V561" s="41">
        <f>ROUND($B561*$V$523,2)</f>
        <v>0</v>
      </c>
      <c r="W561" s="42">
        <f>ROUND($B561*W$532,2)</f>
        <v>0</v>
      </c>
      <c r="X561" s="42">
        <f>ROUND($B561*X$532,2)</f>
        <v>-0.01</v>
      </c>
      <c r="Y561" s="42">
        <f>ROUND($B561*Y$532,2)</f>
        <v>0</v>
      </c>
      <c r="Z561" s="42">
        <f>ROUND($B561*Z$532,2)</f>
        <v>0</v>
      </c>
      <c r="AA561" s="42">
        <f>ROUND($B561*AA$532,2)</f>
        <v>0</v>
      </c>
      <c r="AB561" s="19">
        <f>SUM(U$532:AA$532)+(-V$532+V537)</f>
        <v>-5.5769999999999986E-3</v>
      </c>
      <c r="AC561" s="94" t="str">
        <f>+F561</f>
        <v>SL8</v>
      </c>
    </row>
    <row r="562" spans="1:29" x14ac:dyDescent="0.2">
      <c r="A562" s="9"/>
      <c r="B562" s="103">
        <v>-1</v>
      </c>
      <c r="D562" s="32"/>
      <c r="E562" s="103"/>
      <c r="F562" s="36"/>
      <c r="G562" s="92"/>
      <c r="H562" s="19"/>
      <c r="I562" s="19"/>
      <c r="J562" s="16"/>
      <c r="K562" s="17"/>
      <c r="O562" s="17"/>
      <c r="P562" s="17"/>
      <c r="Q562" s="17"/>
      <c r="R562" s="38" t="e">
        <f>INDEX('Pwr Factor'!$A$1:$B$52,MATCH((D563),'Pwr Factor'!$A$1:$A$52,0),2)</f>
        <v>#N/A</v>
      </c>
      <c r="S562" s="50">
        <v>0.1</v>
      </c>
      <c r="T562" s="17"/>
      <c r="U562" s="17"/>
      <c r="V562" s="8"/>
      <c r="W562" s="17"/>
      <c r="X562" s="17"/>
      <c r="Y562" s="17"/>
      <c r="Z562" s="17"/>
      <c r="AA562" s="17"/>
      <c r="AB562" s="19"/>
      <c r="AC562" s="67"/>
    </row>
    <row r="563" spans="1:29" x14ac:dyDescent="0.2">
      <c r="A563" s="1" t="s">
        <v>154</v>
      </c>
      <c r="B563" s="103">
        <f>IF(AND('AES Indiana Bill Calc.'!$D$17="SL",'AES Indiana Bill Calc.'!$D$18="Yes 10%",'AES Indiana Bill Calc.'!$D$20="Yes 2018"),'AES Indiana Bill Calc.'!$D$19,-1)</f>
        <v>-1</v>
      </c>
      <c r="C563" s="103">
        <f>MAX(E563,$C$533)</f>
        <v>50</v>
      </c>
      <c r="D563" s="103" t="b">
        <f>IF(AND('AES Indiana Bill Calc.'!$D$17="SL",'AES Indiana Bill Calc.'!$D$18="Yes 10%",'AES Indiana Bill Calc.'!$D$20="Yes 2018"),'AES Indiana Bill Calc.'!$D$22)</f>
        <v>0</v>
      </c>
      <c r="E563" s="103" t="b">
        <f>IF(AND('AES Indiana Bill Calc.'!$D$17="SL",'AES Indiana Bill Calc.'!$D$18="Yes 10%",'AES Indiana Bill Calc.'!$D$20="Yes 2018"),'AES Indiana Bill Calc.'!$D$21)</f>
        <v>0</v>
      </c>
      <c r="F563" s="36" t="s">
        <v>193</v>
      </c>
      <c r="G563" s="17" t="e">
        <f>SUM(J563:M563,O563:P563,R563:AA563)</f>
        <v>#N/A</v>
      </c>
      <c r="H563" s="19" t="e">
        <f>IF(ISBLANK(B563),0,+#REF!/B563)</f>
        <v>#REF!</v>
      </c>
      <c r="J563" s="82">
        <f>IF(ISBLANK(B563),0,+J$532)</f>
        <v>120</v>
      </c>
      <c r="K563" s="42">
        <f>ROUND($B563*K$532,2)</f>
        <v>-0.04</v>
      </c>
      <c r="N563" s="18">
        <f>K563</f>
        <v>-0.04</v>
      </c>
      <c r="O563" s="17">
        <f>IF($C563&gt;M$533,ROUND(M$533*M$532,2),ROUND($C563*M$532,2))</f>
        <v>1237</v>
      </c>
      <c r="P563" s="17">
        <f>IF($C563&gt;M$533,ROUND(($C563-M$533)*O$532,2),0)</f>
        <v>0</v>
      </c>
      <c r="Q563" s="17">
        <f>SUM(O563:P563)</f>
        <v>1237</v>
      </c>
      <c r="R563" s="16" t="e">
        <f>ROUND(SUM(N563:P563)*(R562-1),2)</f>
        <v>#N/A</v>
      </c>
      <c r="S563" s="42">
        <f>ROUND($B563*S$532*S562,2)</f>
        <v>0</v>
      </c>
      <c r="T563" s="42">
        <f>ROUND($B563*T$532,2)</f>
        <v>0</v>
      </c>
      <c r="U563" s="42">
        <f>ROUND($B563*U$532,2)</f>
        <v>0</v>
      </c>
      <c r="V563" s="41">
        <f>ROUND($B563*$V$523,2)</f>
        <v>0</v>
      </c>
      <c r="W563" s="42">
        <f>ROUND($B563*W$532,2)</f>
        <v>0</v>
      </c>
      <c r="X563" s="42">
        <f>ROUND($B563*X$532,2)</f>
        <v>-0.01</v>
      </c>
      <c r="Y563" s="42">
        <f>ROUND($B563*Y$532,2)</f>
        <v>0</v>
      </c>
      <c r="Z563" s="42">
        <f>ROUND($B563*Z$532,2)</f>
        <v>0</v>
      </c>
      <c r="AA563" s="42">
        <f>ROUND($B563*AA$532,2)</f>
        <v>0</v>
      </c>
      <c r="AB563" s="19">
        <f>SUM(U$532:AA$532)+(-V$532+V539)</f>
        <v>-5.5769999999999986E-3</v>
      </c>
      <c r="AC563" s="94" t="str">
        <f>+F563</f>
        <v>SL8</v>
      </c>
    </row>
    <row r="564" spans="1:29" x14ac:dyDescent="0.2">
      <c r="A564" s="9"/>
      <c r="B564" s="103">
        <v>-1</v>
      </c>
      <c r="D564" s="32"/>
      <c r="E564" s="103"/>
      <c r="F564" s="36"/>
      <c r="G564" s="92"/>
      <c r="H564" s="19"/>
      <c r="I564" s="19"/>
      <c r="J564" s="16"/>
      <c r="K564" s="17"/>
      <c r="O564" s="17"/>
      <c r="P564" s="17"/>
      <c r="Q564" s="17"/>
      <c r="R564" s="38" t="e">
        <f>INDEX('Pwr Factor'!$A$1:$B$52,MATCH((D565),'Pwr Factor'!$A$1:$A$52,0),2)</f>
        <v>#N/A</v>
      </c>
      <c r="S564" s="50">
        <v>0</v>
      </c>
      <c r="T564" s="17"/>
      <c r="U564" s="17"/>
      <c r="V564" s="8"/>
      <c r="W564" s="17"/>
      <c r="X564" s="17"/>
      <c r="Y564" s="17"/>
      <c r="Z564" s="17"/>
      <c r="AA564" s="17"/>
      <c r="AB564" s="19"/>
      <c r="AC564" s="67"/>
    </row>
    <row r="565" spans="1:29" x14ac:dyDescent="0.2">
      <c r="A565" s="1" t="s">
        <v>137</v>
      </c>
      <c r="B565" s="103">
        <f>IF(AND('AES Indiana Bill Calc.'!$D$17="SL",'AES Indiana Bill Calc.'!$D$18="No",'AES Indiana Bill Calc.'!$D$20="Yes 2018"),'AES Indiana Bill Calc.'!$D$19,-1)</f>
        <v>-1</v>
      </c>
      <c r="C565" s="103">
        <f>MAX(E565,$C$533)</f>
        <v>50</v>
      </c>
      <c r="D565" s="103" t="b">
        <f>IF(AND('AES Indiana Bill Calc.'!$D$17="SL",'AES Indiana Bill Calc.'!$D$18="No",'AES Indiana Bill Calc.'!$D$20="Yes 2018"),'AES Indiana Bill Calc.'!$D$22)</f>
        <v>0</v>
      </c>
      <c r="E565" s="103" t="b">
        <f>IF(AND('AES Indiana Bill Calc.'!$D$17="SL",'AES Indiana Bill Calc.'!$D$18="No",'AES Indiana Bill Calc.'!$D$20="Yes 2018"),'AES Indiana Bill Calc.'!$D$21)</f>
        <v>0</v>
      </c>
      <c r="F565" s="36" t="s">
        <v>193</v>
      </c>
      <c r="G565" s="17" t="e">
        <f>SUM(J565:M565,O565:P565,R565:AA565)</f>
        <v>#N/A</v>
      </c>
      <c r="H565" s="19" t="e">
        <f>IF(ISBLANK(B565),0,+#REF!/B565)</f>
        <v>#REF!</v>
      </c>
      <c r="J565" s="82">
        <f>IF(ISBLANK(B565),0,+J$532)</f>
        <v>120</v>
      </c>
      <c r="K565" s="42">
        <f>ROUND($B565*K$532,2)</f>
        <v>-0.04</v>
      </c>
      <c r="N565" s="18">
        <f>K565</f>
        <v>-0.04</v>
      </c>
      <c r="O565" s="17">
        <f>IF($C565&gt;M$533,ROUND(M$533*M$532,2),ROUND($C565*M$532,2))</f>
        <v>1237</v>
      </c>
      <c r="P565" s="17">
        <f>IF($C565&gt;M$533,ROUND(($C565-M$533)*O$532,2),0)</f>
        <v>0</v>
      </c>
      <c r="Q565" s="17">
        <f>SUM(O565:P565)</f>
        <v>1237</v>
      </c>
      <c r="R565" s="16" t="e">
        <f>ROUND(SUM(N565:P565)*(R564-1),2)</f>
        <v>#N/A</v>
      </c>
      <c r="S565" s="42">
        <f>ROUND($B565*S$532*S564,2)</f>
        <v>0</v>
      </c>
      <c r="T565" s="42">
        <f>ROUND($B565*T$532,2)</f>
        <v>0</v>
      </c>
      <c r="U565" s="42">
        <f>ROUND($B565*U$532,2)</f>
        <v>0</v>
      </c>
      <c r="V565" s="41">
        <f>ROUND($B565*$V$523,2)</f>
        <v>0</v>
      </c>
      <c r="W565" s="42">
        <f>ROUND($B565*W$532,2)</f>
        <v>0</v>
      </c>
      <c r="X565" s="42">
        <f>ROUND($B565*X$532,2)</f>
        <v>-0.01</v>
      </c>
      <c r="Y565" s="42">
        <f>ROUND($B565*Y$532,2)</f>
        <v>0</v>
      </c>
      <c r="Z565" s="42">
        <f>ROUND($B565*Z$532,2)</f>
        <v>0</v>
      </c>
      <c r="AA565" s="42">
        <f>ROUND($B565*AA$532,2)</f>
        <v>0</v>
      </c>
      <c r="AB565" s="19">
        <f>SUM(U$532:AA$532)+(-V$532+V541)</f>
        <v>-5.5769999999999986E-3</v>
      </c>
      <c r="AC565" s="94" t="str">
        <f>+F565</f>
        <v>SL8</v>
      </c>
    </row>
    <row r="566" spans="1:29" x14ac:dyDescent="0.2">
      <c r="A566" s="53"/>
      <c r="B566" s="97">
        <v>-1</v>
      </c>
      <c r="D566" s="87"/>
      <c r="E566" s="97"/>
      <c r="F566" s="36"/>
      <c r="G566" s="98"/>
      <c r="H566" s="19"/>
      <c r="J566" s="104"/>
      <c r="K566" s="98"/>
      <c r="O566" s="98"/>
      <c r="P566" s="98"/>
      <c r="Q566" s="98"/>
      <c r="R566" s="38" t="e">
        <f>INDEX('Pwr Factor'!$A$1:$B$52,MATCH((D567),'Pwr Factor'!$A$1:$A$52,0),2)</f>
        <v>#N/A</v>
      </c>
      <c r="S566" s="50">
        <v>1</v>
      </c>
      <c r="T566" s="98"/>
      <c r="U566" s="98"/>
      <c r="V566" s="87"/>
      <c r="W566" s="98"/>
      <c r="X566" s="98"/>
      <c r="Y566" s="98"/>
      <c r="Z566" s="98"/>
      <c r="AA566" s="98"/>
      <c r="AB566" s="19"/>
      <c r="AC566" s="105"/>
    </row>
    <row r="567" spans="1:29" x14ac:dyDescent="0.2">
      <c r="A567" s="1" t="s">
        <v>138</v>
      </c>
      <c r="B567" s="103">
        <f>IF(AND('AES Indiana Bill Calc.'!$D$17="SL",'AES Indiana Bill Calc.'!$D$18="Yes 100%",'AES Indiana Bill Calc.'!$D$20="Yes 2019"),'AES Indiana Bill Calc.'!$D$19,-1)</f>
        <v>-1</v>
      </c>
      <c r="C567" s="103">
        <f>MAX(E567,$C$533)</f>
        <v>50</v>
      </c>
      <c r="D567" s="103" t="b">
        <f>IF(AND('AES Indiana Bill Calc.'!$D$17="SL",'AES Indiana Bill Calc.'!$D$18="Yes 100%",'AES Indiana Bill Calc.'!$D$20="Yes 2019"),'AES Indiana Bill Calc.'!$D$22)</f>
        <v>0</v>
      </c>
      <c r="E567" s="103" t="b">
        <f>IF(AND('AES Indiana Bill Calc.'!$D$17="SL",'AES Indiana Bill Calc.'!$D$18="Yes 100%",'AES Indiana Bill Calc.'!$D$20="Yes 2019"),'AES Indiana Bill Calc.'!$D$21)</f>
        <v>0</v>
      </c>
      <c r="F567" s="36" t="s">
        <v>194</v>
      </c>
      <c r="G567" s="17" t="e">
        <f>SUM(J567:M567,O567:P567,R567:AA567)</f>
        <v>#N/A</v>
      </c>
      <c r="H567" s="19" t="e">
        <f>IF(ISBLANK(B567),0,+#REF!/B567)</f>
        <v>#REF!</v>
      </c>
      <c r="J567" s="82">
        <f>IF(ISBLANK(B567),0,+J$532)</f>
        <v>120</v>
      </c>
      <c r="K567" s="42">
        <f>ROUND($B567*K$532,2)</f>
        <v>-0.04</v>
      </c>
      <c r="N567" s="18">
        <f>K567</f>
        <v>-0.04</v>
      </c>
      <c r="O567" s="17">
        <f>IF($C567&gt;M$533,ROUND(M$533*M$532,2),ROUND($C567*M$532,2))</f>
        <v>1237</v>
      </c>
      <c r="P567" s="17">
        <f>IF($C567&gt;M$533,ROUND(($C567-M$533)*O$532,2),0)</f>
        <v>0</v>
      </c>
      <c r="Q567" s="17">
        <f>SUM(O567:P567)</f>
        <v>1237</v>
      </c>
      <c r="R567" s="16" t="e">
        <f>ROUND(SUM(N567:P567)*(R566-1),2)</f>
        <v>#N/A</v>
      </c>
      <c r="S567" s="42">
        <f>ROUND($B567*S$532*S566,2)</f>
        <v>0</v>
      </c>
      <c r="T567" s="42">
        <f>ROUND($B567*T$532,2)</f>
        <v>0</v>
      </c>
      <c r="U567" s="42">
        <f>ROUND($B567*U$532,2)</f>
        <v>0</v>
      </c>
      <c r="V567" s="41">
        <f>ROUND($B567*$V$524,2)</f>
        <v>0</v>
      </c>
      <c r="W567" s="42">
        <f>ROUND($B567*W$532,2)</f>
        <v>0</v>
      </c>
      <c r="X567" s="42">
        <f>ROUND($B567*X$532,2)</f>
        <v>-0.01</v>
      </c>
      <c r="Y567" s="42">
        <f>ROUND($B567*Y$532,2)</f>
        <v>0</v>
      </c>
      <c r="Z567" s="42">
        <f>ROUND($B567*Z$532,2)</f>
        <v>0</v>
      </c>
      <c r="AA567" s="42">
        <f>ROUND($B567*AA$532,2)</f>
        <v>0</v>
      </c>
      <c r="AB567" s="19" t="e">
        <f>SUM(U$532:AA$532)+(-V$532+V535)</f>
        <v>#VALUE!</v>
      </c>
      <c r="AC567" s="94" t="str">
        <f>+F567</f>
        <v>SL9</v>
      </c>
    </row>
    <row r="568" spans="1:29" x14ac:dyDescent="0.2">
      <c r="A568" s="9"/>
      <c r="B568" s="97">
        <v>-1</v>
      </c>
      <c r="D568" s="87"/>
      <c r="E568" s="97"/>
      <c r="F568" s="36"/>
      <c r="G568" s="98"/>
      <c r="H568" s="19"/>
      <c r="J568" s="104"/>
      <c r="K568" s="98"/>
      <c r="O568" s="98"/>
      <c r="P568" s="98"/>
      <c r="Q568" s="98"/>
      <c r="R568" s="38" t="e">
        <f>INDEX('Pwr Factor'!$A$1:$B$52,MATCH((D569),'Pwr Factor'!$A$1:$A$52,0),2)</f>
        <v>#N/A</v>
      </c>
      <c r="S568" s="50">
        <v>0.5</v>
      </c>
      <c r="T568" s="98"/>
      <c r="U568" s="98"/>
      <c r="V568" s="87"/>
      <c r="W568" s="98"/>
      <c r="X568" s="98"/>
      <c r="Y568" s="98"/>
      <c r="Z568" s="98"/>
      <c r="AA568" s="98"/>
      <c r="AB568" s="19"/>
      <c r="AC568" s="105"/>
    </row>
    <row r="569" spans="1:29" x14ac:dyDescent="0.2">
      <c r="A569" s="1" t="s">
        <v>139</v>
      </c>
      <c r="B569" s="103">
        <f>IF(AND('AES Indiana Bill Calc.'!$D$17="SL",'AES Indiana Bill Calc.'!$D$18="Yes 50%",'AES Indiana Bill Calc.'!$D$20="Yes 2019"),'AES Indiana Bill Calc.'!$D$19,-1)</f>
        <v>-1</v>
      </c>
      <c r="C569" s="103">
        <f>MAX(E569,$C$533)</f>
        <v>50</v>
      </c>
      <c r="D569" s="103" t="b">
        <f>IF(AND('AES Indiana Bill Calc.'!$D$17="SL",'AES Indiana Bill Calc.'!$D$18="Yes 50%",'AES Indiana Bill Calc.'!$D$20="Yes 2019"),'AES Indiana Bill Calc.'!$D$22)</f>
        <v>0</v>
      </c>
      <c r="E569" s="103" t="b">
        <f>IF(AND('AES Indiana Bill Calc.'!$D$17="SL",'AES Indiana Bill Calc.'!$D$18="Yes 50%",'AES Indiana Bill Calc.'!$D$20="Yes 2019"),'AES Indiana Bill Calc.'!$D$21)</f>
        <v>0</v>
      </c>
      <c r="F569" s="36" t="s">
        <v>194</v>
      </c>
      <c r="G569" s="17" t="e">
        <f>SUM(J569:M569,O569:P569,R569:AA569)</f>
        <v>#N/A</v>
      </c>
      <c r="H569" s="19" t="e">
        <f>IF(ISBLANK(B569),0,+#REF!/B569)</f>
        <v>#REF!</v>
      </c>
      <c r="J569" s="82">
        <f>IF(ISBLANK(B569),0,+J$532)</f>
        <v>120</v>
      </c>
      <c r="K569" s="42">
        <f>ROUND($B569*K$532,2)</f>
        <v>-0.04</v>
      </c>
      <c r="N569" s="18">
        <f>K569</f>
        <v>-0.04</v>
      </c>
      <c r="O569" s="17">
        <f>IF($C569&gt;M$533,ROUND(M$533*M$532,2),ROUND($C569*M$532,2))</f>
        <v>1237</v>
      </c>
      <c r="P569" s="17">
        <f>IF($C569&gt;M$533,ROUND(($C569-M$533)*O$532,2),0)</f>
        <v>0</v>
      </c>
      <c r="Q569" s="17">
        <f>SUM(O569:P569)</f>
        <v>1237</v>
      </c>
      <c r="R569" s="16" t="e">
        <f>ROUND(SUM(N569:P569)*(R568-1),2)</f>
        <v>#N/A</v>
      </c>
      <c r="S569" s="42">
        <f>ROUND($B569*S$532*S568,2)</f>
        <v>0</v>
      </c>
      <c r="T569" s="42">
        <f>ROUND($B569*T$532,2)</f>
        <v>0</v>
      </c>
      <c r="U569" s="42">
        <f>ROUND($B569*U$532,2)</f>
        <v>0</v>
      </c>
      <c r="V569" s="41">
        <f>ROUND($B569*$V$524,2)</f>
        <v>0</v>
      </c>
      <c r="W569" s="42">
        <f>ROUND($B569*W$532,2)</f>
        <v>0</v>
      </c>
      <c r="X569" s="42">
        <f>ROUND($B569*X$532,2)</f>
        <v>-0.01</v>
      </c>
      <c r="Y569" s="42">
        <f>ROUND($B569*Y$532,2)</f>
        <v>0</v>
      </c>
      <c r="Z569" s="42">
        <f>ROUND($B569*Z$532,2)</f>
        <v>0</v>
      </c>
      <c r="AA569" s="42">
        <f>ROUND($B569*AA$532,2)</f>
        <v>0</v>
      </c>
      <c r="AB569" s="19">
        <f>SUM(U$532:AA$532)+(-V$532+V537)</f>
        <v>-5.5769999999999986E-3</v>
      </c>
      <c r="AC569" s="94" t="str">
        <f>+F569</f>
        <v>SL9</v>
      </c>
    </row>
    <row r="570" spans="1:29" x14ac:dyDescent="0.2">
      <c r="A570" s="9"/>
      <c r="B570" s="97">
        <v>-1</v>
      </c>
      <c r="D570" s="87"/>
      <c r="E570" s="97"/>
      <c r="F570" s="36"/>
      <c r="G570" s="98"/>
      <c r="H570" s="19"/>
      <c r="J570" s="104"/>
      <c r="K570" s="98"/>
      <c r="O570" s="98"/>
      <c r="P570" s="98"/>
      <c r="Q570" s="98"/>
      <c r="R570" s="38" t="e">
        <f>INDEX('Pwr Factor'!$A$1:$B$52,MATCH((D571),'Pwr Factor'!$A$1:$A$52,0),2)</f>
        <v>#N/A</v>
      </c>
      <c r="S570" s="50">
        <v>0.25</v>
      </c>
      <c r="T570" s="98"/>
      <c r="U570" s="98"/>
      <c r="V570" s="87"/>
      <c r="W570" s="98"/>
      <c r="X570" s="98"/>
      <c r="Y570" s="98"/>
      <c r="Z570" s="98"/>
      <c r="AA570" s="98"/>
      <c r="AB570" s="19"/>
      <c r="AC570" s="105"/>
    </row>
    <row r="571" spans="1:29" x14ac:dyDescent="0.2">
      <c r="A571" s="1" t="s">
        <v>140</v>
      </c>
      <c r="B571" s="103">
        <f>IF(AND('AES Indiana Bill Calc.'!$D$17="SL",'AES Indiana Bill Calc.'!$D$18="Yes 25%",'AES Indiana Bill Calc.'!$D$20="Yes 2019"),'AES Indiana Bill Calc.'!$D$19,-1)</f>
        <v>-1</v>
      </c>
      <c r="C571" s="103">
        <f>MAX(E571,$C$533)</f>
        <v>50</v>
      </c>
      <c r="D571" s="103" t="b">
        <f>IF(AND('AES Indiana Bill Calc.'!$D$17="SL",'AES Indiana Bill Calc.'!$D$18="Yes 25%",'AES Indiana Bill Calc.'!$D$20="Yes 2019"),'AES Indiana Bill Calc.'!$D$22)</f>
        <v>0</v>
      </c>
      <c r="E571" s="103" t="b">
        <f>IF(AND('AES Indiana Bill Calc.'!$D$17="SL",'AES Indiana Bill Calc.'!$D$18="Yes 25%",'AES Indiana Bill Calc.'!$D$20="Yes 2019"),'AES Indiana Bill Calc.'!$D$21)</f>
        <v>0</v>
      </c>
      <c r="F571" s="36" t="s">
        <v>194</v>
      </c>
      <c r="G571" s="17" t="e">
        <f>SUM(J571:M571,O571:P571,R571:AA571)</f>
        <v>#N/A</v>
      </c>
      <c r="H571" s="19" t="e">
        <f>IF(ISBLANK(B571),0,+#REF!/B571)</f>
        <v>#REF!</v>
      </c>
      <c r="J571" s="82">
        <f>IF(ISBLANK(B571),0,+J$532)</f>
        <v>120</v>
      </c>
      <c r="K571" s="42">
        <f>ROUND($B571*K$532,2)</f>
        <v>-0.04</v>
      </c>
      <c r="N571" s="18">
        <f>K571</f>
        <v>-0.04</v>
      </c>
      <c r="O571" s="17">
        <f>IF($C571&gt;M$533,ROUND(M$533*M$532,2),ROUND($C571*M$532,2))</f>
        <v>1237</v>
      </c>
      <c r="P571" s="17">
        <f>IF($C571&gt;M$533,ROUND(($C571-M$533)*O$532,2),0)</f>
        <v>0</v>
      </c>
      <c r="Q571" s="17">
        <f>SUM(O571:P571)</f>
        <v>1237</v>
      </c>
      <c r="R571" s="16" t="e">
        <f>ROUND(SUM(N571:P571)*(R570-1),2)</f>
        <v>#N/A</v>
      </c>
      <c r="S571" s="42">
        <f>ROUND($B571*S$532*S570,2)</f>
        <v>0</v>
      </c>
      <c r="T571" s="42">
        <f>ROUND($B571*T$532,2)</f>
        <v>0</v>
      </c>
      <c r="U571" s="42">
        <f>ROUND($B571*U$532,2)</f>
        <v>0</v>
      </c>
      <c r="V571" s="41">
        <f>ROUND($B571*$V$524,2)</f>
        <v>0</v>
      </c>
      <c r="W571" s="42">
        <f>ROUND($B571*W$532,2)</f>
        <v>0</v>
      </c>
      <c r="X571" s="42">
        <f>ROUND($B571*X$532,2)</f>
        <v>-0.01</v>
      </c>
      <c r="Y571" s="42">
        <f>ROUND($B571*Y$532,2)</f>
        <v>0</v>
      </c>
      <c r="Z571" s="42">
        <f>ROUND($B571*Z$532,2)</f>
        <v>0</v>
      </c>
      <c r="AA571" s="42">
        <f>ROUND($B571*AA$532,2)</f>
        <v>0</v>
      </c>
      <c r="AB571" s="19">
        <f>SUM(U$532:AA$532)+(-V$532+V539)</f>
        <v>-5.5769999999999986E-3</v>
      </c>
      <c r="AC571" s="94" t="str">
        <f>+F571</f>
        <v>SL9</v>
      </c>
    </row>
    <row r="572" spans="1:29" x14ac:dyDescent="0.2">
      <c r="A572" s="9"/>
      <c r="B572" s="97">
        <v>-1</v>
      </c>
      <c r="D572" s="87"/>
      <c r="E572" s="97"/>
      <c r="F572" s="36"/>
      <c r="G572" s="98"/>
      <c r="H572" s="19"/>
      <c r="J572" s="104"/>
      <c r="K572" s="98"/>
      <c r="O572" s="98"/>
      <c r="P572" s="98"/>
      <c r="Q572" s="98"/>
      <c r="R572" s="38" t="e">
        <f>INDEX('Pwr Factor'!$A$1:$B$52,MATCH((D573),'Pwr Factor'!$A$1:$A$52,0),2)</f>
        <v>#N/A</v>
      </c>
      <c r="S572" s="50">
        <v>0.1</v>
      </c>
      <c r="T572" s="98"/>
      <c r="U572" s="98"/>
      <c r="V572" s="87"/>
      <c r="W572" s="98"/>
      <c r="X572" s="98"/>
      <c r="Y572" s="98"/>
      <c r="Z572" s="98"/>
      <c r="AA572" s="98"/>
      <c r="AB572" s="19"/>
      <c r="AC572" s="105"/>
    </row>
    <row r="573" spans="1:29" x14ac:dyDescent="0.2">
      <c r="A573" s="1" t="s">
        <v>154</v>
      </c>
      <c r="B573" s="103">
        <f>IF(AND('AES Indiana Bill Calc.'!$D$17="SL",'AES Indiana Bill Calc.'!$D$18="Yes 10%",'AES Indiana Bill Calc.'!$D$20="Yes 2019"),'AES Indiana Bill Calc.'!$D$19,-1)</f>
        <v>-1</v>
      </c>
      <c r="C573" s="103">
        <f>MAX(E573,$C$533)</f>
        <v>50</v>
      </c>
      <c r="D573" s="103" t="b">
        <f>IF(AND('AES Indiana Bill Calc.'!$D$17="SL",'AES Indiana Bill Calc.'!$D$18="Yes 10%",'AES Indiana Bill Calc.'!$D$20="Yes 2019"),'AES Indiana Bill Calc.'!$D$22)</f>
        <v>0</v>
      </c>
      <c r="E573" s="103" t="b">
        <f>IF(AND('AES Indiana Bill Calc.'!$D$17="SL",'AES Indiana Bill Calc.'!$D$18="Yes 10%",'AES Indiana Bill Calc.'!$D$20="Yes 2019"),'AES Indiana Bill Calc.'!$D$21)</f>
        <v>0</v>
      </c>
      <c r="F573" s="36" t="s">
        <v>194</v>
      </c>
      <c r="G573" s="17" t="e">
        <f>SUM(J573:M573,O573:P573,R573:AA573)</f>
        <v>#N/A</v>
      </c>
      <c r="H573" s="19" t="e">
        <f>IF(ISBLANK(B573),0,+#REF!/B573)</f>
        <v>#REF!</v>
      </c>
      <c r="J573" s="82">
        <f>IF(ISBLANK(B573),0,+J$532)</f>
        <v>120</v>
      </c>
      <c r="K573" s="42">
        <f>ROUND($B573*K$532,2)</f>
        <v>-0.04</v>
      </c>
      <c r="N573" s="18">
        <f>K573</f>
        <v>-0.04</v>
      </c>
      <c r="O573" s="17">
        <f>IF($C573&gt;M$533,ROUND(M$533*M$532,2),ROUND($C573*M$532,2))</f>
        <v>1237</v>
      </c>
      <c r="P573" s="17">
        <f>IF($C573&gt;M$533,ROUND(($C573-M$533)*O$532,2),0)</f>
        <v>0</v>
      </c>
      <c r="Q573" s="17">
        <f>SUM(O573:P573)</f>
        <v>1237</v>
      </c>
      <c r="R573" s="16" t="e">
        <f>ROUND(SUM(N573:P573)*(R572-1),2)</f>
        <v>#N/A</v>
      </c>
      <c r="S573" s="42">
        <f>ROUND($B573*S$532*S572,2)</f>
        <v>0</v>
      </c>
      <c r="T573" s="42">
        <f>ROUND($B573*T$532,2)</f>
        <v>0</v>
      </c>
      <c r="U573" s="42">
        <f>ROUND($B573*U$532,2)</f>
        <v>0</v>
      </c>
      <c r="V573" s="41">
        <f>ROUND($B573*$V$524,2)</f>
        <v>0</v>
      </c>
      <c r="W573" s="42">
        <f>ROUND($B573*W$532,2)</f>
        <v>0</v>
      </c>
      <c r="X573" s="42">
        <f>ROUND($B573*X$532,2)</f>
        <v>-0.01</v>
      </c>
      <c r="Y573" s="42">
        <f>ROUND($B573*Y$532,2)</f>
        <v>0</v>
      </c>
      <c r="Z573" s="42">
        <f>ROUND($B573*Z$532,2)</f>
        <v>0</v>
      </c>
      <c r="AA573" s="42">
        <f>ROUND($B573*AA$532,2)</f>
        <v>0</v>
      </c>
      <c r="AB573" s="19">
        <f>SUM(U$532:AA$532)+(-V$532+V541)</f>
        <v>-5.5769999999999986E-3</v>
      </c>
      <c r="AC573" s="94" t="str">
        <f>+F573</f>
        <v>SL9</v>
      </c>
    </row>
    <row r="574" spans="1:29" x14ac:dyDescent="0.2">
      <c r="A574" s="9"/>
      <c r="B574" s="97">
        <v>-1</v>
      </c>
      <c r="D574" s="87"/>
      <c r="E574" s="97"/>
      <c r="F574" s="36"/>
      <c r="G574" s="98"/>
      <c r="H574" s="19"/>
      <c r="J574" s="104"/>
      <c r="K574" s="98"/>
      <c r="O574" s="98"/>
      <c r="P574" s="98"/>
      <c r="Q574" s="98"/>
      <c r="R574" s="38" t="e">
        <f>INDEX('Pwr Factor'!$A$1:$B$52,MATCH((D575),'Pwr Factor'!$A$1:$A$52,0),2)</f>
        <v>#N/A</v>
      </c>
      <c r="S574" s="50">
        <v>0</v>
      </c>
      <c r="T574" s="98"/>
      <c r="U574" s="98"/>
      <c r="V574" s="87"/>
      <c r="W574" s="98"/>
      <c r="X574" s="98"/>
      <c r="Y574" s="98"/>
      <c r="Z574" s="98"/>
      <c r="AA574" s="98"/>
      <c r="AB574" s="19"/>
      <c r="AC574" s="105"/>
    </row>
    <row r="575" spans="1:29" x14ac:dyDescent="0.2">
      <c r="A575" s="1" t="s">
        <v>137</v>
      </c>
      <c r="B575" s="103">
        <f>IF(AND('AES Indiana Bill Calc.'!$D$17="SL",'AES Indiana Bill Calc.'!$D$18="No",'AES Indiana Bill Calc.'!$D$20="Yes 2019"),'AES Indiana Bill Calc.'!$D$19,-1)</f>
        <v>-1</v>
      </c>
      <c r="C575" s="103">
        <f>MAX(E575,$C$533)</f>
        <v>50</v>
      </c>
      <c r="D575" s="103" t="b">
        <f>IF(AND('AES Indiana Bill Calc.'!$D$17="SL",'AES Indiana Bill Calc.'!$D$18="No",'AES Indiana Bill Calc.'!$D$20="Yes 2019"),'AES Indiana Bill Calc.'!$D$22)</f>
        <v>0</v>
      </c>
      <c r="E575" s="103" t="b">
        <f>IF(AND('AES Indiana Bill Calc.'!$D$17="SL",'AES Indiana Bill Calc.'!$D$18="No",'AES Indiana Bill Calc.'!$D$20="Yes 2019"),'AES Indiana Bill Calc.'!$D$21)</f>
        <v>0</v>
      </c>
      <c r="F575" s="36" t="s">
        <v>194</v>
      </c>
      <c r="G575" s="17" t="e">
        <f>SUM(J575:M575,O575:P575,R575:AA575)</f>
        <v>#N/A</v>
      </c>
      <c r="H575" s="19" t="e">
        <f>IF(ISBLANK(B575),0,+#REF!/B575)</f>
        <v>#REF!</v>
      </c>
      <c r="J575" s="82">
        <f>IF(ISBLANK(B575),0,+J$532)</f>
        <v>120</v>
      </c>
      <c r="K575" s="42">
        <f>ROUND($B575*K$532,2)</f>
        <v>-0.04</v>
      </c>
      <c r="N575" s="18">
        <f>K575</f>
        <v>-0.04</v>
      </c>
      <c r="O575" s="17">
        <f>IF($C575&gt;M$533,ROUND(M$533*M$532,2),ROUND($C575*M$532,2))</f>
        <v>1237</v>
      </c>
      <c r="P575" s="17">
        <f>IF($C575&gt;M$533,ROUND(($C575-M$533)*O$532,2),0)</f>
        <v>0</v>
      </c>
      <c r="Q575" s="17">
        <f>SUM(O575:P575)</f>
        <v>1237</v>
      </c>
      <c r="R575" s="16" t="e">
        <f>ROUND(SUM(N575:P575)*(R574-1),2)</f>
        <v>#N/A</v>
      </c>
      <c r="S575" s="42">
        <f>ROUND($B575*S$532*S574,2)</f>
        <v>0</v>
      </c>
      <c r="T575" s="42">
        <f>ROUND($B575*T$532,2)</f>
        <v>0</v>
      </c>
      <c r="U575" s="42">
        <f>ROUND($B575*U$532,2)</f>
        <v>0</v>
      </c>
      <c r="V575" s="41">
        <f>ROUND($B575*$V$524,2)</f>
        <v>0</v>
      </c>
      <c r="W575" s="42">
        <f>ROUND($B575*W$532,2)</f>
        <v>0</v>
      </c>
      <c r="X575" s="42">
        <f>ROUND($B575*X$532,2)</f>
        <v>-0.01</v>
      </c>
      <c r="Y575" s="42">
        <f>ROUND($B575*Y$532,2)</f>
        <v>0</v>
      </c>
      <c r="Z575" s="42">
        <f>ROUND($B575*Z$532,2)</f>
        <v>0</v>
      </c>
      <c r="AA575" s="42">
        <f>ROUND($B575*AA$532,2)</f>
        <v>0</v>
      </c>
      <c r="AB575" s="19">
        <f>SUM(U$532:AA$532)+(-V$532+V543)</f>
        <v>-5.5769999999999986E-3</v>
      </c>
      <c r="AC575" s="94" t="str">
        <f>+F575</f>
        <v>SL9</v>
      </c>
    </row>
    <row r="576" spans="1:29" x14ac:dyDescent="0.2">
      <c r="A576" s="53"/>
      <c r="B576" s="97">
        <v>-1</v>
      </c>
      <c r="D576" s="87"/>
      <c r="E576" s="97"/>
      <c r="F576" s="36"/>
      <c r="G576" s="98"/>
      <c r="H576" s="19"/>
      <c r="J576" s="82"/>
      <c r="K576" s="42"/>
      <c r="O576" s="42"/>
      <c r="P576" s="42"/>
      <c r="Q576" s="42"/>
      <c r="R576" s="38" t="e">
        <f>INDEX('Pwr Factor'!$A$1:$B$52,MATCH((D577),'Pwr Factor'!$A$1:$A$52,0),2)</f>
        <v>#N/A</v>
      </c>
      <c r="S576" s="50">
        <v>1</v>
      </c>
      <c r="T576" s="42"/>
      <c r="U576" s="42"/>
      <c r="V576" s="41"/>
      <c r="W576" s="42"/>
      <c r="X576" s="42"/>
      <c r="Y576" s="42"/>
      <c r="Z576" s="42"/>
      <c r="AA576" s="42"/>
      <c r="AB576" s="19"/>
      <c r="AC576" s="67"/>
    </row>
    <row r="577" spans="1:123" s="21" customFormat="1" ht="13.5" thickBot="1" x14ac:dyDescent="0.25">
      <c r="A577" s="1" t="s">
        <v>138</v>
      </c>
      <c r="B577" s="103">
        <f>IF(AND('AES Indiana Bill Calc.'!$D$17="SL",'AES Indiana Bill Calc.'!$D$18="Yes 100%",'AES Indiana Bill Calc.'!$D$20="Yes 2020"),'AES Indiana Bill Calc.'!$D$19,-1)</f>
        <v>-1</v>
      </c>
      <c r="C577" s="103">
        <f>MAX(E577,$C$533)</f>
        <v>50</v>
      </c>
      <c r="D577" s="103" t="b">
        <f>IF(AND('AES Indiana Bill Calc.'!$D$17="SL",'AES Indiana Bill Calc.'!$D$18="Yes 100%",'AES Indiana Bill Calc.'!$D$20="Yes 2020"),'AES Indiana Bill Calc.'!$D$22)</f>
        <v>0</v>
      </c>
      <c r="E577" s="103" t="b">
        <f>IF(AND('AES Indiana Bill Calc.'!$D$17="SL",'AES Indiana Bill Calc.'!$D$18="Yes 100%",'AES Indiana Bill Calc.'!$D$20="Yes 2020"),'AES Indiana Bill Calc.'!$D$21)</f>
        <v>0</v>
      </c>
      <c r="F577" s="36" t="s">
        <v>195</v>
      </c>
      <c r="G577" s="17" t="e">
        <f>SUM(J577:M577,O577:P577,R577:AA577)</f>
        <v>#N/A</v>
      </c>
      <c r="H577" s="19" t="e">
        <f>IF(ISBLANK(B577),0,+#REF!/B577)</f>
        <v>#REF!</v>
      </c>
      <c r="I577"/>
      <c r="J577" s="82">
        <f>IF(ISBLANK(B577),0,+J$532)</f>
        <v>120</v>
      </c>
      <c r="K577" s="42">
        <f>ROUND($B577*K$532,2)</f>
        <v>-0.04</v>
      </c>
      <c r="L577"/>
      <c r="M577"/>
      <c r="N577" s="18">
        <f>K577</f>
        <v>-0.04</v>
      </c>
      <c r="O577" s="17">
        <f>IF($C577&gt;M$533,ROUND(M$533*M$532,2),ROUND($C577*M$532,2))</f>
        <v>1237</v>
      </c>
      <c r="P577" s="17">
        <f>IF($C577&gt;M$533,ROUND(($C577-M$533)*O$532,2),0)</f>
        <v>0</v>
      </c>
      <c r="Q577" s="17">
        <f>SUM(O577:P577)</f>
        <v>1237</v>
      </c>
      <c r="R577" s="16" t="e">
        <f>ROUND(SUM(N577:P577)*(R576-1),2)</f>
        <v>#N/A</v>
      </c>
      <c r="S577" s="42">
        <f>ROUND($B577*S$532*S576,2)</f>
        <v>0</v>
      </c>
      <c r="T577" s="42">
        <f>ROUND($B577*T$532,2)</f>
        <v>0</v>
      </c>
      <c r="U577" s="42">
        <f>ROUND($B577*U$532,2)</f>
        <v>0</v>
      </c>
      <c r="V577" s="41">
        <f>ROUND($B577*$V$525,2)</f>
        <v>0</v>
      </c>
      <c r="W577" s="42">
        <f>ROUND($B577*W$532,2)</f>
        <v>0</v>
      </c>
      <c r="X577" s="42">
        <f>ROUND($B577*X$532,2)</f>
        <v>-0.01</v>
      </c>
      <c r="Y577" s="42">
        <f>ROUND($B577*Y$532,2)</f>
        <v>0</v>
      </c>
      <c r="Z577" s="42">
        <f>ROUND($B577*Z$532,2)</f>
        <v>0</v>
      </c>
      <c r="AA577" s="42">
        <f>ROUND($B577*AA$532,2)</f>
        <v>0</v>
      </c>
      <c r="AB577" s="19">
        <f>SUM(U$532:AA$532)+(-V$532+V537)</f>
        <v>-5.5769999999999986E-3</v>
      </c>
      <c r="AC577" s="94" t="str">
        <f>+F577</f>
        <v>SL0</v>
      </c>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row>
    <row r="578" spans="1:123" x14ac:dyDescent="0.2">
      <c r="A578" s="9"/>
      <c r="B578" s="97">
        <v>-1</v>
      </c>
      <c r="D578" s="87"/>
      <c r="E578" s="97"/>
      <c r="F578" s="36"/>
      <c r="G578" s="98"/>
      <c r="H578" s="19"/>
      <c r="J578" s="82"/>
      <c r="K578" s="42"/>
      <c r="O578" s="42"/>
      <c r="P578" s="42"/>
      <c r="Q578" s="42"/>
      <c r="R578" s="38" t="e">
        <f>INDEX('Pwr Factor'!$A$1:$B$52,MATCH((D579),'Pwr Factor'!$A$1:$A$52,0),2)</f>
        <v>#N/A</v>
      </c>
      <c r="S578" s="50">
        <v>0.5</v>
      </c>
      <c r="T578" s="42"/>
      <c r="U578" s="42"/>
      <c r="V578" s="41"/>
      <c r="W578" s="42"/>
      <c r="X578" s="42"/>
      <c r="Y578" s="42"/>
      <c r="Z578" s="42"/>
      <c r="AA578" s="42"/>
      <c r="AB578" s="19"/>
      <c r="AC578" s="67"/>
    </row>
    <row r="579" spans="1:123" x14ac:dyDescent="0.2">
      <c r="A579" s="1" t="s">
        <v>139</v>
      </c>
      <c r="B579" s="103">
        <f>IF(AND('AES Indiana Bill Calc.'!$D$17="SL",'AES Indiana Bill Calc.'!$D$18="Yes 50%",'AES Indiana Bill Calc.'!$D$20="Yes 2020"),'AES Indiana Bill Calc.'!$D$19,-1)</f>
        <v>-1</v>
      </c>
      <c r="C579" s="103">
        <f>MAX(E579,$C$533)</f>
        <v>50</v>
      </c>
      <c r="D579" s="103" t="b">
        <f>IF(AND('AES Indiana Bill Calc.'!$D$17="SL",'AES Indiana Bill Calc.'!$D$18="Yes 50%",'AES Indiana Bill Calc.'!$D$20="Yes 2020"),'AES Indiana Bill Calc.'!$D$22)</f>
        <v>0</v>
      </c>
      <c r="E579" s="103" t="b">
        <f>IF(AND('AES Indiana Bill Calc.'!$D$17="SL",'AES Indiana Bill Calc.'!$D$18="Yes 50%",'AES Indiana Bill Calc.'!$D$20="Yes 2020"),'AES Indiana Bill Calc.'!$D$21)</f>
        <v>0</v>
      </c>
      <c r="F579" s="36" t="s">
        <v>195</v>
      </c>
      <c r="G579" s="17" t="e">
        <f>SUM(J579:M579,O579:P579,R579:AA579)</f>
        <v>#N/A</v>
      </c>
      <c r="H579" s="19" t="e">
        <f>IF(ISBLANK(B579),0,+#REF!/B579)</f>
        <v>#REF!</v>
      </c>
      <c r="J579" s="82">
        <f>IF(ISBLANK(B579),0,+J$532)</f>
        <v>120</v>
      </c>
      <c r="K579" s="42">
        <f>ROUND($B579*K$532,2)</f>
        <v>-0.04</v>
      </c>
      <c r="N579" s="18">
        <f>K579</f>
        <v>-0.04</v>
      </c>
      <c r="O579" s="17">
        <f>IF($C579&gt;M$533,ROUND(M$533*M$532,2),ROUND($C579*M$532,2))</f>
        <v>1237</v>
      </c>
      <c r="P579" s="17">
        <f>IF($C579&gt;M$533,ROUND(($C579-M$533)*O$532,2),0)</f>
        <v>0</v>
      </c>
      <c r="Q579" s="17">
        <f>SUM(O579:P579)</f>
        <v>1237</v>
      </c>
      <c r="R579" s="16" t="e">
        <f>ROUND(SUM(N579:P579)*(R578-1),2)</f>
        <v>#N/A</v>
      </c>
      <c r="S579" s="42">
        <f>ROUND($B579*S$532*S578,2)</f>
        <v>0</v>
      </c>
      <c r="T579" s="42">
        <f>ROUND($B579*T$532,2)</f>
        <v>0</v>
      </c>
      <c r="U579" s="42">
        <f>ROUND($B579*U$532,2)</f>
        <v>0</v>
      </c>
      <c r="V579" s="41">
        <f>ROUND($B579*$V$525,2)</f>
        <v>0</v>
      </c>
      <c r="W579" s="42">
        <f>ROUND($B579*W$532,2)</f>
        <v>0</v>
      </c>
      <c r="X579" s="42">
        <f>ROUND($B579*X$532,2)</f>
        <v>-0.01</v>
      </c>
      <c r="Y579" s="42">
        <f>ROUND($B579*Y$532,2)</f>
        <v>0</v>
      </c>
      <c r="Z579" s="42">
        <f>ROUND($B579*Z$532,2)</f>
        <v>0</v>
      </c>
      <c r="AA579" s="42">
        <f>ROUND($B579*AA$532,2)</f>
        <v>0</v>
      </c>
      <c r="AB579" s="19">
        <f>SUM(U$532:AA$532)+(-V$532+V539)</f>
        <v>-5.5769999999999986E-3</v>
      </c>
      <c r="AC579" s="94" t="str">
        <f>+F579</f>
        <v>SL0</v>
      </c>
    </row>
    <row r="580" spans="1:123" x14ac:dyDescent="0.2">
      <c r="A580" s="9"/>
      <c r="B580" s="97">
        <v>-1</v>
      </c>
      <c r="D580" s="87"/>
      <c r="E580" s="97"/>
      <c r="F580" s="36"/>
      <c r="G580" s="98"/>
      <c r="H580" s="19"/>
      <c r="J580" s="82"/>
      <c r="K580" s="42"/>
      <c r="O580" s="42"/>
      <c r="P580" s="42"/>
      <c r="Q580" s="42"/>
      <c r="R580" s="38" t="e">
        <f>INDEX('Pwr Factor'!$A$1:$B$52,MATCH((D581),'Pwr Factor'!$A$1:$A$52,0),2)</f>
        <v>#N/A</v>
      </c>
      <c r="S580" s="50">
        <v>0.25</v>
      </c>
      <c r="T580" s="42"/>
      <c r="U580" s="42"/>
      <c r="V580" s="41"/>
      <c r="W580" s="42"/>
      <c r="X580" s="42"/>
      <c r="Y580" s="42"/>
      <c r="Z580" s="42"/>
      <c r="AA580" s="42"/>
      <c r="AB580" s="19"/>
      <c r="AC580" s="67"/>
    </row>
    <row r="581" spans="1:123" x14ac:dyDescent="0.2">
      <c r="A581" s="1" t="s">
        <v>140</v>
      </c>
      <c r="B581" s="103">
        <f>IF(AND('AES Indiana Bill Calc.'!$D$17="SL",'AES Indiana Bill Calc.'!$D$18="Yes 25%",'AES Indiana Bill Calc.'!$D$20="Yes 2020"),'AES Indiana Bill Calc.'!$D$19,-1)</f>
        <v>-1</v>
      </c>
      <c r="C581" s="103">
        <f>MAX(E581,$C$533)</f>
        <v>50</v>
      </c>
      <c r="D581" s="103" t="b">
        <f>IF(AND('AES Indiana Bill Calc.'!$D$17="SL",'AES Indiana Bill Calc.'!$D$18="Yes 25%",'AES Indiana Bill Calc.'!$D$20="Yes 2020"),'AES Indiana Bill Calc.'!$D$22)</f>
        <v>0</v>
      </c>
      <c r="E581" s="103" t="b">
        <f>IF(AND('AES Indiana Bill Calc.'!$D$17="SL",'AES Indiana Bill Calc.'!$D$18="Yes 25%",'AES Indiana Bill Calc.'!$D$20="Yes 2020"),'AES Indiana Bill Calc.'!$D$21)</f>
        <v>0</v>
      </c>
      <c r="F581" s="36" t="s">
        <v>195</v>
      </c>
      <c r="G581" s="17" t="e">
        <f>SUM(J581:M581,O581:P581,R581:AA581)</f>
        <v>#N/A</v>
      </c>
      <c r="H581" s="19" t="e">
        <f>IF(ISBLANK(B581),0,+#REF!/B581)</f>
        <v>#REF!</v>
      </c>
      <c r="J581" s="82">
        <f>IF(ISBLANK(B581),0,+J$532)</f>
        <v>120</v>
      </c>
      <c r="K581" s="42">
        <f>ROUND($B581*K$532,2)</f>
        <v>-0.04</v>
      </c>
      <c r="N581" s="18">
        <f>K581</f>
        <v>-0.04</v>
      </c>
      <c r="O581" s="17">
        <f>IF($C581&gt;M$533,ROUND(M$533*M$532,2),ROUND($C581*M$532,2))</f>
        <v>1237</v>
      </c>
      <c r="P581" s="17">
        <f>IF($C581&gt;M$533,ROUND(($C581-M$533)*O$532,2),0)</f>
        <v>0</v>
      </c>
      <c r="Q581" s="17">
        <f>SUM(O581:P581)</f>
        <v>1237</v>
      </c>
      <c r="R581" s="16" t="e">
        <f>ROUND(SUM(N581:P581)*(R580-1),2)</f>
        <v>#N/A</v>
      </c>
      <c r="S581" s="42">
        <f>ROUND($B581*S$532*S580,2)</f>
        <v>0</v>
      </c>
      <c r="T581" s="42">
        <f>ROUND($B581*T$532,2)</f>
        <v>0</v>
      </c>
      <c r="U581" s="42">
        <f>ROUND($B581*U$532,2)</f>
        <v>0</v>
      </c>
      <c r="V581" s="41">
        <f>ROUND($B581*$V$525,2)</f>
        <v>0</v>
      </c>
      <c r="W581" s="42">
        <f>ROUND($B581*W$532,2)</f>
        <v>0</v>
      </c>
      <c r="X581" s="42">
        <f>ROUND($B581*X$532,2)</f>
        <v>-0.01</v>
      </c>
      <c r="Y581" s="42">
        <f>ROUND($B581*Y$532,2)</f>
        <v>0</v>
      </c>
      <c r="Z581" s="42">
        <f>ROUND($B581*Z$532,2)</f>
        <v>0</v>
      </c>
      <c r="AA581" s="42">
        <f>ROUND($B581*AA$532,2)</f>
        <v>0</v>
      </c>
      <c r="AB581" s="19">
        <f>SUM(U$532:AA$532)+(-V$532+V541)</f>
        <v>-5.5769999999999986E-3</v>
      </c>
      <c r="AC581" s="94" t="str">
        <f>+F581</f>
        <v>SL0</v>
      </c>
    </row>
    <row r="582" spans="1:123" x14ac:dyDescent="0.2">
      <c r="A582" s="9"/>
      <c r="B582" s="97">
        <v>-1</v>
      </c>
      <c r="D582" s="87"/>
      <c r="E582" s="97"/>
      <c r="F582" s="36"/>
      <c r="G582" s="98"/>
      <c r="H582" s="19"/>
      <c r="J582" s="82"/>
      <c r="K582" s="42"/>
      <c r="O582" s="42"/>
      <c r="P582" s="42"/>
      <c r="Q582" s="42"/>
      <c r="R582" s="38" t="e">
        <f>INDEX('Pwr Factor'!$A$1:$B$52,MATCH((D583),'Pwr Factor'!$A$1:$A$52,0),2)</f>
        <v>#N/A</v>
      </c>
      <c r="S582" s="50">
        <v>0.1</v>
      </c>
      <c r="T582" s="42"/>
      <c r="U582" s="42"/>
      <c r="V582" s="41"/>
      <c r="W582" s="42"/>
      <c r="X582" s="42"/>
      <c r="Y582" s="42"/>
      <c r="Z582" s="42"/>
      <c r="AA582" s="42"/>
      <c r="AB582" s="19"/>
      <c r="AC582" s="67"/>
    </row>
    <row r="583" spans="1:123" x14ac:dyDescent="0.2">
      <c r="A583" s="1" t="s">
        <v>154</v>
      </c>
      <c r="B583" s="103">
        <f>IF(AND('AES Indiana Bill Calc.'!$D$17="SL",'AES Indiana Bill Calc.'!$D$18="Yes 10%",'AES Indiana Bill Calc.'!$D$20="Yes 2020"),'AES Indiana Bill Calc.'!$D$19,-1)</f>
        <v>-1</v>
      </c>
      <c r="C583" s="103">
        <f>MAX(E583,$C$533)</f>
        <v>50</v>
      </c>
      <c r="D583" s="103" t="b">
        <f>IF(AND('AES Indiana Bill Calc.'!$D$17="SL",'AES Indiana Bill Calc.'!$D$18="Yes 10%",'AES Indiana Bill Calc.'!$D$20="Yes 2020"),'AES Indiana Bill Calc.'!$D$22)</f>
        <v>0</v>
      </c>
      <c r="E583" s="103" t="b">
        <f>IF(AND('AES Indiana Bill Calc.'!$D$17="SL",'AES Indiana Bill Calc.'!$D$18="Yes 10%",'AES Indiana Bill Calc.'!$D$20="Yes 2020"),'AES Indiana Bill Calc.'!$D$21)</f>
        <v>0</v>
      </c>
      <c r="F583" s="36" t="s">
        <v>195</v>
      </c>
      <c r="G583" s="17" t="e">
        <f>SUM(J583:M583,O583:P583,R583:AA583)</f>
        <v>#N/A</v>
      </c>
      <c r="H583" s="19" t="e">
        <f>IF(ISBLANK(B583),0,+#REF!/B583)</f>
        <v>#REF!</v>
      </c>
      <c r="J583" s="82">
        <f>IF(ISBLANK(B583),0,+J$532)</f>
        <v>120</v>
      </c>
      <c r="K583" s="42">
        <f>ROUND($B583*K$532,2)</f>
        <v>-0.04</v>
      </c>
      <c r="N583" s="18">
        <f>K583</f>
        <v>-0.04</v>
      </c>
      <c r="O583" s="17">
        <f>IF($C583&gt;M$533,ROUND(M$533*M$532,2),ROUND($C583*M$532,2))</f>
        <v>1237</v>
      </c>
      <c r="P583" s="17">
        <f>IF($C583&gt;M$533,ROUND(($C583-M$533)*O$532,2),0)</f>
        <v>0</v>
      </c>
      <c r="Q583" s="17">
        <f>SUM(O583:P583)</f>
        <v>1237</v>
      </c>
      <c r="R583" s="16" t="e">
        <f>ROUND(SUM(N583:P583)*(R582-1),2)</f>
        <v>#N/A</v>
      </c>
      <c r="S583" s="42">
        <f>ROUND($B583*S$532*S582,2)</f>
        <v>0</v>
      </c>
      <c r="T583" s="42">
        <f>ROUND($B583*T$532,2)</f>
        <v>0</v>
      </c>
      <c r="U583" s="42">
        <f>ROUND($B583*U$532,2)</f>
        <v>0</v>
      </c>
      <c r="V583" s="41">
        <f>ROUND($B583*$V$525,2)</f>
        <v>0</v>
      </c>
      <c r="W583" s="42">
        <f>ROUND($B583*W$532,2)</f>
        <v>0</v>
      </c>
      <c r="X583" s="42">
        <f>ROUND($B583*X$532,2)</f>
        <v>-0.01</v>
      </c>
      <c r="Y583" s="42">
        <f>ROUND($B583*Y$532,2)</f>
        <v>0</v>
      </c>
      <c r="Z583" s="42">
        <f>ROUND($B583*Z$532,2)</f>
        <v>0</v>
      </c>
      <c r="AA583" s="42">
        <f>ROUND($B583*AA$532,2)</f>
        <v>0</v>
      </c>
      <c r="AB583" s="19">
        <f>SUM(U$532:AA$532)+(-V$532+V543)</f>
        <v>-5.5769999999999986E-3</v>
      </c>
      <c r="AC583" s="94" t="str">
        <f>+F583</f>
        <v>SL0</v>
      </c>
    </row>
    <row r="584" spans="1:123" x14ac:dyDescent="0.2">
      <c r="A584" s="9"/>
      <c r="B584" s="97">
        <v>-1</v>
      </c>
      <c r="D584" s="87"/>
      <c r="E584" s="97"/>
      <c r="F584" s="36"/>
      <c r="G584" s="98"/>
      <c r="H584" s="19"/>
      <c r="J584" s="82"/>
      <c r="K584" s="42"/>
      <c r="O584" s="42"/>
      <c r="P584" s="42"/>
      <c r="Q584" s="42"/>
      <c r="R584" s="38" t="e">
        <f>INDEX('Pwr Factor'!$A$1:$B$52,MATCH((D585),'Pwr Factor'!$A$1:$A$52,0),2)</f>
        <v>#N/A</v>
      </c>
      <c r="S584" s="50">
        <v>0</v>
      </c>
      <c r="T584" s="42"/>
      <c r="U584" s="42"/>
      <c r="V584" s="41"/>
      <c r="W584" s="42"/>
      <c r="X584" s="42"/>
      <c r="Y584" s="42"/>
      <c r="Z584" s="42"/>
      <c r="AA584" s="42"/>
      <c r="AB584" s="19"/>
      <c r="AC584" s="94"/>
    </row>
    <row r="585" spans="1:123" x14ac:dyDescent="0.2">
      <c r="A585" s="1" t="s">
        <v>137</v>
      </c>
      <c r="B585" s="103">
        <f>IF(AND('AES Indiana Bill Calc.'!$D$17="SL",'AES Indiana Bill Calc.'!$D$18="No",'AES Indiana Bill Calc.'!$D$20="Yes 2020"),'AES Indiana Bill Calc.'!$D$19,-1)</f>
        <v>-1</v>
      </c>
      <c r="C585" s="103">
        <f>MAX(E585,$C$533)</f>
        <v>50</v>
      </c>
      <c r="D585" s="103" t="b">
        <f>IF(AND('AES Indiana Bill Calc.'!$D$17="SL",'AES Indiana Bill Calc.'!$D$18="No",'AES Indiana Bill Calc.'!$D$20="Yes 2020"),'AES Indiana Bill Calc.'!$D$22)</f>
        <v>0</v>
      </c>
      <c r="E585" s="103" t="b">
        <f>IF(AND('AES Indiana Bill Calc.'!$D$17="SL",'AES Indiana Bill Calc.'!$D$18="No",'AES Indiana Bill Calc.'!$D$20="Yes 2020"),'AES Indiana Bill Calc.'!$D$21)</f>
        <v>0</v>
      </c>
      <c r="F585" s="36" t="s">
        <v>195</v>
      </c>
      <c r="G585" s="17" t="e">
        <f>SUM(J585:M585,O585:P585,R585:AA585)</f>
        <v>#N/A</v>
      </c>
      <c r="H585" s="19" t="e">
        <f>IF(ISBLANK(B585),0,+#REF!/B585)</f>
        <v>#REF!</v>
      </c>
      <c r="J585" s="82">
        <f>IF(ISBLANK(B585),0,+J$532)</f>
        <v>120</v>
      </c>
      <c r="K585" s="42">
        <f>ROUND($B585*K$532,2)</f>
        <v>-0.04</v>
      </c>
      <c r="N585" s="18">
        <f>K585</f>
        <v>-0.04</v>
      </c>
      <c r="O585" s="17">
        <f>IF($C585&gt;M$533,ROUND(M$533*M$532,2),ROUND($C585*M$532,2))</f>
        <v>1237</v>
      </c>
      <c r="P585" s="17">
        <f>IF($C585&gt;M$533,ROUND(($C585-M$533)*O$532,2),0)</f>
        <v>0</v>
      </c>
      <c r="Q585" s="42">
        <f>SUM(O585:P585)</f>
        <v>1237</v>
      </c>
      <c r="R585" s="16" t="e">
        <f>ROUND(SUM(N585:P585)*(R584-1),2)</f>
        <v>#N/A</v>
      </c>
      <c r="S585" s="42">
        <f>ROUND($B585*S$532*S584,2)</f>
        <v>0</v>
      </c>
      <c r="T585" s="42">
        <f>ROUND($B585*T$532,2)</f>
        <v>0</v>
      </c>
      <c r="U585" s="42">
        <f>ROUND($B585*U$532,2)</f>
        <v>0</v>
      </c>
      <c r="V585" s="41">
        <f>ROUND($B585*$V$525,2)</f>
        <v>0</v>
      </c>
      <c r="W585" s="42">
        <f>ROUND($B585*W$532,2)</f>
        <v>0</v>
      </c>
      <c r="X585" s="42">
        <f>ROUND($B585*X$532,2)</f>
        <v>-0.01</v>
      </c>
      <c r="Y585" s="42">
        <f>ROUND($B585*Y$532,2)</f>
        <v>0</v>
      </c>
      <c r="Z585" s="42">
        <f>ROUND($B585*Z$532,2)</f>
        <v>0</v>
      </c>
      <c r="AA585" s="42">
        <f>ROUND($B585*AA$532,2)</f>
        <v>0</v>
      </c>
      <c r="AB585" s="19">
        <f>SUM(U$532:AA$532)+(-V$532+V545)</f>
        <v>-5.5769999999999986E-3</v>
      </c>
      <c r="AC585" s="94" t="str">
        <f>+F585</f>
        <v>SL0</v>
      </c>
    </row>
    <row r="586" spans="1:123" x14ac:dyDescent="0.2">
      <c r="A586" s="53"/>
      <c r="B586" s="97">
        <v>-1</v>
      </c>
      <c r="D586" s="41"/>
      <c r="E586" s="80"/>
      <c r="F586" s="36"/>
      <c r="G586" s="98"/>
      <c r="H586" s="19"/>
      <c r="J586" s="82"/>
      <c r="K586" s="42"/>
      <c r="O586" s="42"/>
      <c r="P586" s="42"/>
      <c r="Q586" s="42"/>
      <c r="R586" s="38" t="e">
        <f>INDEX('Pwr Factor'!$A$1:$B$52,MATCH((D587),'Pwr Factor'!$A$1:$A$52,0),2)</f>
        <v>#N/A</v>
      </c>
      <c r="S586" s="50">
        <v>1</v>
      </c>
      <c r="T586" s="42"/>
      <c r="U586" s="42"/>
      <c r="V586" s="41"/>
      <c r="W586" s="42"/>
      <c r="X586" s="42"/>
      <c r="Y586" s="42"/>
      <c r="Z586" s="42"/>
      <c r="AA586" s="42"/>
      <c r="AB586" s="19"/>
      <c r="AC586" s="94"/>
    </row>
    <row r="587" spans="1:123" x14ac:dyDescent="0.2">
      <c r="A587" s="1" t="s">
        <v>138</v>
      </c>
      <c r="B587" s="103">
        <f>IF(AND('AES Indiana Bill Calc.'!$D$17="SL",'AES Indiana Bill Calc.'!$D$18="Yes 100%",'AES Indiana Bill Calc.'!$D$20="Yes 2021"),'AES Indiana Bill Calc.'!$D$19,-1)</f>
        <v>-1</v>
      </c>
      <c r="C587" s="103">
        <f>MAX(E587,$C$533)</f>
        <v>50</v>
      </c>
      <c r="D587" s="103" t="b">
        <f>IF(AND('AES Indiana Bill Calc.'!$D$17="SL",'AES Indiana Bill Calc.'!$D$18="Yes 100%",'AES Indiana Bill Calc.'!$D$20="Yes 2021"),'AES Indiana Bill Calc.'!$D$22)</f>
        <v>0</v>
      </c>
      <c r="E587" s="103" t="b">
        <f>IF(AND('AES Indiana Bill Calc.'!$D$17="SL",'AES Indiana Bill Calc.'!$D$18="Yes 100%",'AES Indiana Bill Calc.'!$D$20="Yes 2021"),'AES Indiana Bill Calc.'!$D$21)</f>
        <v>0</v>
      </c>
      <c r="F587" s="36" t="s">
        <v>196</v>
      </c>
      <c r="G587" s="17" t="e">
        <f>SUM(J587:M587,O587:P587,R587:AA587)</f>
        <v>#N/A</v>
      </c>
      <c r="H587" s="19" t="e">
        <f>IF(ISBLANK(B587),0,+#REF!/B587)</f>
        <v>#REF!</v>
      </c>
      <c r="J587" s="82">
        <f>IF(ISBLANK(B587),0,+J$532)</f>
        <v>120</v>
      </c>
      <c r="K587" s="42">
        <f>ROUND($B587*K$532,2)</f>
        <v>-0.04</v>
      </c>
      <c r="N587" s="18">
        <f>K587</f>
        <v>-0.04</v>
      </c>
      <c r="O587" s="17">
        <f>IF($C587&gt;M$533,ROUND(M$533*M$532,2),ROUND($C587*M$532,2))</f>
        <v>1237</v>
      </c>
      <c r="P587" s="17">
        <f>IF($C587&gt;M$533,ROUND(($C587-M$533)*O$532,2),0)</f>
        <v>0</v>
      </c>
      <c r="Q587" s="42">
        <f>SUM(O587:P587)</f>
        <v>1237</v>
      </c>
      <c r="R587" s="16" t="e">
        <f>ROUND(SUM(N587:P587)*(R586-1),2)</f>
        <v>#N/A</v>
      </c>
      <c r="S587" s="42">
        <f>ROUND($B587*S$532*S586,2)</f>
        <v>0</v>
      </c>
      <c r="T587" s="42">
        <f>ROUND($B587*T$532,2)</f>
        <v>0</v>
      </c>
      <c r="U587" s="42">
        <f>ROUND($B587*U$532,2)</f>
        <v>0</v>
      </c>
      <c r="V587" s="41">
        <f>ROUND($B587*$V$526,2)</f>
        <v>0</v>
      </c>
      <c r="W587" s="42">
        <f>ROUND($B587*W$532,2)</f>
        <v>0</v>
      </c>
      <c r="X587" s="42">
        <f>ROUND($B587*X$532,2)</f>
        <v>-0.01</v>
      </c>
      <c r="Y587" s="42">
        <f>ROUND($B587*Y$532,2)</f>
        <v>0</v>
      </c>
      <c r="Z587" s="42">
        <f>ROUND($B587*Z$532,2)</f>
        <v>0</v>
      </c>
      <c r="AA587" s="42">
        <f>ROUND($B587*AA$532,2)</f>
        <v>0</v>
      </c>
      <c r="AB587" s="19" t="e">
        <f>SUM(U$532:AA$532)+(-V$532+#REF!)</f>
        <v>#REF!</v>
      </c>
      <c r="AC587" s="94" t="str">
        <f>+F587</f>
        <v>SL1</v>
      </c>
    </row>
    <row r="588" spans="1:123" x14ac:dyDescent="0.2">
      <c r="A588" s="9"/>
      <c r="B588" s="97">
        <v>-1</v>
      </c>
      <c r="D588" s="87"/>
      <c r="E588" s="97"/>
      <c r="F588" s="36"/>
      <c r="G588" s="98"/>
      <c r="H588" s="19"/>
      <c r="J588" s="82"/>
      <c r="K588" s="42"/>
      <c r="O588" s="42"/>
      <c r="P588" s="42"/>
      <c r="Q588" s="42"/>
      <c r="R588" s="38" t="e">
        <f>INDEX('Pwr Factor'!$A$1:$B$52,MATCH((D589),'Pwr Factor'!$A$1:$A$52,0),2)</f>
        <v>#N/A</v>
      </c>
      <c r="S588" s="50">
        <v>0.5</v>
      </c>
      <c r="T588" s="42"/>
      <c r="U588" s="42"/>
      <c r="V588" s="41"/>
      <c r="W588" s="42"/>
      <c r="X588" s="42"/>
      <c r="Y588" s="42"/>
      <c r="Z588" s="42"/>
      <c r="AA588" s="42"/>
      <c r="AB588" s="19"/>
      <c r="AC588" s="94"/>
    </row>
    <row r="589" spans="1:123" x14ac:dyDescent="0.2">
      <c r="A589" s="1" t="s">
        <v>139</v>
      </c>
      <c r="B589" s="103">
        <f>IF(AND('AES Indiana Bill Calc.'!$D$17="SL",'AES Indiana Bill Calc.'!$D$18="Yes 50%",'AES Indiana Bill Calc.'!$D$20="Yes 2021"),'AES Indiana Bill Calc.'!$D$19,-1)</f>
        <v>-1</v>
      </c>
      <c r="C589" s="103">
        <f>MAX(E589,$C$533)</f>
        <v>50</v>
      </c>
      <c r="D589" s="103" t="b">
        <f>IF(AND('AES Indiana Bill Calc.'!$D$17="SL",'AES Indiana Bill Calc.'!$D$18="Yes 50%",'AES Indiana Bill Calc.'!$D$20="Yes 2021"),'AES Indiana Bill Calc.'!$D$22)</f>
        <v>0</v>
      </c>
      <c r="E589" s="103" t="b">
        <f>IF(AND('AES Indiana Bill Calc.'!$D$17="SL",'AES Indiana Bill Calc.'!$D$18="Yes 50%",'AES Indiana Bill Calc.'!$D$20="Yes 2021"),'AES Indiana Bill Calc.'!$D$21)</f>
        <v>0</v>
      </c>
      <c r="F589" s="36" t="s">
        <v>196</v>
      </c>
      <c r="G589" s="17" t="e">
        <f>SUM(J589:M589,O589:P589,R589:AA589)</f>
        <v>#N/A</v>
      </c>
      <c r="H589" s="19" t="e">
        <f>IF(ISBLANK(B589),0,+#REF!/B589)</f>
        <v>#REF!</v>
      </c>
      <c r="J589" s="82">
        <f>IF(ISBLANK(B589),0,+J$532)</f>
        <v>120</v>
      </c>
      <c r="K589" s="42">
        <f>ROUND($B589*K$532,2)</f>
        <v>-0.04</v>
      </c>
      <c r="N589" s="18">
        <f>K589</f>
        <v>-0.04</v>
      </c>
      <c r="O589" s="17">
        <f>IF($C589&gt;M$533,ROUND(M$533*M$532,2),ROUND($C589*M$532,2))</f>
        <v>1237</v>
      </c>
      <c r="P589" s="17">
        <f>IF($C589&gt;M$533,ROUND(($C589-M$533)*O$532,2),0)</f>
        <v>0</v>
      </c>
      <c r="Q589" s="42">
        <f>SUM(O589:P589)</f>
        <v>1237</v>
      </c>
      <c r="R589" s="16" t="e">
        <f>ROUND(SUM(N589:P589)*(R588-1),2)</f>
        <v>#N/A</v>
      </c>
      <c r="S589" s="42">
        <f>ROUND($B589*S$532*S588,2)</f>
        <v>0</v>
      </c>
      <c r="T589" s="42">
        <f>ROUND($B589*T$532,2)</f>
        <v>0</v>
      </c>
      <c r="U589" s="42">
        <f>ROUND($B589*U$532,2)</f>
        <v>0</v>
      </c>
      <c r="V589" s="41">
        <f>ROUND($B589*$V$526,2)</f>
        <v>0</v>
      </c>
      <c r="W589" s="42">
        <f>ROUND($B589*W$532,2)</f>
        <v>0</v>
      </c>
      <c r="X589" s="42">
        <f>ROUND($B589*X$532,2)</f>
        <v>-0.01</v>
      </c>
      <c r="Y589" s="42">
        <f>ROUND($B589*Y$532,2)</f>
        <v>0</v>
      </c>
      <c r="Z589" s="42">
        <f>ROUND($B589*Z$532,2)</f>
        <v>0</v>
      </c>
      <c r="AA589" s="42">
        <f>ROUND($B589*AA$532,2)</f>
        <v>0</v>
      </c>
      <c r="AB589" s="19" t="e">
        <f>SUM(U$532:AA$532)+(-V$532+#REF!)</f>
        <v>#REF!</v>
      </c>
      <c r="AC589" s="94" t="str">
        <f>+F589</f>
        <v>SL1</v>
      </c>
    </row>
    <row r="590" spans="1:123" x14ac:dyDescent="0.2">
      <c r="A590" s="9"/>
      <c r="B590" s="97">
        <v>-1</v>
      </c>
      <c r="D590" s="87"/>
      <c r="E590" s="97"/>
      <c r="F590" s="36"/>
      <c r="G590" s="98"/>
      <c r="H590" s="19"/>
      <c r="J590" s="82"/>
      <c r="K590" s="42"/>
      <c r="O590" s="42"/>
      <c r="P590" s="42"/>
      <c r="Q590" s="42"/>
      <c r="R590" s="38" t="e">
        <f>INDEX('Pwr Factor'!$A$1:$B$52,MATCH((D591),'Pwr Factor'!$A$1:$A$52,0),2)</f>
        <v>#N/A</v>
      </c>
      <c r="S590" s="50">
        <v>0.25</v>
      </c>
      <c r="T590" s="42"/>
      <c r="U590" s="42"/>
      <c r="V590" s="41"/>
      <c r="W590" s="42"/>
      <c r="X590" s="42"/>
      <c r="Y590" s="42"/>
      <c r="Z590" s="42"/>
      <c r="AA590" s="42"/>
      <c r="AB590" s="19"/>
      <c r="AC590" s="94"/>
    </row>
    <row r="591" spans="1:123" x14ac:dyDescent="0.2">
      <c r="A591" s="1" t="s">
        <v>140</v>
      </c>
      <c r="B591" s="103">
        <f>IF(AND('AES Indiana Bill Calc.'!$D$17="SL",'AES Indiana Bill Calc.'!$D$18="Yes 25%",'AES Indiana Bill Calc.'!$D$20="Yes 2021"),'AES Indiana Bill Calc.'!$D$19,-1)</f>
        <v>-1</v>
      </c>
      <c r="C591" s="103">
        <f>MAX(E591,$C$533)</f>
        <v>50</v>
      </c>
      <c r="D591" s="103" t="b">
        <f>IF(AND('AES Indiana Bill Calc.'!$D$17="SL",'AES Indiana Bill Calc.'!$D$18="Yes 25%",'AES Indiana Bill Calc.'!$D$20="Yes 2021"),'AES Indiana Bill Calc.'!$D$22)</f>
        <v>0</v>
      </c>
      <c r="E591" s="103" t="b">
        <f>IF(AND('AES Indiana Bill Calc.'!$D$17="SL",'AES Indiana Bill Calc.'!$D$18="Yes 25%",'AES Indiana Bill Calc.'!$D$20="Yes 2021"),'AES Indiana Bill Calc.'!$D$21)</f>
        <v>0</v>
      </c>
      <c r="F591" s="36" t="s">
        <v>196</v>
      </c>
      <c r="G591" s="17" t="e">
        <f>SUM(J591:M591,O591:P591,R591:AA591)</f>
        <v>#N/A</v>
      </c>
      <c r="H591" s="19" t="e">
        <f>IF(ISBLANK(B591),0,+#REF!/B591)</f>
        <v>#REF!</v>
      </c>
      <c r="J591" s="82">
        <f>IF(ISBLANK(B591),0,+J$532)</f>
        <v>120</v>
      </c>
      <c r="K591" s="42">
        <f>ROUND($B591*K$532,2)</f>
        <v>-0.04</v>
      </c>
      <c r="N591" s="18">
        <f>K591</f>
        <v>-0.04</v>
      </c>
      <c r="O591" s="17">
        <f>IF($C591&gt;M$533,ROUND(M$533*M$532,2),ROUND($C591*M$532,2))</f>
        <v>1237</v>
      </c>
      <c r="P591" s="17">
        <f>IF($C591&gt;M$533,ROUND(($C591-M$533)*O$532,2),0)</f>
        <v>0</v>
      </c>
      <c r="Q591" s="42">
        <f>SUM(O591:P591)</f>
        <v>1237</v>
      </c>
      <c r="R591" s="16" t="e">
        <f>ROUND(SUM(N591:P591)*(R590-1),2)</f>
        <v>#N/A</v>
      </c>
      <c r="S591" s="42">
        <f>ROUND($B591*S$532*S590,2)</f>
        <v>0</v>
      </c>
      <c r="T591" s="42">
        <f>ROUND($B591*T$532,2)</f>
        <v>0</v>
      </c>
      <c r="U591" s="42">
        <f>ROUND($B591*U$532,2)</f>
        <v>0</v>
      </c>
      <c r="V591" s="41">
        <f>ROUND($B591*$V$526,2)</f>
        <v>0</v>
      </c>
      <c r="W591" s="42">
        <f>ROUND($B591*W$532,2)</f>
        <v>0</v>
      </c>
      <c r="X591" s="42">
        <f>ROUND($B591*X$532,2)</f>
        <v>-0.01</v>
      </c>
      <c r="Y591" s="42">
        <f>ROUND($B591*Y$532,2)</f>
        <v>0</v>
      </c>
      <c r="Z591" s="42">
        <f>ROUND($B591*Z$532,2)</f>
        <v>0</v>
      </c>
      <c r="AA591" s="42">
        <f>ROUND($B591*AA$532,2)</f>
        <v>0</v>
      </c>
      <c r="AB591" s="19" t="e">
        <f>SUM(U$532:AA$532)+(-V$532+#REF!)</f>
        <v>#REF!</v>
      </c>
      <c r="AC591" s="94" t="str">
        <f>+F591</f>
        <v>SL1</v>
      </c>
    </row>
    <row r="592" spans="1:123" x14ac:dyDescent="0.2">
      <c r="A592" s="9"/>
      <c r="B592" s="97">
        <v>-1</v>
      </c>
      <c r="D592" s="87"/>
      <c r="E592" s="97"/>
      <c r="F592" s="36"/>
      <c r="G592" s="98"/>
      <c r="H592" s="19"/>
      <c r="J592" s="82"/>
      <c r="K592" s="42"/>
      <c r="O592" s="42"/>
      <c r="P592" s="42"/>
      <c r="Q592" s="42"/>
      <c r="R592" s="38" t="e">
        <f>INDEX('Pwr Factor'!$A$1:$B$52,MATCH((D593),'Pwr Factor'!$A$1:$A$52,0),2)</f>
        <v>#N/A</v>
      </c>
      <c r="S592" s="50">
        <v>0.1</v>
      </c>
      <c r="T592" s="42"/>
      <c r="U592" s="42"/>
      <c r="V592" s="41"/>
      <c r="W592" s="42"/>
      <c r="X592" s="42"/>
      <c r="Y592" s="42"/>
      <c r="Z592" s="42"/>
      <c r="AA592" s="42"/>
      <c r="AB592" s="19"/>
      <c r="AC592" s="94"/>
    </row>
    <row r="593" spans="1:29" x14ac:dyDescent="0.2">
      <c r="A593" s="1" t="s">
        <v>154</v>
      </c>
      <c r="B593" s="103">
        <f>IF(AND('AES Indiana Bill Calc.'!$D$17="SL",'AES Indiana Bill Calc.'!$D$18="Yes 10%",'AES Indiana Bill Calc.'!$D$20="Yes 2021"),'AES Indiana Bill Calc.'!$D$19,-1)</f>
        <v>-1</v>
      </c>
      <c r="C593" s="103">
        <f>MAX(E593,$C$533)</f>
        <v>50</v>
      </c>
      <c r="D593" s="103" t="b">
        <f>IF(AND('AES Indiana Bill Calc.'!$D$17="SL",'AES Indiana Bill Calc.'!$D$18="Yes 10%",'AES Indiana Bill Calc.'!$D$20="Yes 2021"),'AES Indiana Bill Calc.'!$D$22)</f>
        <v>0</v>
      </c>
      <c r="E593" s="103" t="b">
        <f>IF(AND('AES Indiana Bill Calc.'!$D$17="SL",'AES Indiana Bill Calc.'!$D$18="Yes 10%",'AES Indiana Bill Calc.'!$D$20="Yes 2021"),'AES Indiana Bill Calc.'!$D$21)</f>
        <v>0</v>
      </c>
      <c r="F593" s="36" t="s">
        <v>196</v>
      </c>
      <c r="G593" s="17" t="e">
        <f>SUM(J593:M593,O593:P593,R593:AA593)</f>
        <v>#N/A</v>
      </c>
      <c r="H593" s="19" t="e">
        <f>IF(ISBLANK(B593),0,+#REF!/B593)</f>
        <v>#REF!</v>
      </c>
      <c r="J593" s="82">
        <f>IF(ISBLANK(B593),0,+J$532)</f>
        <v>120</v>
      </c>
      <c r="K593" s="42">
        <f>ROUND($B593*K$532,2)</f>
        <v>-0.04</v>
      </c>
      <c r="N593" s="18">
        <f>K593</f>
        <v>-0.04</v>
      </c>
      <c r="O593" s="17">
        <f>IF($C593&gt;M$533,ROUND(M$533*M$532,2),ROUND($C593*M$532,2))</f>
        <v>1237</v>
      </c>
      <c r="P593" s="17">
        <f>IF($C593&gt;M$533,ROUND(($C593-M$533)*O$532,2),0)</f>
        <v>0</v>
      </c>
      <c r="Q593" s="42">
        <f>SUM(O593:P593)</f>
        <v>1237</v>
      </c>
      <c r="R593" s="16" t="e">
        <f>ROUND(SUM(N593:P593)*(R592-1),2)</f>
        <v>#N/A</v>
      </c>
      <c r="S593" s="42">
        <f>ROUND($B593*S$532*S592,2)</f>
        <v>0</v>
      </c>
      <c r="T593" s="42">
        <f>ROUND($B593*T$532,2)</f>
        <v>0</v>
      </c>
      <c r="U593" s="42">
        <f>ROUND($B593*U$532,2)</f>
        <v>0</v>
      </c>
      <c r="V593" s="41">
        <f>ROUND($B593*$V$526,2)</f>
        <v>0</v>
      </c>
      <c r="W593" s="42">
        <f>ROUND($B593*W$532,2)</f>
        <v>0</v>
      </c>
      <c r="X593" s="42">
        <f>ROUND($B593*X$532,2)</f>
        <v>-0.01</v>
      </c>
      <c r="Y593" s="42">
        <f>ROUND($B593*Y$532,2)</f>
        <v>0</v>
      </c>
      <c r="Z593" s="42">
        <f>ROUND($B593*Z$532,2)</f>
        <v>0</v>
      </c>
      <c r="AA593" s="42">
        <f>ROUND($B593*AA$532,2)</f>
        <v>0</v>
      </c>
      <c r="AB593" s="19" t="e">
        <f>SUM(U$532:AA$532)+(-V$532+#REF!)</f>
        <v>#REF!</v>
      </c>
      <c r="AC593" s="94" t="str">
        <f>+F593</f>
        <v>SL1</v>
      </c>
    </row>
    <row r="594" spans="1:29" x14ac:dyDescent="0.2">
      <c r="A594" s="9"/>
      <c r="B594" s="97">
        <v>-1</v>
      </c>
      <c r="D594" s="87"/>
      <c r="E594" s="97"/>
      <c r="F594" s="36"/>
      <c r="G594" s="98"/>
      <c r="H594" s="19"/>
      <c r="J594" s="82"/>
      <c r="K594" s="42"/>
      <c r="O594" s="42"/>
      <c r="P594" s="42"/>
      <c r="Q594" s="42"/>
      <c r="R594" s="38" t="e">
        <f>INDEX('Pwr Factor'!$A$1:$B$52,MATCH((D595),'Pwr Factor'!$A$1:$A$52,0),2)</f>
        <v>#N/A</v>
      </c>
      <c r="S594" s="50">
        <v>0</v>
      </c>
      <c r="T594" s="42"/>
      <c r="U594" s="42"/>
      <c r="V594" s="41"/>
      <c r="W594" s="42"/>
      <c r="X594" s="42"/>
      <c r="Y594" s="42"/>
      <c r="Z594" s="42"/>
      <c r="AA594" s="42"/>
      <c r="AB594" s="19"/>
      <c r="AC594" s="94"/>
    </row>
    <row r="595" spans="1:29" x14ac:dyDescent="0.2">
      <c r="A595" s="1" t="s">
        <v>137</v>
      </c>
      <c r="B595" s="103">
        <f>IF(AND('AES Indiana Bill Calc.'!$D$17="SL",'AES Indiana Bill Calc.'!$D$18="No",'AES Indiana Bill Calc.'!$D$20="Yes 2021"),'AES Indiana Bill Calc.'!$D$19,-1)</f>
        <v>-1</v>
      </c>
      <c r="C595" s="103">
        <f>MAX(E595,$C$533)</f>
        <v>50</v>
      </c>
      <c r="D595" s="103" t="b">
        <f>IF(AND('AES Indiana Bill Calc.'!$D$17="SL",'AES Indiana Bill Calc.'!$D$18="No",'AES Indiana Bill Calc.'!$D$20="Yes 2021"),'AES Indiana Bill Calc.'!$D$22)</f>
        <v>0</v>
      </c>
      <c r="E595" s="103" t="b">
        <f>IF(AND('AES Indiana Bill Calc.'!$D$17="SL",'AES Indiana Bill Calc.'!$D$18="No",'AES Indiana Bill Calc.'!$D$20="Yes 2021"),'AES Indiana Bill Calc.'!$D$21)</f>
        <v>0</v>
      </c>
      <c r="F595" s="36" t="s">
        <v>196</v>
      </c>
      <c r="G595" s="17" t="e">
        <f>SUM(J595:M595,O595:P595,R595:AA595)</f>
        <v>#N/A</v>
      </c>
      <c r="H595" s="19" t="e">
        <f>IF(ISBLANK(B595),0,+#REF!/B595)</f>
        <v>#REF!</v>
      </c>
      <c r="J595" s="82">
        <f>IF(ISBLANK(B595),0,+J$532)</f>
        <v>120</v>
      </c>
      <c r="K595" s="42">
        <f>ROUND($B595*K$532,2)</f>
        <v>-0.04</v>
      </c>
      <c r="N595" s="18">
        <f>K595</f>
        <v>-0.04</v>
      </c>
      <c r="O595" s="17">
        <f>IF($C595&gt;M$533,ROUND(M$533*M$532,2),ROUND($C595*M$532,2))</f>
        <v>1237</v>
      </c>
      <c r="P595" s="17">
        <f>IF($C595&gt;M$533,ROUND(($C595-M$533)*O$532,2),0)</f>
        <v>0</v>
      </c>
      <c r="Q595" s="17">
        <f>SUM(O595:P595)</f>
        <v>1237</v>
      </c>
      <c r="R595" s="16" t="e">
        <f>ROUND(SUM(N595:P595)*(R594-1),2)</f>
        <v>#N/A</v>
      </c>
      <c r="S595" s="42">
        <f>ROUND($B595*S$532*S594,2)</f>
        <v>0</v>
      </c>
      <c r="T595" s="42">
        <f>ROUND($B595*T$532,2)</f>
        <v>0</v>
      </c>
      <c r="U595" s="42">
        <f>ROUND($B595*U$532,2)</f>
        <v>0</v>
      </c>
      <c r="V595" s="41">
        <f>ROUND($B595*$V$526,2)</f>
        <v>0</v>
      </c>
      <c r="W595" s="42">
        <f>ROUND($B595*W$532,2)</f>
        <v>0</v>
      </c>
      <c r="X595" s="42">
        <f>ROUND($B595*X$532,2)</f>
        <v>-0.01</v>
      </c>
      <c r="Y595" s="42">
        <f>ROUND($B595*Y$532,2)</f>
        <v>0</v>
      </c>
      <c r="Z595" s="42">
        <f>ROUND($B595*Z$532,2)</f>
        <v>0</v>
      </c>
      <c r="AA595" s="42">
        <f>ROUND($B595*AA$532,2)</f>
        <v>0</v>
      </c>
      <c r="AB595" s="19" t="e">
        <f>SUM(U$532:AA$532)+(-V$532+#REF!)</f>
        <v>#REF!</v>
      </c>
      <c r="AC595" s="94" t="str">
        <f>+F595</f>
        <v>SL1</v>
      </c>
    </row>
    <row r="596" spans="1:29" x14ac:dyDescent="0.2">
      <c r="A596" s="53"/>
      <c r="B596" s="97">
        <v>-1</v>
      </c>
      <c r="D596" s="41"/>
      <c r="E596" s="80"/>
      <c r="F596" s="36"/>
      <c r="G596" s="98"/>
      <c r="H596" s="19"/>
      <c r="J596" s="82"/>
      <c r="K596" s="42"/>
      <c r="O596" s="42"/>
      <c r="P596" s="42"/>
      <c r="Q596" s="42"/>
      <c r="R596" s="38" t="e">
        <f>INDEX('Pwr Factor'!$A$1:$B$52,MATCH((D597),'Pwr Factor'!$A$1:$A$52,0),2)</f>
        <v>#N/A</v>
      </c>
      <c r="S596" s="50">
        <v>1</v>
      </c>
      <c r="T596" s="42"/>
      <c r="U596" s="42"/>
      <c r="V596" s="41"/>
      <c r="W596" s="42"/>
      <c r="X596" s="42"/>
      <c r="Y596" s="42"/>
      <c r="Z596" s="42"/>
      <c r="AA596" s="42"/>
      <c r="AB596" s="19"/>
      <c r="AC596" s="94"/>
    </row>
    <row r="597" spans="1:29" x14ac:dyDescent="0.2">
      <c r="A597" s="1" t="s">
        <v>138</v>
      </c>
      <c r="B597" s="103">
        <f>IF(AND('AES Indiana Bill Calc.'!$D$17="SL",'AES Indiana Bill Calc.'!$D$18="Yes 100%",'AES Indiana Bill Calc.'!$D$20="Yes 2022"),'AES Indiana Bill Calc.'!$D$19,-1)</f>
        <v>-1</v>
      </c>
      <c r="C597" s="103">
        <f>MAX(E597,$C$533)</f>
        <v>50</v>
      </c>
      <c r="D597" s="103" t="b">
        <f>IF(AND('AES Indiana Bill Calc.'!$D$17="SL",'AES Indiana Bill Calc.'!$D$18="Yes 100%",'AES Indiana Bill Calc.'!$D$20="Yes 2022"),'AES Indiana Bill Calc.'!$D$22)</f>
        <v>0</v>
      </c>
      <c r="E597" s="103" t="b">
        <f>IF(AND('AES Indiana Bill Calc.'!$D$17="SL",'AES Indiana Bill Calc.'!$D$18="Yes 100%",'AES Indiana Bill Calc.'!$D$20="Yes 2022"),'AES Indiana Bill Calc.'!$D$21)</f>
        <v>0</v>
      </c>
      <c r="F597" s="36" t="s">
        <v>197</v>
      </c>
      <c r="G597" s="17" t="e">
        <f>SUM(J597:M597,O597:P597,R597:AA597)</f>
        <v>#N/A</v>
      </c>
      <c r="H597" s="19" t="e">
        <f>IF(ISBLANK(B597),0,+#REF!/B597)</f>
        <v>#REF!</v>
      </c>
      <c r="J597" s="82">
        <f>IF(ISBLANK(B597),0,+J$532)</f>
        <v>120</v>
      </c>
      <c r="K597" s="42">
        <f>ROUND($B597*K$532,2)</f>
        <v>-0.04</v>
      </c>
      <c r="N597" s="18">
        <f>K597</f>
        <v>-0.04</v>
      </c>
      <c r="O597" s="17">
        <f>IF($C597&gt;M$533,ROUND(M$533*M$532,2),ROUND($C597*M$532,2))</f>
        <v>1237</v>
      </c>
      <c r="P597" s="17">
        <f>IF($C597&gt;M$533,ROUND(($C597-M$533)*O$532,2),0)</f>
        <v>0</v>
      </c>
      <c r="Q597" s="42">
        <f>SUM(O597:P597)</f>
        <v>1237</v>
      </c>
      <c r="R597" s="16" t="e">
        <f>ROUND(SUM(N597:P597)*(R596-1),2)</f>
        <v>#N/A</v>
      </c>
      <c r="S597" s="42">
        <f>ROUND($B597*S$532*S596,2)</f>
        <v>0</v>
      </c>
      <c r="T597" s="42">
        <f>ROUND($B597*T$532,2)</f>
        <v>0</v>
      </c>
      <c r="U597" s="42">
        <f>ROUND($B597*U$532,2)</f>
        <v>0</v>
      </c>
      <c r="V597" s="41">
        <f>ROUND($B597*$V$527,2)</f>
        <v>0</v>
      </c>
      <c r="W597" s="42">
        <f>ROUND($B597*W$532,2)</f>
        <v>0</v>
      </c>
      <c r="X597" s="42">
        <f>ROUND($B597*X$532,2)</f>
        <v>-0.01</v>
      </c>
      <c r="Y597" s="42">
        <f>ROUND($B597*Y$532,2)</f>
        <v>0</v>
      </c>
      <c r="Z597" s="42">
        <f>ROUND($B597*Z$532,2)</f>
        <v>0</v>
      </c>
      <c r="AA597" s="42">
        <f>ROUND($B597*AA$532,2)</f>
        <v>0</v>
      </c>
      <c r="AB597" s="19" t="e">
        <f>SUM(U$532:AA$532)+(-V$532+#REF!)</f>
        <v>#REF!</v>
      </c>
      <c r="AC597" s="94" t="str">
        <f>+F597</f>
        <v>SL2</v>
      </c>
    </row>
    <row r="598" spans="1:29" x14ac:dyDescent="0.2">
      <c r="A598" s="9"/>
      <c r="B598" s="97">
        <v>-1</v>
      </c>
      <c r="D598" s="41"/>
      <c r="E598" s="80"/>
      <c r="F598" s="36"/>
      <c r="G598" s="98"/>
      <c r="H598" s="19"/>
      <c r="J598" s="82"/>
      <c r="K598" s="42"/>
      <c r="O598" s="42"/>
      <c r="P598" s="42"/>
      <c r="Q598" s="42"/>
      <c r="R598" s="38" t="e">
        <f>INDEX('Pwr Factor'!$A$1:$B$52,MATCH((D599),'Pwr Factor'!$A$1:$A$52,0),2)</f>
        <v>#N/A</v>
      </c>
      <c r="S598" s="50">
        <v>0.5</v>
      </c>
      <c r="T598" s="42"/>
      <c r="U598" s="42"/>
      <c r="V598" s="41"/>
      <c r="W598" s="42"/>
      <c r="X598" s="42"/>
      <c r="Y598" s="42"/>
      <c r="Z598" s="42"/>
      <c r="AA598" s="42"/>
      <c r="AB598" s="19"/>
      <c r="AC598" s="94"/>
    </row>
    <row r="599" spans="1:29" x14ac:dyDescent="0.2">
      <c r="A599" s="1" t="s">
        <v>139</v>
      </c>
      <c r="B599" s="103">
        <f>IF(AND('AES Indiana Bill Calc.'!$D$17="SL",'AES Indiana Bill Calc.'!$D$18="Yes 50%",'AES Indiana Bill Calc.'!$D$20="Yes 2022"),'AES Indiana Bill Calc.'!$D$19,-1)</f>
        <v>-1</v>
      </c>
      <c r="C599" s="103">
        <f>MAX(E599,$C$533)</f>
        <v>50</v>
      </c>
      <c r="D599" s="103" t="b">
        <f>IF(AND('AES Indiana Bill Calc.'!$D$17="SL",'AES Indiana Bill Calc.'!$D$18="Yes 50%",'AES Indiana Bill Calc.'!$D$20="Yes 2022"),'AES Indiana Bill Calc.'!$D$22)</f>
        <v>0</v>
      </c>
      <c r="E599" s="103" t="b">
        <f>IF(AND('AES Indiana Bill Calc.'!$D$17="SL",'AES Indiana Bill Calc.'!$D$18="Yes 50%",'AES Indiana Bill Calc.'!$D$20="Yes 2022"),'AES Indiana Bill Calc.'!$D$21)</f>
        <v>0</v>
      </c>
      <c r="F599" s="36" t="s">
        <v>197</v>
      </c>
      <c r="G599" s="17" t="e">
        <f>SUM(J599:M599,O599:P599,R599:AA599)</f>
        <v>#N/A</v>
      </c>
      <c r="H599" s="19" t="e">
        <f>IF(ISBLANK(B599),0,+#REF!/B599)</f>
        <v>#REF!</v>
      </c>
      <c r="J599" s="82">
        <f>IF(ISBLANK(B599),0,+J$532)</f>
        <v>120</v>
      </c>
      <c r="K599" s="42">
        <f>ROUND($B599*K$532,2)</f>
        <v>-0.04</v>
      </c>
      <c r="N599" s="18">
        <f>K599</f>
        <v>-0.04</v>
      </c>
      <c r="O599" s="17">
        <f>IF($C599&gt;M$533,ROUND(M$533*M$532,2),ROUND($C599*M$532,2))</f>
        <v>1237</v>
      </c>
      <c r="P599" s="17">
        <f>IF($C599&gt;M$533,ROUND(($C599-M$533)*O$532,2),0)</f>
        <v>0</v>
      </c>
      <c r="Q599" s="42">
        <f>SUM(O599:P599)</f>
        <v>1237</v>
      </c>
      <c r="R599" s="16" t="e">
        <f>ROUND(SUM(N599:P599)*(R598-1),2)</f>
        <v>#N/A</v>
      </c>
      <c r="S599" s="42">
        <f>ROUND($B599*S$532*S598,2)</f>
        <v>0</v>
      </c>
      <c r="T599" s="42">
        <f>ROUND($B599*T$532,2)</f>
        <v>0</v>
      </c>
      <c r="U599" s="42">
        <f>ROUND($B599*U$532,2)</f>
        <v>0</v>
      </c>
      <c r="V599" s="41">
        <f>ROUND($B599*$V$527,2)</f>
        <v>0</v>
      </c>
      <c r="W599" s="42">
        <f>ROUND($B599*W$532,2)</f>
        <v>0</v>
      </c>
      <c r="X599" s="42">
        <f>ROUND($B599*X$532,2)</f>
        <v>-0.01</v>
      </c>
      <c r="Y599" s="42">
        <f>ROUND($B599*Y$532,2)</f>
        <v>0</v>
      </c>
      <c r="Z599" s="42">
        <f>ROUND($B599*Z$532,2)</f>
        <v>0</v>
      </c>
      <c r="AA599" s="42">
        <f>ROUND($B599*AA$532,2)</f>
        <v>0</v>
      </c>
      <c r="AB599" s="19" t="e">
        <f>SUM(U$532:AA$532)+(-V$532+#REF!)</f>
        <v>#REF!</v>
      </c>
      <c r="AC599" s="94" t="str">
        <f>+F599</f>
        <v>SL2</v>
      </c>
    </row>
    <row r="600" spans="1:29" x14ac:dyDescent="0.2">
      <c r="A600" s="9"/>
      <c r="B600" s="97">
        <v>-1</v>
      </c>
      <c r="D600" s="41"/>
      <c r="E600" s="80"/>
      <c r="F600" s="36"/>
      <c r="G600" s="98"/>
      <c r="H600" s="19"/>
      <c r="J600" s="82"/>
      <c r="K600" s="42"/>
      <c r="O600" s="42"/>
      <c r="P600" s="42"/>
      <c r="Q600" s="42"/>
      <c r="R600" s="38" t="e">
        <f>INDEX('Pwr Factor'!$A$1:$B$52,MATCH((D601),'Pwr Factor'!$A$1:$A$52,0),2)</f>
        <v>#N/A</v>
      </c>
      <c r="S600" s="50">
        <v>0.25</v>
      </c>
      <c r="T600" s="42"/>
      <c r="U600" s="42"/>
      <c r="V600" s="41"/>
      <c r="W600" s="42"/>
      <c r="X600" s="42"/>
      <c r="Y600" s="42"/>
      <c r="Z600" s="42"/>
      <c r="AA600" s="42"/>
      <c r="AB600" s="19"/>
      <c r="AC600" s="94"/>
    </row>
    <row r="601" spans="1:29" x14ac:dyDescent="0.2">
      <c r="A601" s="1" t="s">
        <v>140</v>
      </c>
      <c r="B601" s="103">
        <f>IF(AND('AES Indiana Bill Calc.'!$D$17="SL",'AES Indiana Bill Calc.'!$D$18="Yes 25%",'AES Indiana Bill Calc.'!$D$20="Yes 2022"),'AES Indiana Bill Calc.'!$D$19,-1)</f>
        <v>-1</v>
      </c>
      <c r="C601" s="103">
        <f>MAX(E601,$C$533)</f>
        <v>50</v>
      </c>
      <c r="D601" s="103" t="b">
        <f>IF(AND('AES Indiana Bill Calc.'!$D$17="SL",'AES Indiana Bill Calc.'!$D$18="Yes 25%",'AES Indiana Bill Calc.'!$D$20="Yes 2022"),'AES Indiana Bill Calc.'!$D$22)</f>
        <v>0</v>
      </c>
      <c r="E601" s="103" t="b">
        <f>IF(AND('AES Indiana Bill Calc.'!$D$17="SL",'AES Indiana Bill Calc.'!$D$18="Yes 25%",'AES Indiana Bill Calc.'!$D$20="Yes 2022"),'AES Indiana Bill Calc.'!$D$21)</f>
        <v>0</v>
      </c>
      <c r="F601" s="36" t="s">
        <v>197</v>
      </c>
      <c r="G601" s="17" t="e">
        <f>SUM(J601:M601,O601:P601,R601:AA601)</f>
        <v>#N/A</v>
      </c>
      <c r="H601" s="19" t="e">
        <f>IF(ISBLANK(B601),0,+#REF!/B601)</f>
        <v>#REF!</v>
      </c>
      <c r="J601" s="82">
        <f>IF(ISBLANK(B601),0,+J$532)</f>
        <v>120</v>
      </c>
      <c r="K601" s="42">
        <f>ROUND($B601*K$532,2)</f>
        <v>-0.04</v>
      </c>
      <c r="N601" s="18">
        <f>K601</f>
        <v>-0.04</v>
      </c>
      <c r="O601" s="17">
        <f>IF($C601&gt;M$533,ROUND(M$533*M$532,2),ROUND($C601*M$532,2))</f>
        <v>1237</v>
      </c>
      <c r="P601" s="17">
        <f>IF($C601&gt;M$533,ROUND(($C601-M$533)*O$532,2),0)</f>
        <v>0</v>
      </c>
      <c r="Q601" s="42">
        <f>SUM(O601:P601)</f>
        <v>1237</v>
      </c>
      <c r="R601" s="16" t="e">
        <f>ROUND(SUM(N601:P601)*(R600-1),2)</f>
        <v>#N/A</v>
      </c>
      <c r="S601" s="42">
        <f>ROUND($B601*S$532*S600,2)</f>
        <v>0</v>
      </c>
      <c r="T601" s="42">
        <f>ROUND($B601*T$532,2)</f>
        <v>0</v>
      </c>
      <c r="U601" s="42">
        <f>ROUND($B601*U$532,2)</f>
        <v>0</v>
      </c>
      <c r="V601" s="41">
        <f>ROUND($B601*$V$527,2)</f>
        <v>0</v>
      </c>
      <c r="W601" s="42">
        <f>ROUND($B601*W$532,2)</f>
        <v>0</v>
      </c>
      <c r="X601" s="42">
        <f>ROUND($B601*X$532,2)</f>
        <v>-0.01</v>
      </c>
      <c r="Y601" s="42">
        <f>ROUND($B601*Y$532,2)</f>
        <v>0</v>
      </c>
      <c r="Z601" s="42">
        <f>ROUND($B601*Z$532,2)</f>
        <v>0</v>
      </c>
      <c r="AA601" s="42">
        <f>ROUND($B601*AA$532,2)</f>
        <v>0</v>
      </c>
      <c r="AB601" s="19" t="e">
        <f>SUM(U$532:AA$532)+(-V$532+#REF!)</f>
        <v>#REF!</v>
      </c>
      <c r="AC601" s="94" t="str">
        <f>+F601</f>
        <v>SL2</v>
      </c>
    </row>
    <row r="602" spans="1:29" x14ac:dyDescent="0.2">
      <c r="A602" s="9"/>
      <c r="B602" s="97">
        <v>-1</v>
      </c>
      <c r="D602" s="41"/>
      <c r="E602" s="80"/>
      <c r="F602" s="36"/>
      <c r="G602" s="98"/>
      <c r="H602" s="19"/>
      <c r="J602" s="82"/>
      <c r="K602" s="42"/>
      <c r="O602" s="42"/>
      <c r="P602" s="42"/>
      <c r="Q602" s="42"/>
      <c r="R602" s="38" t="e">
        <f>INDEX('Pwr Factor'!$A$1:$B$52,MATCH((D603),'Pwr Factor'!$A$1:$A$52,0),2)</f>
        <v>#N/A</v>
      </c>
      <c r="S602" s="50">
        <v>0.1</v>
      </c>
      <c r="T602" s="42"/>
      <c r="U602" s="42"/>
      <c r="V602" s="41"/>
      <c r="W602" s="42"/>
      <c r="X602" s="42"/>
      <c r="Y602" s="42"/>
      <c r="Z602" s="42"/>
      <c r="AA602" s="42"/>
      <c r="AB602" s="19"/>
      <c r="AC602" s="94"/>
    </row>
    <row r="603" spans="1:29" x14ac:dyDescent="0.2">
      <c r="A603" s="1" t="s">
        <v>154</v>
      </c>
      <c r="B603" s="103">
        <f>IF(AND('AES Indiana Bill Calc.'!$D$17="SL",'AES Indiana Bill Calc.'!$D$18="Yes 10%",'AES Indiana Bill Calc.'!$D$20="Yes 2022"),'AES Indiana Bill Calc.'!$D$19,-1)</f>
        <v>-1</v>
      </c>
      <c r="C603" s="103">
        <f>MAX(E603,$C$533)</f>
        <v>50</v>
      </c>
      <c r="D603" s="103" t="b">
        <f>IF(AND('AES Indiana Bill Calc.'!$D$17="SL",'AES Indiana Bill Calc.'!$D$18="Yes 10%",'AES Indiana Bill Calc.'!$D$20="Yes 2022"),'AES Indiana Bill Calc.'!$D$22)</f>
        <v>0</v>
      </c>
      <c r="E603" s="103" t="b">
        <f>IF(AND('AES Indiana Bill Calc.'!$D$17="SL",'AES Indiana Bill Calc.'!$D$18="Yes 10%",'AES Indiana Bill Calc.'!$D$20="Yes 2022"),'AES Indiana Bill Calc.'!$D$21)</f>
        <v>0</v>
      </c>
      <c r="F603" s="36" t="s">
        <v>197</v>
      </c>
      <c r="G603" s="17" t="e">
        <f>SUM(J603:M603,O603:P603,R603:AA603)</f>
        <v>#N/A</v>
      </c>
      <c r="H603" s="19" t="e">
        <f>IF(ISBLANK(B603),0,+#REF!/B603)</f>
        <v>#REF!</v>
      </c>
      <c r="J603" s="82">
        <f>IF(ISBLANK(B603),0,+J$532)</f>
        <v>120</v>
      </c>
      <c r="K603" s="42">
        <f>ROUND($B603*K$532,2)</f>
        <v>-0.04</v>
      </c>
      <c r="N603" s="18">
        <f>K603</f>
        <v>-0.04</v>
      </c>
      <c r="O603" s="17">
        <f>IF($C603&gt;M$533,ROUND(M$533*M$532,2),ROUND($C603*M$532,2))</f>
        <v>1237</v>
      </c>
      <c r="P603" s="17">
        <f>IF($C603&gt;M$533,ROUND(($C603-M$533)*O$532,2),0)</f>
        <v>0</v>
      </c>
      <c r="Q603" s="42">
        <f>SUM(O603:P603)</f>
        <v>1237</v>
      </c>
      <c r="R603" s="16" t="e">
        <f>ROUND(SUM(N603:P603)*(R602-1),2)</f>
        <v>#N/A</v>
      </c>
      <c r="S603" s="42">
        <f>ROUND($B603*S$532*S602,2)</f>
        <v>0</v>
      </c>
      <c r="T603" s="42">
        <f>ROUND($B603*T$532,2)</f>
        <v>0</v>
      </c>
      <c r="U603" s="42">
        <f>ROUND($B603*U$532,2)</f>
        <v>0</v>
      </c>
      <c r="V603" s="41">
        <f>ROUND($B603*$V$527,2)</f>
        <v>0</v>
      </c>
      <c r="W603" s="42">
        <f>ROUND($B603*W$532,2)</f>
        <v>0</v>
      </c>
      <c r="X603" s="42">
        <f>ROUND($B603*X$532,2)</f>
        <v>-0.01</v>
      </c>
      <c r="Y603" s="42">
        <f>ROUND($B603*Y$532,2)</f>
        <v>0</v>
      </c>
      <c r="Z603" s="42">
        <f>ROUND($B603*Z$532,2)</f>
        <v>0</v>
      </c>
      <c r="AA603" s="42">
        <f>ROUND($B603*AA$532,2)</f>
        <v>0</v>
      </c>
      <c r="AB603" s="19" t="e">
        <f>SUM(U$532:AA$532)+(-V$532+#REF!)</f>
        <v>#REF!</v>
      </c>
      <c r="AC603" s="94" t="str">
        <f>+F603</f>
        <v>SL2</v>
      </c>
    </row>
    <row r="604" spans="1:29" x14ac:dyDescent="0.2">
      <c r="A604" s="9"/>
      <c r="B604" s="97">
        <v>-1</v>
      </c>
      <c r="D604" s="41"/>
      <c r="E604" s="80"/>
      <c r="F604" s="36"/>
      <c r="G604" s="98"/>
      <c r="H604" s="19"/>
      <c r="J604" s="82"/>
      <c r="K604" s="42"/>
      <c r="O604" s="42"/>
      <c r="P604" s="42"/>
      <c r="Q604" s="42"/>
      <c r="R604" s="38" t="e">
        <f>INDEX('Pwr Factor'!$A$1:$B$52,MATCH((D605),'Pwr Factor'!$A$1:$A$52,0),2)</f>
        <v>#N/A</v>
      </c>
      <c r="S604" s="50">
        <v>0</v>
      </c>
      <c r="T604" s="42"/>
      <c r="U604" s="42"/>
      <c r="V604" s="41"/>
      <c r="W604" s="42"/>
      <c r="X604" s="42"/>
      <c r="Y604" s="42"/>
      <c r="Z604" s="42"/>
      <c r="AA604" s="42"/>
      <c r="AB604" s="19"/>
      <c r="AC604" s="94"/>
    </row>
    <row r="605" spans="1:29" x14ac:dyDescent="0.2">
      <c r="A605" s="1" t="s">
        <v>137</v>
      </c>
      <c r="B605" s="103">
        <f>IF(AND('AES Indiana Bill Calc.'!$D$17="SL",'AES Indiana Bill Calc.'!$D$18="No",'AES Indiana Bill Calc.'!$D$20="Yes 2022"),'AES Indiana Bill Calc.'!$D$19,-1)</f>
        <v>-1</v>
      </c>
      <c r="C605" s="103">
        <f>MAX(E605,$C$533)</f>
        <v>50</v>
      </c>
      <c r="D605" s="103" t="b">
        <f>IF(AND('AES Indiana Bill Calc.'!$D$17="SL",'AES Indiana Bill Calc.'!$D$18="No",'AES Indiana Bill Calc.'!$D$20="Yes 2022"),'AES Indiana Bill Calc.'!$D$22)</f>
        <v>0</v>
      </c>
      <c r="E605" s="103" t="b">
        <f>IF(AND('AES Indiana Bill Calc.'!$D$17="SL",'AES Indiana Bill Calc.'!$D$18="No",'AES Indiana Bill Calc.'!$D$20="Yes 2022"),'AES Indiana Bill Calc.'!$D$21)</f>
        <v>0</v>
      </c>
      <c r="F605" s="36" t="s">
        <v>197</v>
      </c>
      <c r="G605" s="17" t="e">
        <f>SUM(J605:M605,O605:P605,R605:AA605)</f>
        <v>#N/A</v>
      </c>
      <c r="H605" s="19" t="e">
        <f>IF(ISBLANK(B605),0,+#REF!/B605)</f>
        <v>#REF!</v>
      </c>
      <c r="J605" s="82">
        <f>IF(ISBLANK(B605),0,+J$532)</f>
        <v>120</v>
      </c>
      <c r="K605" s="42">
        <f>ROUND($B605*K$532,2)</f>
        <v>-0.04</v>
      </c>
      <c r="N605" s="18">
        <f>K605</f>
        <v>-0.04</v>
      </c>
      <c r="O605" s="17">
        <f>IF($C605&gt;M$533,ROUND(M$533*M$532,2),ROUND($C605*M$532,2))</f>
        <v>1237</v>
      </c>
      <c r="P605" s="17">
        <f>IF($C605&gt;M$533,ROUND(($C605-M$533)*O$532,2),0)</f>
        <v>0</v>
      </c>
      <c r="Q605" s="42">
        <f>SUM(O605:P605)</f>
        <v>1237</v>
      </c>
      <c r="R605" s="16" t="e">
        <f>ROUND(SUM(N605:P605)*(R604-1),2)</f>
        <v>#N/A</v>
      </c>
      <c r="S605" s="42">
        <f>ROUND($B605*S$532*S604,2)</f>
        <v>0</v>
      </c>
      <c r="T605" s="42">
        <f>ROUND($B605*T$532,2)</f>
        <v>0</v>
      </c>
      <c r="U605" s="42">
        <f>ROUND($B605*U$532,2)</f>
        <v>0</v>
      </c>
      <c r="V605" s="41">
        <f>ROUND($B605*$V$527,2)</f>
        <v>0</v>
      </c>
      <c r="W605" s="42">
        <f>ROUND($B605*W$532,2)</f>
        <v>0</v>
      </c>
      <c r="X605" s="42">
        <f>ROUND($B605*X$532,2)</f>
        <v>-0.01</v>
      </c>
      <c r="Y605" s="42">
        <f>ROUND($B605*Y$532,2)</f>
        <v>0</v>
      </c>
      <c r="Z605" s="42">
        <f>ROUND($B605*Z$532,2)</f>
        <v>0</v>
      </c>
      <c r="AA605" s="42">
        <f>ROUND($B605*AA$532,2)</f>
        <v>0</v>
      </c>
      <c r="AB605" s="19" t="e">
        <f>SUM(U$532:AA$532)+(-V$532+#REF!)</f>
        <v>#REF!</v>
      </c>
      <c r="AC605" s="94" t="str">
        <f>+F605</f>
        <v>SL2</v>
      </c>
    </row>
    <row r="606" spans="1:29" x14ac:dyDescent="0.2">
      <c r="A606" s="1"/>
      <c r="B606" s="103">
        <v>-1</v>
      </c>
      <c r="C606" s="103"/>
      <c r="D606" s="103"/>
      <c r="E606" s="103"/>
      <c r="F606" s="36"/>
      <c r="G606" s="17"/>
      <c r="H606" s="19"/>
      <c r="J606" s="82"/>
      <c r="K606" s="42"/>
      <c r="N606" s="18"/>
      <c r="O606" s="17"/>
      <c r="P606" s="17"/>
      <c r="Q606" s="42"/>
      <c r="R606" s="38" t="e">
        <f>INDEX('Pwr Factor'!$A$1:$B$52,MATCH((D607),'Pwr Factor'!$A$1:$A$52,0),2)</f>
        <v>#N/A</v>
      </c>
      <c r="S606" s="50">
        <v>1</v>
      </c>
      <c r="T606" s="42"/>
      <c r="U606" s="42"/>
      <c r="V606" s="41"/>
      <c r="W606" s="42"/>
      <c r="X606" s="42"/>
      <c r="Y606" s="42"/>
      <c r="Z606" s="42"/>
      <c r="AA606" s="42"/>
      <c r="AB606" s="19"/>
      <c r="AC606" s="94"/>
    </row>
    <row r="607" spans="1:29" x14ac:dyDescent="0.2">
      <c r="A607" s="1" t="s">
        <v>138</v>
      </c>
      <c r="B607" s="103">
        <f>IF(AND('AES Indiana Bill Calc.'!$D$17="SL",'AES Indiana Bill Calc.'!$D$18="Yes 100%",'AES Indiana Bill Calc.'!$D$20="Yes 2023"),'AES Indiana Bill Calc.'!$D$19,-1)</f>
        <v>-1</v>
      </c>
      <c r="C607" s="103">
        <f>MAX(E607,$C$533)</f>
        <v>50</v>
      </c>
      <c r="D607" s="103" t="b">
        <f>IF(AND('AES Indiana Bill Calc.'!$D$17="SL",'AES Indiana Bill Calc.'!$D$18="Yes 100%",'AES Indiana Bill Calc.'!$D$20="Yes 2023"),'AES Indiana Bill Calc.'!$D$22)</f>
        <v>0</v>
      </c>
      <c r="E607" s="103" t="b">
        <f>IF(AND('AES Indiana Bill Calc.'!$D$17="SL",'AES Indiana Bill Calc.'!$D$18="Yes 100%",'AES Indiana Bill Calc.'!$D$20="Yes 2023"),'AES Indiana Bill Calc.'!$D$21)</f>
        <v>0</v>
      </c>
      <c r="F607" s="36" t="s">
        <v>198</v>
      </c>
      <c r="G607" s="17" t="e">
        <f>SUM(J607:M607,O607:P607,R607:AA607)</f>
        <v>#N/A</v>
      </c>
      <c r="H607" s="19" t="e">
        <f>IF(ISBLANK(B607),0,+#REF!/B607)</f>
        <v>#REF!</v>
      </c>
      <c r="J607" s="82">
        <f>IF(ISBLANK(B607),0,+J$532)</f>
        <v>120</v>
      </c>
      <c r="K607" s="42">
        <f>ROUND($B607*K$532,2)</f>
        <v>-0.04</v>
      </c>
      <c r="N607" s="18">
        <f>K607</f>
        <v>-0.04</v>
      </c>
      <c r="O607" s="17">
        <f>IF($C607&gt;M$533,ROUND(M$533*M$532,2),ROUND($C607*M$532,2))</f>
        <v>1237</v>
      </c>
      <c r="P607" s="17">
        <f>IF($C607&gt;M$533,ROUND(($C607-M$533)*O$532,2),0)</f>
        <v>0</v>
      </c>
      <c r="Q607" s="42">
        <f>SUM(O607:P607)</f>
        <v>1237</v>
      </c>
      <c r="R607" s="16" t="e">
        <f>ROUND(SUM(N607:P607)*(R606-1),2)</f>
        <v>#N/A</v>
      </c>
      <c r="S607" s="42">
        <f>ROUND($B607*S$532*S606,2)</f>
        <v>0</v>
      </c>
      <c r="T607" s="42">
        <f>ROUND($B607*T$532,2)</f>
        <v>0</v>
      </c>
      <c r="U607" s="42">
        <f>ROUND($B607*U$532,2)</f>
        <v>0</v>
      </c>
      <c r="V607" s="41">
        <f>ROUND($B607*$V$528,2)</f>
        <v>0</v>
      </c>
      <c r="W607" s="42">
        <f>ROUND($B607*W$532,2)</f>
        <v>0</v>
      </c>
      <c r="X607" s="42">
        <f>ROUND($B607*X$532,2)</f>
        <v>-0.01</v>
      </c>
      <c r="Y607" s="42">
        <f>ROUND($B607*Y$532,2)</f>
        <v>0</v>
      </c>
      <c r="Z607" s="42">
        <f>ROUND($B607*Z$532,2)</f>
        <v>0</v>
      </c>
      <c r="AA607" s="42">
        <f>ROUND($B607*AA$532,2)</f>
        <v>0</v>
      </c>
      <c r="AB607" s="19" t="e">
        <f>SUM(U$532:AA$532)+(-V$532+#REF!)</f>
        <v>#REF!</v>
      </c>
      <c r="AC607" s="94" t="str">
        <f>+F607</f>
        <v>SL3</v>
      </c>
    </row>
    <row r="608" spans="1:29" x14ac:dyDescent="0.2">
      <c r="A608" s="9"/>
      <c r="B608" s="97">
        <v>-1</v>
      </c>
      <c r="D608" s="41"/>
      <c r="E608" s="80"/>
      <c r="F608" s="36"/>
      <c r="G608" s="98"/>
      <c r="H608" s="19"/>
      <c r="J608" s="82"/>
      <c r="K608" s="42"/>
      <c r="O608" s="42"/>
      <c r="P608" s="42"/>
      <c r="Q608" s="42"/>
      <c r="R608" s="38" t="e">
        <f>INDEX('Pwr Factor'!$A$1:$B$52,MATCH((D609),'Pwr Factor'!$A$1:$A$52,0),2)</f>
        <v>#N/A</v>
      </c>
      <c r="S608" s="50">
        <v>0.5</v>
      </c>
      <c r="T608" s="42"/>
      <c r="U608" s="42"/>
      <c r="V608" s="41"/>
      <c r="W608" s="42"/>
      <c r="X608" s="42"/>
      <c r="Y608" s="42"/>
      <c r="Z608" s="42"/>
      <c r="AA608" s="42"/>
      <c r="AB608" s="19"/>
      <c r="AC608" s="94"/>
    </row>
    <row r="609" spans="1:29" x14ac:dyDescent="0.2">
      <c r="A609" s="1" t="s">
        <v>139</v>
      </c>
      <c r="B609" s="103">
        <f>IF(AND('AES Indiana Bill Calc.'!$D$17="SL",'AES Indiana Bill Calc.'!$D$18="Yes 50%",'AES Indiana Bill Calc.'!$D$20="Yes 2023"),'AES Indiana Bill Calc.'!$D$19,-1)</f>
        <v>-1</v>
      </c>
      <c r="C609" s="103">
        <f>MAX(E609,$C$533)</f>
        <v>50</v>
      </c>
      <c r="D609" s="103" t="b">
        <f>IF(AND('AES Indiana Bill Calc.'!$D$17="SL",'AES Indiana Bill Calc.'!$D$18="Yes 50%",'AES Indiana Bill Calc.'!$D$20="Yes 2023"),'AES Indiana Bill Calc.'!$D$22)</f>
        <v>0</v>
      </c>
      <c r="E609" s="103" t="b">
        <f>IF(AND('AES Indiana Bill Calc.'!$D$17="SL",'AES Indiana Bill Calc.'!$D$18="Yes 50%",'AES Indiana Bill Calc.'!$D$20="Yes 2023"),'AES Indiana Bill Calc.'!$D$21)</f>
        <v>0</v>
      </c>
      <c r="F609" s="36" t="s">
        <v>198</v>
      </c>
      <c r="G609" s="17" t="e">
        <f>SUM(J609:M609,O609:P609,R609:AA609)</f>
        <v>#N/A</v>
      </c>
      <c r="H609" s="19" t="e">
        <f>IF(ISBLANK(B609),0,+#REF!/B609)</f>
        <v>#REF!</v>
      </c>
      <c r="J609" s="82">
        <f>IF(ISBLANK(B609),0,+J$532)</f>
        <v>120</v>
      </c>
      <c r="K609" s="42">
        <f>ROUND($B609*K$532,2)</f>
        <v>-0.04</v>
      </c>
      <c r="N609" s="18">
        <f>K609</f>
        <v>-0.04</v>
      </c>
      <c r="O609" s="17">
        <f>IF($C609&gt;M$533,ROUND(M$533*M$532,2),ROUND($C609*M$532,2))</f>
        <v>1237</v>
      </c>
      <c r="P609" s="17">
        <f>IF($C609&gt;M$533,ROUND(($C609-M$533)*O$532,2),0)</f>
        <v>0</v>
      </c>
      <c r="Q609" s="42">
        <f>SUM(O609:P609)</f>
        <v>1237</v>
      </c>
      <c r="R609" s="16" t="e">
        <f>ROUND(SUM(N609:P609)*(R608-1),2)</f>
        <v>#N/A</v>
      </c>
      <c r="S609" s="42">
        <f>ROUND($B609*S$532*S608,2)</f>
        <v>0</v>
      </c>
      <c r="T609" s="42">
        <f>ROUND($B609*T$532,2)</f>
        <v>0</v>
      </c>
      <c r="U609" s="42">
        <f>ROUND($B609*U$532,2)</f>
        <v>0</v>
      </c>
      <c r="V609" s="41">
        <f>ROUND($B609*$V$528,2)</f>
        <v>0</v>
      </c>
      <c r="W609" s="42">
        <f>ROUND($B609*W$532,2)</f>
        <v>0</v>
      </c>
      <c r="X609" s="42">
        <f>ROUND($B609*X$532,2)</f>
        <v>-0.01</v>
      </c>
      <c r="Y609" s="42">
        <f>ROUND($B609*Y$532,2)</f>
        <v>0</v>
      </c>
      <c r="Z609" s="42">
        <f>ROUND($B609*Z$532,2)</f>
        <v>0</v>
      </c>
      <c r="AA609" s="42">
        <f>ROUND($B609*AA$532,2)</f>
        <v>0</v>
      </c>
      <c r="AB609" s="19" t="e">
        <f>SUM(U$532:AA$532)+(-V$532+#REF!)</f>
        <v>#REF!</v>
      </c>
      <c r="AC609" s="94" t="str">
        <f>+F609</f>
        <v>SL3</v>
      </c>
    </row>
    <row r="610" spans="1:29" x14ac:dyDescent="0.2">
      <c r="A610" s="9"/>
      <c r="B610" s="97">
        <v>-1</v>
      </c>
      <c r="D610" s="41"/>
      <c r="E610" s="80"/>
      <c r="F610" s="36"/>
      <c r="G610" s="98"/>
      <c r="H610" s="19"/>
      <c r="J610" s="82"/>
      <c r="K610" s="42"/>
      <c r="O610" s="42"/>
      <c r="P610" s="42"/>
      <c r="Q610" s="42"/>
      <c r="R610" s="38" t="e">
        <f>INDEX('Pwr Factor'!$A$1:$B$52,MATCH((D611),'Pwr Factor'!$A$1:$A$52,0),2)</f>
        <v>#N/A</v>
      </c>
      <c r="S610" s="50">
        <v>0.25</v>
      </c>
      <c r="T610" s="42"/>
      <c r="U610" s="42"/>
      <c r="V610" s="41"/>
      <c r="W610" s="42"/>
      <c r="X610" s="42"/>
      <c r="Y610" s="42"/>
      <c r="Z610" s="42"/>
      <c r="AA610" s="42"/>
      <c r="AB610" s="19"/>
      <c r="AC610" s="94"/>
    </row>
    <row r="611" spans="1:29" x14ac:dyDescent="0.2">
      <c r="A611" s="1" t="s">
        <v>140</v>
      </c>
      <c r="B611" s="103">
        <f>IF(AND('AES Indiana Bill Calc.'!$D$17="SL",'AES Indiana Bill Calc.'!$D$18="Yes 25%",'AES Indiana Bill Calc.'!$D$20="Yes 2023"),'AES Indiana Bill Calc.'!$D$19,-1)</f>
        <v>-1</v>
      </c>
      <c r="C611" s="103">
        <f>MAX(E611,$C$533)</f>
        <v>50</v>
      </c>
      <c r="D611" s="103" t="b">
        <f>IF(AND('AES Indiana Bill Calc.'!$D$17="SL",'AES Indiana Bill Calc.'!$D$18="Yes 25%",'AES Indiana Bill Calc.'!$D$20="Yes 2023"),'AES Indiana Bill Calc.'!$D$22)</f>
        <v>0</v>
      </c>
      <c r="E611" s="103" t="b">
        <f>IF(AND('AES Indiana Bill Calc.'!$D$17="SL",'AES Indiana Bill Calc.'!$D$18="Yes 25%",'AES Indiana Bill Calc.'!$D$20="Yes 2023"),'AES Indiana Bill Calc.'!$D$21)</f>
        <v>0</v>
      </c>
      <c r="F611" s="36" t="s">
        <v>198</v>
      </c>
      <c r="G611" s="17" t="e">
        <f>SUM(J611:M611,O611:P611,R611:AA611)</f>
        <v>#N/A</v>
      </c>
      <c r="H611" s="19" t="e">
        <f>IF(ISBLANK(B611),0,+#REF!/B611)</f>
        <v>#REF!</v>
      </c>
      <c r="J611" s="82">
        <f>IF(ISBLANK(B611),0,+J$532)</f>
        <v>120</v>
      </c>
      <c r="K611" s="42">
        <f>ROUND($B611*K$532,2)</f>
        <v>-0.04</v>
      </c>
      <c r="N611" s="18">
        <f>K611</f>
        <v>-0.04</v>
      </c>
      <c r="O611" s="17">
        <f>IF($C611&gt;M$533,ROUND(M$533*M$532,2),ROUND($C611*M$532,2))</f>
        <v>1237</v>
      </c>
      <c r="P611" s="17">
        <f>IF($C611&gt;M$533,ROUND(($C611-M$533)*O$532,2),0)</f>
        <v>0</v>
      </c>
      <c r="Q611" s="42">
        <f>SUM(O611:P611)</f>
        <v>1237</v>
      </c>
      <c r="R611" s="16" t="e">
        <f>ROUND(SUM(N611:P611)*(R610-1),2)</f>
        <v>#N/A</v>
      </c>
      <c r="S611" s="42">
        <f>ROUND($B611*S$532*S610,2)</f>
        <v>0</v>
      </c>
      <c r="T611" s="42">
        <f>ROUND($B611*T$532,2)</f>
        <v>0</v>
      </c>
      <c r="U611" s="42">
        <f>ROUND($B611*U$532,2)</f>
        <v>0</v>
      </c>
      <c r="V611" s="41">
        <f>ROUND($B611*$V$528,2)</f>
        <v>0</v>
      </c>
      <c r="W611" s="42">
        <f>ROUND($B611*W$532,2)</f>
        <v>0</v>
      </c>
      <c r="X611" s="42">
        <f>ROUND($B611*X$532,2)</f>
        <v>-0.01</v>
      </c>
      <c r="Y611" s="42">
        <f>ROUND($B611*Y$532,2)</f>
        <v>0</v>
      </c>
      <c r="Z611" s="42">
        <f>ROUND($B611*Z$532,2)</f>
        <v>0</v>
      </c>
      <c r="AA611" s="42">
        <f>ROUND($B611*AA$532,2)</f>
        <v>0</v>
      </c>
      <c r="AB611" s="19" t="e">
        <f>SUM(U$532:AA$532)+(-V$532+#REF!)</f>
        <v>#REF!</v>
      </c>
      <c r="AC611" s="94" t="str">
        <f>+F611</f>
        <v>SL3</v>
      </c>
    </row>
    <row r="612" spans="1:29" x14ac:dyDescent="0.2">
      <c r="A612" s="9"/>
      <c r="B612" s="97">
        <v>-1</v>
      </c>
      <c r="D612" s="41"/>
      <c r="E612" s="80"/>
      <c r="F612" s="36"/>
      <c r="G612" s="98"/>
      <c r="H612" s="19"/>
      <c r="J612" s="82"/>
      <c r="K612" s="42"/>
      <c r="O612" s="42"/>
      <c r="P612" s="42"/>
      <c r="Q612" s="42"/>
      <c r="R612" s="38" t="e">
        <f>INDEX('Pwr Factor'!$A$1:$B$52,MATCH((D613),'Pwr Factor'!$A$1:$A$52,0),2)</f>
        <v>#N/A</v>
      </c>
      <c r="S612" s="50">
        <v>0.1</v>
      </c>
      <c r="T612" s="42"/>
      <c r="U612" s="42"/>
      <c r="V612" s="41"/>
      <c r="W612" s="42"/>
      <c r="X612" s="42"/>
      <c r="Y612" s="42"/>
      <c r="Z612" s="42"/>
      <c r="AA612" s="42"/>
      <c r="AB612" s="19"/>
      <c r="AC612" s="94"/>
    </row>
    <row r="613" spans="1:29" x14ac:dyDescent="0.2">
      <c r="A613" s="1" t="s">
        <v>154</v>
      </c>
      <c r="B613" s="103">
        <f>IF(AND('AES Indiana Bill Calc.'!$D$17="SL",'AES Indiana Bill Calc.'!$D$18="Yes 10%",'AES Indiana Bill Calc.'!$D$20="Yes 2023"),'AES Indiana Bill Calc.'!$D$19,-1)</f>
        <v>-1</v>
      </c>
      <c r="C613" s="103">
        <f>MAX(E613,$C$533)</f>
        <v>50</v>
      </c>
      <c r="D613" s="103" t="b">
        <f>IF(AND('AES Indiana Bill Calc.'!$D$17="SL",'AES Indiana Bill Calc.'!$D$18="Yes 10%",'AES Indiana Bill Calc.'!$D$20="Yes 2023"),'AES Indiana Bill Calc.'!$D$22)</f>
        <v>0</v>
      </c>
      <c r="E613" s="103" t="b">
        <f>IF(AND('AES Indiana Bill Calc.'!$D$17="SL",'AES Indiana Bill Calc.'!$D$18="Yes 10%",'AES Indiana Bill Calc.'!$D$20="Yes 2023"),'AES Indiana Bill Calc.'!$D$21)</f>
        <v>0</v>
      </c>
      <c r="F613" s="36" t="s">
        <v>198</v>
      </c>
      <c r="G613" s="17" t="e">
        <f>SUM(J613:M613,O613:P613,R613:AA613)</f>
        <v>#N/A</v>
      </c>
      <c r="H613" s="19" t="e">
        <f>IF(ISBLANK(B613),0,+#REF!/B613)</f>
        <v>#REF!</v>
      </c>
      <c r="J613" s="82">
        <f>IF(ISBLANK(B613),0,+J$532)</f>
        <v>120</v>
      </c>
      <c r="K613" s="42">
        <f>ROUND($B613*K$532,2)</f>
        <v>-0.04</v>
      </c>
      <c r="N613" s="18">
        <f>K613</f>
        <v>-0.04</v>
      </c>
      <c r="O613" s="17">
        <f>IF($C613&gt;M$533,ROUND(M$533*M$532,2),ROUND($C613*M$532,2))</f>
        <v>1237</v>
      </c>
      <c r="P613" s="17">
        <f>IF($C613&gt;M$533,ROUND(($C613-M$533)*O$532,2),0)</f>
        <v>0</v>
      </c>
      <c r="Q613" s="42">
        <f>SUM(O613:P613)</f>
        <v>1237</v>
      </c>
      <c r="R613" s="16" t="e">
        <f>ROUND(SUM(N613:P613)*(R612-1),2)</f>
        <v>#N/A</v>
      </c>
      <c r="S613" s="42">
        <f>ROUND($B613*S$532*S612,2)</f>
        <v>0</v>
      </c>
      <c r="T613" s="42">
        <f>ROUND($B613*T$532,2)</f>
        <v>0</v>
      </c>
      <c r="U613" s="42">
        <f>ROUND($B613*U$532,2)</f>
        <v>0</v>
      </c>
      <c r="V613" s="41">
        <f>ROUND($B613*$V$528,2)</f>
        <v>0</v>
      </c>
      <c r="W613" s="42">
        <f>ROUND($B613*W$532,2)</f>
        <v>0</v>
      </c>
      <c r="X613" s="42">
        <f>ROUND($B613*X$532,2)</f>
        <v>-0.01</v>
      </c>
      <c r="Y613" s="42">
        <f>ROUND($B613*Y$532,2)</f>
        <v>0</v>
      </c>
      <c r="Z613" s="42">
        <f>ROUND($B613*Z$532,2)</f>
        <v>0</v>
      </c>
      <c r="AA613" s="42">
        <f>ROUND($B613*AA$532,2)</f>
        <v>0</v>
      </c>
      <c r="AB613" s="19" t="e">
        <f>SUM(U$532:AA$532)+(-V$532+#REF!)</f>
        <v>#REF!</v>
      </c>
      <c r="AC613" s="94" t="str">
        <f>+F613</f>
        <v>SL3</v>
      </c>
    </row>
    <row r="614" spans="1:29" x14ac:dyDescent="0.2">
      <c r="A614" s="9"/>
      <c r="B614" s="97">
        <v>-1</v>
      </c>
      <c r="D614" s="41"/>
      <c r="E614" s="80"/>
      <c r="F614" s="36"/>
      <c r="G614" s="98"/>
      <c r="H614" s="19"/>
      <c r="J614" s="82"/>
      <c r="K614" s="42"/>
      <c r="O614" s="42"/>
      <c r="P614" s="42"/>
      <c r="Q614" s="42"/>
      <c r="R614" s="38" t="e">
        <f>INDEX('Pwr Factor'!$A$1:$B$52,MATCH((D615),'Pwr Factor'!$A$1:$A$52,0),2)</f>
        <v>#N/A</v>
      </c>
      <c r="S614" s="50">
        <v>0</v>
      </c>
      <c r="T614" s="42"/>
      <c r="U614" s="42"/>
      <c r="V614" s="41"/>
      <c r="W614" s="42"/>
      <c r="X614" s="42"/>
      <c r="Y614" s="42"/>
      <c r="Z614" s="42"/>
      <c r="AA614" s="42"/>
      <c r="AB614" s="19"/>
      <c r="AC614" s="94"/>
    </row>
    <row r="615" spans="1:29" x14ac:dyDescent="0.2">
      <c r="A615" s="1" t="s">
        <v>137</v>
      </c>
      <c r="B615" s="103">
        <f>IF(AND('AES Indiana Bill Calc.'!$D$17="SL",'AES Indiana Bill Calc.'!$D$18="No",'AES Indiana Bill Calc.'!$D$20="Yes 2023"),'AES Indiana Bill Calc.'!$D$19,-1)</f>
        <v>-1</v>
      </c>
      <c r="C615" s="103">
        <f>MAX(E615,$C$533)</f>
        <v>50</v>
      </c>
      <c r="D615" s="103" t="b">
        <f>IF(AND('AES Indiana Bill Calc.'!$D$17="SL",'AES Indiana Bill Calc.'!$D$18="No",'AES Indiana Bill Calc.'!$D$20="Yes 2023"),'AES Indiana Bill Calc.'!$D$22)</f>
        <v>0</v>
      </c>
      <c r="E615" s="103" t="b">
        <f>IF(AND('AES Indiana Bill Calc.'!$D$17="SL",'AES Indiana Bill Calc.'!$D$18="No",'AES Indiana Bill Calc.'!$D$20="Yes 2023"),'AES Indiana Bill Calc.'!$D$21)</f>
        <v>0</v>
      </c>
      <c r="F615" s="36" t="s">
        <v>198</v>
      </c>
      <c r="G615" s="17" t="e">
        <f>SUM(J615:M615,O615:P615,R615:AA615)</f>
        <v>#N/A</v>
      </c>
      <c r="H615" s="19" t="e">
        <f>IF(ISBLANK(B615),0,+#REF!/B615)</f>
        <v>#REF!</v>
      </c>
      <c r="J615" s="82">
        <f>IF(ISBLANK(B615),0,+J$532)</f>
        <v>120</v>
      </c>
      <c r="K615" s="42">
        <f>ROUND($B615*K$532,2)</f>
        <v>-0.04</v>
      </c>
      <c r="N615" s="18">
        <f>K615</f>
        <v>-0.04</v>
      </c>
      <c r="O615" s="17">
        <f>IF($C615&gt;M$533,ROUND(M$533*M$532,2),ROUND($C615*M$532,2))</f>
        <v>1237</v>
      </c>
      <c r="P615" s="17">
        <f>IF($C615&gt;M$533,ROUND(($C615-M$533)*O$532,2),0)</f>
        <v>0</v>
      </c>
      <c r="Q615" s="42">
        <f>SUM(O615:P615)</f>
        <v>1237</v>
      </c>
      <c r="R615" s="16" t="e">
        <f>ROUND(SUM(N615:P615)*(R614-1),2)</f>
        <v>#N/A</v>
      </c>
      <c r="S615" s="42">
        <f>ROUND($B615*S$532*S614,2)</f>
        <v>0</v>
      </c>
      <c r="T615" s="42">
        <f>ROUND($B615*T$532,2)</f>
        <v>0</v>
      </c>
      <c r="U615" s="42">
        <f>ROUND($B615*U$532,2)</f>
        <v>0</v>
      </c>
      <c r="V615" s="41">
        <f>ROUND($B615*$V$528,2)</f>
        <v>0</v>
      </c>
      <c r="W615" s="42">
        <f>ROUND($B615*W$532,2)</f>
        <v>0</v>
      </c>
      <c r="X615" s="42">
        <f>ROUND($B615*X$532,2)</f>
        <v>-0.01</v>
      </c>
      <c r="Y615" s="42">
        <f>ROUND($B615*Y$532,2)</f>
        <v>0</v>
      </c>
      <c r="Z615" s="42">
        <f>ROUND($B615*Z$532,2)</f>
        <v>0</v>
      </c>
      <c r="AA615" s="42">
        <f>ROUND($B615*AA$532,2)</f>
        <v>0</v>
      </c>
      <c r="AB615" s="19" t="e">
        <f>SUM(U$532:AA$532)+(-V$532+#REF!)</f>
        <v>#REF!</v>
      </c>
      <c r="AC615" s="94" t="str">
        <f>+F615</f>
        <v>SL3</v>
      </c>
    </row>
    <row r="616" spans="1:29" x14ac:dyDescent="0.2">
      <c r="A616" s="1"/>
      <c r="B616" s="103">
        <v>-1</v>
      </c>
      <c r="C616" s="103"/>
      <c r="D616" s="103"/>
      <c r="E616" s="103"/>
      <c r="F616" s="36"/>
      <c r="G616" s="17"/>
      <c r="H616" s="19"/>
      <c r="J616" s="82"/>
      <c r="K616" s="42"/>
      <c r="N616" s="18"/>
      <c r="O616" s="17"/>
      <c r="P616" s="17"/>
      <c r="Q616" s="42"/>
      <c r="R616" s="38" t="e">
        <f>INDEX('Pwr Factor'!$A$1:$B$52,MATCH((D617),'Pwr Factor'!$A$1:$A$52,0),2)</f>
        <v>#N/A</v>
      </c>
      <c r="S616" s="50">
        <v>1</v>
      </c>
      <c r="T616" s="42"/>
      <c r="U616" s="42"/>
      <c r="V616" s="41"/>
      <c r="W616" s="42"/>
      <c r="X616" s="42"/>
      <c r="Y616" s="42"/>
      <c r="Z616" s="42"/>
      <c r="AA616" s="42"/>
      <c r="AB616" s="19"/>
      <c r="AC616" s="94"/>
    </row>
    <row r="617" spans="1:29" x14ac:dyDescent="0.2">
      <c r="A617" s="1" t="s">
        <v>138</v>
      </c>
      <c r="B617" s="103">
        <f>IF(AND('AES Indiana Bill Calc.'!$D$17="SL",'AES Indiana Bill Calc.'!$D$18="Yes 100%",'AES Indiana Bill Calc.'!$D$20="Yes 2024"),'AES Indiana Bill Calc.'!$D$19,-1)</f>
        <v>-1</v>
      </c>
      <c r="C617" s="103">
        <f>MAX(E617,$C$533)</f>
        <v>50</v>
      </c>
      <c r="D617" s="103" t="b">
        <f>IF(AND('AES Indiana Bill Calc.'!$D$17="SL",'AES Indiana Bill Calc.'!$D$18="Yes 100%",'AES Indiana Bill Calc.'!$D$20="Yes 2024"),'AES Indiana Bill Calc.'!$D$22)</f>
        <v>0</v>
      </c>
      <c r="E617" s="103" t="b">
        <f>IF(AND('AES Indiana Bill Calc.'!$D$17="SL",'AES Indiana Bill Calc.'!$D$18="Yes 100%",'AES Indiana Bill Calc.'!$D$20="Yes 2024"),'AES Indiana Bill Calc.'!$D$21)</f>
        <v>0</v>
      </c>
      <c r="F617" s="36" t="s">
        <v>290</v>
      </c>
      <c r="G617" s="17" t="e">
        <f>SUM(J617:M617,O617:P617,R617:AA617)</f>
        <v>#N/A</v>
      </c>
      <c r="H617" s="19" t="e">
        <f>IF(ISBLANK(B617),0,+#REF!/B617)</f>
        <v>#REF!</v>
      </c>
      <c r="J617" s="82">
        <f>IF(ISBLANK(B617),0,+J$532)</f>
        <v>120</v>
      </c>
      <c r="K617" s="42">
        <f>ROUND($B617*K$532,2)</f>
        <v>-0.04</v>
      </c>
      <c r="N617" s="18">
        <f>K617</f>
        <v>-0.04</v>
      </c>
      <c r="O617" s="17">
        <f>IF($C617&gt;M$533,ROUND(M$533*M$532,2),ROUND($C617*M$532,2))</f>
        <v>1237</v>
      </c>
      <c r="P617" s="17">
        <f>IF($C617&gt;M$533,ROUND(($C617-M$533)*O$532,2),0)</f>
        <v>0</v>
      </c>
      <c r="Q617" s="42">
        <f>SUM(O617:P617)</f>
        <v>1237</v>
      </c>
      <c r="R617" s="16" t="e">
        <f>ROUND(SUM(N617:P617)*(R616-1),2)</f>
        <v>#N/A</v>
      </c>
      <c r="S617" s="42">
        <f>ROUND($B617*S$532*S616,2)</f>
        <v>0</v>
      </c>
      <c r="T617" s="42">
        <f>ROUND($B617*T$532,2)</f>
        <v>0</v>
      </c>
      <c r="U617" s="42">
        <f>ROUND($B617*U$532,2)</f>
        <v>0</v>
      </c>
      <c r="V617" s="41">
        <f>ROUND($B617*$V$529,2)</f>
        <v>0</v>
      </c>
      <c r="W617" s="42">
        <f>ROUND($B617*W$532,2)</f>
        <v>0</v>
      </c>
      <c r="X617" s="42">
        <f>ROUND($B617*X$532,2)</f>
        <v>-0.01</v>
      </c>
      <c r="Y617" s="42">
        <f>ROUND($B617*Y$532,2)</f>
        <v>0</v>
      </c>
      <c r="Z617" s="42">
        <f>ROUND($B617*Z$532,2)</f>
        <v>0</v>
      </c>
      <c r="AA617" s="42">
        <f>ROUND($B617*AA$532,2)</f>
        <v>0</v>
      </c>
      <c r="AB617" s="19" t="e">
        <f>SUM(U$532:AA$532)+(-V$532+#REF!)</f>
        <v>#REF!</v>
      </c>
      <c r="AC617" s="94" t="str">
        <f>+F617</f>
        <v>SL4</v>
      </c>
    </row>
    <row r="618" spans="1:29" x14ac:dyDescent="0.2">
      <c r="A618" s="9"/>
      <c r="B618" s="97">
        <v>-1</v>
      </c>
      <c r="D618" s="41"/>
      <c r="E618" s="80"/>
      <c r="F618" s="36"/>
      <c r="G618" s="98"/>
      <c r="H618" s="19"/>
      <c r="J618" s="82"/>
      <c r="K618" s="42"/>
      <c r="O618" s="42"/>
      <c r="P618" s="42"/>
      <c r="Q618" s="42"/>
      <c r="R618" s="38" t="e">
        <f>INDEX('Pwr Factor'!$A$1:$B$52,MATCH((D619),'Pwr Factor'!$A$1:$A$52,0),2)</f>
        <v>#N/A</v>
      </c>
      <c r="S618" s="50">
        <v>0.5</v>
      </c>
      <c r="T618" s="42"/>
      <c r="U618" s="42"/>
      <c r="V618" s="41"/>
      <c r="W618" s="42"/>
      <c r="X618" s="42"/>
      <c r="Y618" s="42"/>
      <c r="Z618" s="42"/>
      <c r="AA618" s="42"/>
      <c r="AB618" s="19"/>
      <c r="AC618" s="94"/>
    </row>
    <row r="619" spans="1:29" x14ac:dyDescent="0.2">
      <c r="A619" s="1" t="s">
        <v>139</v>
      </c>
      <c r="B619" s="103">
        <f>IF(AND('AES Indiana Bill Calc.'!$D$17="SL",'AES Indiana Bill Calc.'!$D$18="Yes 50%",'AES Indiana Bill Calc.'!$D$20="Yes 2024"),'AES Indiana Bill Calc.'!$D$19,-1)</f>
        <v>-1</v>
      </c>
      <c r="C619" s="103">
        <f>MAX(E619,$C$533)</f>
        <v>50</v>
      </c>
      <c r="D619" s="103" t="b">
        <f>IF(AND('AES Indiana Bill Calc.'!$D$17="SL",'AES Indiana Bill Calc.'!$D$18="Yes 50%",'AES Indiana Bill Calc.'!$D$20="Yes 2024"),'AES Indiana Bill Calc.'!$D$22)</f>
        <v>0</v>
      </c>
      <c r="E619" s="103" t="b">
        <f>IF(AND('AES Indiana Bill Calc.'!$D$17="SL",'AES Indiana Bill Calc.'!$D$18="Yes 50%",'AES Indiana Bill Calc.'!$D$20="Yes 2024"),'AES Indiana Bill Calc.'!$D$21)</f>
        <v>0</v>
      </c>
      <c r="F619" s="36" t="s">
        <v>290</v>
      </c>
      <c r="G619" s="17" t="e">
        <f>SUM(J619:M619,O619:P619,R619:AA619)</f>
        <v>#N/A</v>
      </c>
      <c r="H619" s="19" t="e">
        <f>IF(ISBLANK(B619),0,+#REF!/B619)</f>
        <v>#REF!</v>
      </c>
      <c r="J619" s="82">
        <f>IF(ISBLANK(B619),0,+J$532)</f>
        <v>120</v>
      </c>
      <c r="K619" s="42">
        <f>ROUND($B619*K$532,2)</f>
        <v>-0.04</v>
      </c>
      <c r="N619" s="18">
        <f>K619</f>
        <v>-0.04</v>
      </c>
      <c r="O619" s="17">
        <f>IF($C619&gt;M$533,ROUND(M$533*M$532,2),ROUND($C619*M$532,2))</f>
        <v>1237</v>
      </c>
      <c r="P619" s="17">
        <f>IF($C619&gt;M$533,ROUND(($C619-M$533)*O$532,2),0)</f>
        <v>0</v>
      </c>
      <c r="Q619" s="42">
        <f>SUM(O619:P619)</f>
        <v>1237</v>
      </c>
      <c r="R619" s="16" t="e">
        <f>ROUND(SUM(N619:P619)*(R618-1),2)</f>
        <v>#N/A</v>
      </c>
      <c r="S619" s="42">
        <f>ROUND($B619*S$532*S618,2)</f>
        <v>0</v>
      </c>
      <c r="T619" s="42">
        <f>ROUND($B619*T$532,2)</f>
        <v>0</v>
      </c>
      <c r="U619" s="42">
        <f>ROUND($B619*U$532,2)</f>
        <v>0</v>
      </c>
      <c r="V619" s="41">
        <f>ROUND($B619*$V$529,2)</f>
        <v>0</v>
      </c>
      <c r="W619" s="42">
        <f>ROUND($B619*W$532,2)</f>
        <v>0</v>
      </c>
      <c r="X619" s="42">
        <f>ROUND($B619*X$532,2)</f>
        <v>-0.01</v>
      </c>
      <c r="Y619" s="42">
        <f>ROUND($B619*Y$532,2)</f>
        <v>0</v>
      </c>
      <c r="Z619" s="42">
        <f>ROUND($B619*Z$532,2)</f>
        <v>0</v>
      </c>
      <c r="AA619" s="42">
        <f>ROUND($B619*AA$532,2)</f>
        <v>0</v>
      </c>
      <c r="AB619" s="19" t="e">
        <f>SUM(U$532:AA$532)+(-V$532+#REF!)</f>
        <v>#REF!</v>
      </c>
      <c r="AC619" s="94" t="str">
        <f>+F619</f>
        <v>SL4</v>
      </c>
    </row>
    <row r="620" spans="1:29" x14ac:dyDescent="0.2">
      <c r="A620" s="9"/>
      <c r="B620" s="97">
        <v>-1</v>
      </c>
      <c r="D620" s="41"/>
      <c r="E620" s="80"/>
      <c r="F620" s="36"/>
      <c r="G620" s="98"/>
      <c r="H620" s="19"/>
      <c r="J620" s="82"/>
      <c r="K620" s="42"/>
      <c r="O620" s="42"/>
      <c r="P620" s="42"/>
      <c r="Q620" s="42"/>
      <c r="R620" s="38" t="e">
        <f>INDEX('Pwr Factor'!$A$1:$B$52,MATCH((D621),'Pwr Factor'!$A$1:$A$52,0),2)</f>
        <v>#N/A</v>
      </c>
      <c r="S620" s="50">
        <v>0.25</v>
      </c>
      <c r="T620" s="42"/>
      <c r="U620" s="42"/>
      <c r="V620" s="41"/>
      <c r="W620" s="42"/>
      <c r="X620" s="42"/>
      <c r="Y620" s="42"/>
      <c r="Z620" s="42"/>
      <c r="AA620" s="42"/>
      <c r="AB620" s="19"/>
      <c r="AC620" s="94"/>
    </row>
    <row r="621" spans="1:29" x14ac:dyDescent="0.2">
      <c r="A621" s="1" t="s">
        <v>140</v>
      </c>
      <c r="B621" s="103">
        <f>IF(AND('AES Indiana Bill Calc.'!$D$17="SL",'AES Indiana Bill Calc.'!$D$18="Yes 25%",'AES Indiana Bill Calc.'!$D$20="Yes 2024"),'AES Indiana Bill Calc.'!$D$19,-1)</f>
        <v>-1</v>
      </c>
      <c r="C621" s="103">
        <f>MAX(E621,$C$533)</f>
        <v>50</v>
      </c>
      <c r="D621" s="103" t="b">
        <f>IF(AND('AES Indiana Bill Calc.'!$D$17="SL",'AES Indiana Bill Calc.'!$D$18="Yes 25%",'AES Indiana Bill Calc.'!$D$20="Yes 2024"),'AES Indiana Bill Calc.'!$D$22)</f>
        <v>0</v>
      </c>
      <c r="E621" s="103" t="b">
        <f>IF(AND('AES Indiana Bill Calc.'!$D$17="SL",'AES Indiana Bill Calc.'!$D$18="Yes 25%",'AES Indiana Bill Calc.'!$D$20="Yes 2024"),'AES Indiana Bill Calc.'!$D$21)</f>
        <v>0</v>
      </c>
      <c r="F621" s="36" t="s">
        <v>290</v>
      </c>
      <c r="G621" s="17" t="e">
        <f>SUM(J621:M621,O621:P621,R621:AA621)</f>
        <v>#N/A</v>
      </c>
      <c r="H621" s="19" t="e">
        <f>IF(ISBLANK(B621),0,+#REF!/B621)</f>
        <v>#REF!</v>
      </c>
      <c r="J621" s="82">
        <f>IF(ISBLANK(B621),0,+J$532)</f>
        <v>120</v>
      </c>
      <c r="K621" s="42">
        <f>ROUND($B621*K$532,2)</f>
        <v>-0.04</v>
      </c>
      <c r="N621" s="18">
        <f>K621</f>
        <v>-0.04</v>
      </c>
      <c r="O621" s="17">
        <f>IF($C621&gt;M$533,ROUND(M$533*M$532,2),ROUND($C621*M$532,2))</f>
        <v>1237</v>
      </c>
      <c r="P621" s="17">
        <f>IF($C621&gt;M$533,ROUND(($C621-M$533)*O$532,2),0)</f>
        <v>0</v>
      </c>
      <c r="Q621" s="42">
        <f>SUM(O621:P621)</f>
        <v>1237</v>
      </c>
      <c r="R621" s="16" t="e">
        <f>ROUND(SUM(N621:P621)*(R620-1),2)</f>
        <v>#N/A</v>
      </c>
      <c r="S621" s="42">
        <f>ROUND($B621*S$532*S620,2)</f>
        <v>0</v>
      </c>
      <c r="T621" s="42">
        <f>ROUND($B621*T$532,2)</f>
        <v>0</v>
      </c>
      <c r="U621" s="42">
        <f>ROUND($B621*U$532,2)</f>
        <v>0</v>
      </c>
      <c r="V621" s="41">
        <f>ROUND($B621*$V$529,2)</f>
        <v>0</v>
      </c>
      <c r="W621" s="42">
        <f>ROUND($B621*W$532,2)</f>
        <v>0</v>
      </c>
      <c r="X621" s="42">
        <f>ROUND($B621*X$532,2)</f>
        <v>-0.01</v>
      </c>
      <c r="Y621" s="42">
        <f>ROUND($B621*Y$532,2)</f>
        <v>0</v>
      </c>
      <c r="Z621" s="42">
        <f>ROUND($B621*Z$532,2)</f>
        <v>0</v>
      </c>
      <c r="AA621" s="42">
        <f>ROUND($B621*AA$532,2)</f>
        <v>0</v>
      </c>
      <c r="AB621" s="19" t="e">
        <f>SUM(U$532:AA$532)+(-V$532+#REF!)</f>
        <v>#REF!</v>
      </c>
      <c r="AC621" s="94" t="str">
        <f>+F621</f>
        <v>SL4</v>
      </c>
    </row>
    <row r="622" spans="1:29" x14ac:dyDescent="0.2">
      <c r="A622" s="9"/>
      <c r="B622" s="97">
        <v>-1</v>
      </c>
      <c r="D622" s="41"/>
      <c r="E622" s="80"/>
      <c r="F622" s="36"/>
      <c r="G622" s="98"/>
      <c r="H622" s="19"/>
      <c r="J622" s="82"/>
      <c r="K622" s="42"/>
      <c r="O622" s="42"/>
      <c r="P622" s="42"/>
      <c r="Q622" s="42"/>
      <c r="R622" s="38" t="e">
        <f>INDEX('Pwr Factor'!$A$1:$B$52,MATCH((D623),'Pwr Factor'!$A$1:$A$52,0),2)</f>
        <v>#N/A</v>
      </c>
      <c r="S622" s="50">
        <v>0.1</v>
      </c>
      <c r="T622" s="42"/>
      <c r="U622" s="42"/>
      <c r="V622" s="41"/>
      <c r="W622" s="42"/>
      <c r="X622" s="42"/>
      <c r="Y622" s="42"/>
      <c r="Z622" s="42"/>
      <c r="AA622" s="42"/>
      <c r="AB622" s="19"/>
      <c r="AC622" s="94"/>
    </row>
    <row r="623" spans="1:29" x14ac:dyDescent="0.2">
      <c r="A623" s="1" t="s">
        <v>154</v>
      </c>
      <c r="B623" s="103">
        <f>IF(AND('AES Indiana Bill Calc.'!$D$17="SL",'AES Indiana Bill Calc.'!$D$18="Yes 10%",'AES Indiana Bill Calc.'!$D$20="Yes 2024"),'AES Indiana Bill Calc.'!$D$19,-1)</f>
        <v>-1</v>
      </c>
      <c r="C623" s="103">
        <f>MAX(E623,$C$533)</f>
        <v>50</v>
      </c>
      <c r="D623" s="103" t="b">
        <f>IF(AND('AES Indiana Bill Calc.'!$D$17="SL",'AES Indiana Bill Calc.'!$D$18="Yes 10%",'AES Indiana Bill Calc.'!$D$20="Yes 2024"),'AES Indiana Bill Calc.'!$D$22)</f>
        <v>0</v>
      </c>
      <c r="E623" s="103" t="b">
        <f>IF(AND('AES Indiana Bill Calc.'!$D$17="SL",'AES Indiana Bill Calc.'!$D$18="Yes 10%",'AES Indiana Bill Calc.'!$D$20="Yes 2024"),'AES Indiana Bill Calc.'!$D$21)</f>
        <v>0</v>
      </c>
      <c r="F623" s="36" t="s">
        <v>290</v>
      </c>
      <c r="G623" s="17" t="e">
        <f>SUM(J623:M623,O623:P623,R623:AA623)</f>
        <v>#N/A</v>
      </c>
      <c r="H623" s="19" t="e">
        <f>IF(ISBLANK(B623),0,+#REF!/B623)</f>
        <v>#REF!</v>
      </c>
      <c r="J623" s="82">
        <f>IF(ISBLANK(B623),0,+J$532)</f>
        <v>120</v>
      </c>
      <c r="K623" s="42">
        <f>ROUND($B623*K$532,2)</f>
        <v>-0.04</v>
      </c>
      <c r="N623" s="18">
        <f>K623</f>
        <v>-0.04</v>
      </c>
      <c r="O623" s="17">
        <f>IF($C623&gt;M$533,ROUND(M$533*M$532,2),ROUND($C623*M$532,2))</f>
        <v>1237</v>
      </c>
      <c r="P623" s="17">
        <f>IF($C623&gt;M$533,ROUND(($C623-M$533)*O$532,2),0)</f>
        <v>0</v>
      </c>
      <c r="Q623" s="42">
        <f>SUM(O623:P623)</f>
        <v>1237</v>
      </c>
      <c r="R623" s="16" t="e">
        <f>ROUND(SUM(N623:P623)*(R622-1),2)</f>
        <v>#N/A</v>
      </c>
      <c r="S623" s="42">
        <f>ROUND($B623*S$532*S622,2)</f>
        <v>0</v>
      </c>
      <c r="T623" s="42">
        <f>ROUND($B623*T$532,2)</f>
        <v>0</v>
      </c>
      <c r="U623" s="42">
        <f>ROUND($B623*U$532,2)</f>
        <v>0</v>
      </c>
      <c r="V623" s="41">
        <f>ROUND($B623*$V$529,2)</f>
        <v>0</v>
      </c>
      <c r="W623" s="42">
        <f>ROUND($B623*W$532,2)</f>
        <v>0</v>
      </c>
      <c r="X623" s="42">
        <f>ROUND($B623*X$532,2)</f>
        <v>-0.01</v>
      </c>
      <c r="Y623" s="42">
        <f>ROUND($B623*Y$532,2)</f>
        <v>0</v>
      </c>
      <c r="Z623" s="42">
        <f>ROUND($B623*Z$532,2)</f>
        <v>0</v>
      </c>
      <c r="AA623" s="42">
        <f>ROUND($B623*AA$532,2)</f>
        <v>0</v>
      </c>
      <c r="AB623" s="19" t="e">
        <f>SUM(U$532:AA$532)+(-V$532+#REF!)</f>
        <v>#REF!</v>
      </c>
      <c r="AC623" s="94" t="str">
        <f>+F623</f>
        <v>SL4</v>
      </c>
    </row>
    <row r="624" spans="1:29" x14ac:dyDescent="0.2">
      <c r="A624" s="9"/>
      <c r="B624" s="97">
        <v>-1</v>
      </c>
      <c r="D624" s="41"/>
      <c r="E624" s="80"/>
      <c r="F624" s="36"/>
      <c r="G624" s="98"/>
      <c r="H624" s="19"/>
      <c r="J624" s="82"/>
      <c r="K624" s="42"/>
      <c r="O624" s="42"/>
      <c r="P624" s="42"/>
      <c r="Q624" s="42"/>
      <c r="R624" s="38" t="e">
        <f>INDEX('Pwr Factor'!$A$1:$B$52,MATCH((D625),'Pwr Factor'!$A$1:$A$52,0),2)</f>
        <v>#N/A</v>
      </c>
      <c r="S624" s="50">
        <v>0</v>
      </c>
      <c r="T624" s="42"/>
      <c r="U624" s="42"/>
      <c r="V624" s="41"/>
      <c r="W624" s="42"/>
      <c r="X624" s="42"/>
      <c r="Y624" s="42"/>
      <c r="Z624" s="42"/>
      <c r="AA624" s="42"/>
      <c r="AB624" s="19"/>
      <c r="AC624" s="94"/>
    </row>
    <row r="625" spans="1:29" x14ac:dyDescent="0.2">
      <c r="A625" s="1" t="s">
        <v>137</v>
      </c>
      <c r="B625" s="103">
        <f>IF(AND('AES Indiana Bill Calc.'!$D$17="SL",'AES Indiana Bill Calc.'!$D$18="No",'AES Indiana Bill Calc.'!$D$20="Yes 2024"),'AES Indiana Bill Calc.'!$D$19,-1)</f>
        <v>-1</v>
      </c>
      <c r="C625" s="103">
        <f>MAX(E625,$C$533)</f>
        <v>50</v>
      </c>
      <c r="D625" s="103" t="b">
        <f>IF(AND('AES Indiana Bill Calc.'!$D$17="SL",'AES Indiana Bill Calc.'!$D$18="No",'AES Indiana Bill Calc.'!$D$20="Yes 2024"),'AES Indiana Bill Calc.'!$D$22)</f>
        <v>0</v>
      </c>
      <c r="E625" s="103" t="b">
        <f>IF(AND('AES Indiana Bill Calc.'!$D$17="SL",'AES Indiana Bill Calc.'!$D$18="No",'AES Indiana Bill Calc.'!$D$20="Yes 2024"),'AES Indiana Bill Calc.'!$D$21)</f>
        <v>0</v>
      </c>
      <c r="F625" s="36" t="s">
        <v>290</v>
      </c>
      <c r="G625" s="17" t="e">
        <f>SUM(J625:M625,O625:P625,R625:AA625)</f>
        <v>#N/A</v>
      </c>
      <c r="H625" s="19" t="e">
        <f>IF(ISBLANK(B625),0,+#REF!/B625)</f>
        <v>#REF!</v>
      </c>
      <c r="J625" s="82">
        <f>IF(ISBLANK(B625),0,+J$532)</f>
        <v>120</v>
      </c>
      <c r="K625" s="42">
        <f>ROUND($B625*K$532,2)</f>
        <v>-0.04</v>
      </c>
      <c r="N625" s="18">
        <f>K625</f>
        <v>-0.04</v>
      </c>
      <c r="O625" s="17">
        <f>IF($C625&gt;M$533,ROUND(M$533*M$532,2),ROUND($C625*M$532,2))</f>
        <v>1237</v>
      </c>
      <c r="P625" s="17">
        <f>IF($C625&gt;M$533,ROUND(($C625-M$533)*O$532,2),0)</f>
        <v>0</v>
      </c>
      <c r="Q625" s="42">
        <f>SUM(O625:P625)</f>
        <v>1237</v>
      </c>
      <c r="R625" s="16" t="e">
        <f>ROUND(SUM(N625:P625)*(R624-1),2)</f>
        <v>#N/A</v>
      </c>
      <c r="S625" s="42">
        <f>ROUND($B625*S$532*S624,2)</f>
        <v>0</v>
      </c>
      <c r="T625" s="42">
        <f>ROUND($B625*T$532,2)</f>
        <v>0</v>
      </c>
      <c r="U625" s="42">
        <f>ROUND($B625*U$532,2)</f>
        <v>0</v>
      </c>
      <c r="V625" s="41">
        <f>ROUND($B625*$V$529,2)</f>
        <v>0</v>
      </c>
      <c r="W625" s="42">
        <f>ROUND($B625*W$532,2)</f>
        <v>0</v>
      </c>
      <c r="X625" s="42">
        <f>ROUND($B625*X$532,2)</f>
        <v>-0.01</v>
      </c>
      <c r="Y625" s="42">
        <f>ROUND($B625*Y$532,2)</f>
        <v>0</v>
      </c>
      <c r="Z625" s="42">
        <f>ROUND($B625*Z$532,2)</f>
        <v>0</v>
      </c>
      <c r="AA625" s="42">
        <f>ROUND($B625*AA$532,2)</f>
        <v>0</v>
      </c>
      <c r="AB625" s="19" t="e">
        <f>SUM(U$532:AA$532)+(-V$532+#REF!)</f>
        <v>#REF!</v>
      </c>
      <c r="AC625" s="94" t="str">
        <f>+F625</f>
        <v>SL4</v>
      </c>
    </row>
    <row r="626" spans="1:29" x14ac:dyDescent="0.2">
      <c r="A626" s="1"/>
      <c r="B626" s="103">
        <v>-1</v>
      </c>
      <c r="C626" s="103"/>
      <c r="D626" s="103"/>
      <c r="E626" s="103"/>
      <c r="F626" s="36"/>
      <c r="G626" s="17"/>
      <c r="H626" s="19"/>
      <c r="J626" s="82"/>
      <c r="K626" s="42"/>
      <c r="N626" s="18"/>
      <c r="O626" s="17"/>
      <c r="P626" s="17"/>
      <c r="Q626" s="42"/>
      <c r="R626" s="38" t="e">
        <f>INDEX('Pwr Factor'!$A$1:$B$52,MATCH((D627),'Pwr Factor'!$A$1:$A$52,0),2)</f>
        <v>#N/A</v>
      </c>
      <c r="S626" s="50">
        <v>1</v>
      </c>
      <c r="T626" s="42"/>
      <c r="U626" s="42"/>
      <c r="V626" s="41"/>
      <c r="W626" s="42"/>
      <c r="X626" s="42"/>
      <c r="Y626" s="42"/>
      <c r="Z626" s="42"/>
      <c r="AA626" s="42"/>
      <c r="AB626" s="19"/>
      <c r="AC626" s="94"/>
    </row>
    <row r="627" spans="1:29" x14ac:dyDescent="0.2">
      <c r="A627" s="1" t="s">
        <v>138</v>
      </c>
      <c r="B627" s="103">
        <f>IF(AND('AES Indiana Bill Calc.'!$D$17="SL",'AES Indiana Bill Calc.'!$D$18="Yes 100%",'AES Indiana Bill Calc.'!$D$20="Yes 2025"),'AES Indiana Bill Calc.'!$D$19,-1)</f>
        <v>-1</v>
      </c>
      <c r="C627" s="103">
        <f>MAX(E627,$C$533)</f>
        <v>50</v>
      </c>
      <c r="D627" s="103" t="b">
        <f>IF(AND('AES Indiana Bill Calc.'!$D$17="SL",'AES Indiana Bill Calc.'!$D$18="Yes 100%",'AES Indiana Bill Calc.'!$D$20="Yes 2025"),'AES Indiana Bill Calc.'!$D$22)</f>
        <v>0</v>
      </c>
      <c r="E627" s="103" t="b">
        <f>IF(AND('AES Indiana Bill Calc.'!$D$17="SL",'AES Indiana Bill Calc.'!$D$18="Yes 100%",'AES Indiana Bill Calc.'!$D$20="Yes 2025"),'AES Indiana Bill Calc.'!$D$21)</f>
        <v>0</v>
      </c>
      <c r="F627" s="36" t="s">
        <v>318</v>
      </c>
      <c r="G627" s="17" t="e">
        <f>SUM(J627:M627,O627:P627,R627:AA627)</f>
        <v>#N/A</v>
      </c>
      <c r="H627" s="19" t="e">
        <f>IF(ISBLANK(B627),0,+#REF!/B627)</f>
        <v>#REF!</v>
      </c>
      <c r="J627" s="82">
        <f>IF(ISBLANK(B627),0,+J$532)</f>
        <v>120</v>
      </c>
      <c r="K627" s="42">
        <f>ROUND($B627*K$532,2)</f>
        <v>-0.04</v>
      </c>
      <c r="N627" s="18">
        <f>K627</f>
        <v>-0.04</v>
      </c>
      <c r="O627" s="17">
        <f>IF($C627&gt;M$533,ROUND(M$533*M$532,2),ROUND($C627*M$532,2))</f>
        <v>1237</v>
      </c>
      <c r="P627" s="17">
        <f>IF($C627&gt;M$533,ROUND(($C627-M$533)*O$532,2),0)</f>
        <v>0</v>
      </c>
      <c r="Q627" s="42">
        <f>SUM(O627:P627)</f>
        <v>1237</v>
      </c>
      <c r="R627" s="16" t="e">
        <f>ROUND(SUM(N627:P627)*(R626-1),2)</f>
        <v>#N/A</v>
      </c>
      <c r="S627" s="42">
        <f>ROUND($B627*S$532*S626,2)</f>
        <v>0</v>
      </c>
      <c r="T627" s="42">
        <f>ROUND($B627*T$532,2)</f>
        <v>0</v>
      </c>
      <c r="U627" s="42">
        <f>ROUND($B627*U$532,2)</f>
        <v>0</v>
      </c>
      <c r="V627" s="41">
        <f>ROUND($B627*$V$530,2)</f>
        <v>-0.01</v>
      </c>
      <c r="W627" s="42">
        <f>ROUND($B627*W$532,2)</f>
        <v>0</v>
      </c>
      <c r="X627" s="42">
        <f>ROUND($B627*X$532,2)</f>
        <v>-0.01</v>
      </c>
      <c r="Y627" s="42">
        <f>ROUND($B627*Y$532,2)</f>
        <v>0</v>
      </c>
      <c r="Z627" s="42">
        <f>ROUND($B627*Z$532,2)</f>
        <v>0</v>
      </c>
      <c r="AA627" s="42">
        <f>ROUND($B627*AA$532,2)</f>
        <v>0</v>
      </c>
      <c r="AB627" s="19" t="e">
        <f>SUM(U$532:AA$532)+(-V$532+#REF!)</f>
        <v>#REF!</v>
      </c>
      <c r="AC627" s="94" t="str">
        <f>+F627</f>
        <v>SL5</v>
      </c>
    </row>
    <row r="628" spans="1:29" x14ac:dyDescent="0.2">
      <c r="A628" s="9"/>
      <c r="B628" s="97">
        <v>-1</v>
      </c>
      <c r="D628" s="41"/>
      <c r="E628" s="80"/>
      <c r="F628" s="36"/>
      <c r="G628" s="98"/>
      <c r="H628" s="19"/>
      <c r="J628" s="82"/>
      <c r="K628" s="42"/>
      <c r="O628" s="42"/>
      <c r="P628" s="42"/>
      <c r="Q628" s="42"/>
      <c r="R628" s="38" t="e">
        <f>INDEX('Pwr Factor'!$A$1:$B$52,MATCH((D629),'Pwr Factor'!$A$1:$A$52,0),2)</f>
        <v>#N/A</v>
      </c>
      <c r="S628" s="50">
        <v>0.5</v>
      </c>
      <c r="T628" s="42"/>
      <c r="U628" s="42"/>
      <c r="V628" s="41"/>
      <c r="W628" s="42"/>
      <c r="X628" s="42"/>
      <c r="Y628" s="42"/>
      <c r="Z628" s="42"/>
      <c r="AA628" s="42"/>
      <c r="AB628" s="19"/>
      <c r="AC628" s="94"/>
    </row>
    <row r="629" spans="1:29" x14ac:dyDescent="0.2">
      <c r="A629" s="1" t="s">
        <v>139</v>
      </c>
      <c r="B629" s="103">
        <f>IF(AND('AES Indiana Bill Calc.'!$D$17="SL",'AES Indiana Bill Calc.'!$D$18="Yes 50%",'AES Indiana Bill Calc.'!$D$20="Yes 2025"),'AES Indiana Bill Calc.'!$D$19,-1)</f>
        <v>-1</v>
      </c>
      <c r="C629" s="103">
        <f>MAX(E629,$C$533)</f>
        <v>50</v>
      </c>
      <c r="D629" s="103" t="b">
        <f>IF(AND('AES Indiana Bill Calc.'!$D$17="SL",'AES Indiana Bill Calc.'!$D$18="Yes 50%",'AES Indiana Bill Calc.'!$D$20="Yes 2025"),'AES Indiana Bill Calc.'!$D$22)</f>
        <v>0</v>
      </c>
      <c r="E629" s="103" t="b">
        <f>IF(AND('AES Indiana Bill Calc.'!$D$17="SL",'AES Indiana Bill Calc.'!$D$18="Yes 50%",'AES Indiana Bill Calc.'!$D$20="Yes 2025"),'AES Indiana Bill Calc.'!$D$21)</f>
        <v>0</v>
      </c>
      <c r="F629" s="36" t="s">
        <v>318</v>
      </c>
      <c r="G629" s="17" t="e">
        <f>SUM(J629:M629,O629:P629,R629:AA629)</f>
        <v>#N/A</v>
      </c>
      <c r="H629" s="19" t="e">
        <f>IF(ISBLANK(B629),0,+#REF!/B629)</f>
        <v>#REF!</v>
      </c>
      <c r="J629" s="82">
        <f>IF(ISBLANK(B629),0,+J$532)</f>
        <v>120</v>
      </c>
      <c r="K629" s="42">
        <f>ROUND($B629*K$532,2)</f>
        <v>-0.04</v>
      </c>
      <c r="N629" s="18">
        <f>K629</f>
        <v>-0.04</v>
      </c>
      <c r="O629" s="17">
        <f>IF($C629&gt;M$533,ROUND(M$533*M$532,2),ROUND($C629*M$532,2))</f>
        <v>1237</v>
      </c>
      <c r="P629" s="17">
        <f>IF($C629&gt;M$533,ROUND(($C629-M$533)*O$532,2),0)</f>
        <v>0</v>
      </c>
      <c r="Q629" s="42">
        <f>SUM(O629:P629)</f>
        <v>1237</v>
      </c>
      <c r="R629" s="16" t="e">
        <f>ROUND(SUM(N629:P629)*(R628-1),2)</f>
        <v>#N/A</v>
      </c>
      <c r="S629" s="42">
        <f>ROUND($B629*S$532*S628,2)</f>
        <v>0</v>
      </c>
      <c r="T629" s="42">
        <f>ROUND($B629*T$532,2)</f>
        <v>0</v>
      </c>
      <c r="U629" s="42">
        <f>ROUND($B629*U$532,2)</f>
        <v>0</v>
      </c>
      <c r="V629" s="41">
        <f>ROUND($B629*$V$530,2)</f>
        <v>-0.01</v>
      </c>
      <c r="W629" s="42">
        <f>ROUND($B629*W$532,2)</f>
        <v>0</v>
      </c>
      <c r="X629" s="42">
        <f>ROUND($B629*X$532,2)</f>
        <v>-0.01</v>
      </c>
      <c r="Y629" s="42">
        <f>ROUND($B629*Y$532,2)</f>
        <v>0</v>
      </c>
      <c r="Z629" s="42">
        <f>ROUND($B629*Z$532,2)</f>
        <v>0</v>
      </c>
      <c r="AA629" s="42">
        <f>ROUND($B629*AA$532,2)</f>
        <v>0</v>
      </c>
      <c r="AB629" s="19" t="e">
        <f>SUM(U$532:AA$532)+(-V$532+#REF!)</f>
        <v>#REF!</v>
      </c>
      <c r="AC629" s="94" t="str">
        <f>+F629</f>
        <v>SL5</v>
      </c>
    </row>
    <row r="630" spans="1:29" x14ac:dyDescent="0.2">
      <c r="A630" s="9"/>
      <c r="B630" s="97">
        <v>-1</v>
      </c>
      <c r="D630" s="41"/>
      <c r="E630" s="80"/>
      <c r="F630" s="36"/>
      <c r="G630" s="98"/>
      <c r="H630" s="19"/>
      <c r="J630" s="82"/>
      <c r="K630" s="42"/>
      <c r="O630" s="42"/>
      <c r="P630" s="42"/>
      <c r="Q630" s="42"/>
      <c r="R630" s="38" t="e">
        <f>INDEX('Pwr Factor'!$A$1:$B$52,MATCH((D631),'Pwr Factor'!$A$1:$A$52,0),2)</f>
        <v>#N/A</v>
      </c>
      <c r="S630" s="50">
        <v>0.25</v>
      </c>
      <c r="T630" s="42"/>
      <c r="U630" s="42"/>
      <c r="V630" s="41"/>
      <c r="W630" s="42"/>
      <c r="X630" s="42"/>
      <c r="Y630" s="42"/>
      <c r="Z630" s="42"/>
      <c r="AA630" s="42"/>
      <c r="AB630" s="19"/>
      <c r="AC630" s="94"/>
    </row>
    <row r="631" spans="1:29" x14ac:dyDescent="0.2">
      <c r="A631" s="1" t="s">
        <v>140</v>
      </c>
      <c r="B631" s="103">
        <f>IF(AND('AES Indiana Bill Calc.'!$D$17="SL",'AES Indiana Bill Calc.'!$D$18="Yes 25%",'AES Indiana Bill Calc.'!$D$20="Yes 2025"),'AES Indiana Bill Calc.'!$D$19,-1)</f>
        <v>-1</v>
      </c>
      <c r="C631" s="103">
        <f>MAX(E631,$C$533)</f>
        <v>50</v>
      </c>
      <c r="D631" s="103" t="b">
        <f>IF(AND('AES Indiana Bill Calc.'!$D$17="SL",'AES Indiana Bill Calc.'!$D$18="Yes 25%",'AES Indiana Bill Calc.'!$D$20="Yes 2025"),'AES Indiana Bill Calc.'!$D$22)</f>
        <v>0</v>
      </c>
      <c r="E631" s="103" t="b">
        <f>IF(AND('AES Indiana Bill Calc.'!$D$17="SL",'AES Indiana Bill Calc.'!$D$18="Yes 25%",'AES Indiana Bill Calc.'!$D$20="Yes 2025"),'AES Indiana Bill Calc.'!$D$21)</f>
        <v>0</v>
      </c>
      <c r="F631" s="36" t="s">
        <v>318</v>
      </c>
      <c r="G631" s="17" t="e">
        <f>SUM(J631:M631,O631:P631,R631:AA631)</f>
        <v>#N/A</v>
      </c>
      <c r="H631" s="19" t="e">
        <f>IF(ISBLANK(B631),0,+#REF!/B631)</f>
        <v>#REF!</v>
      </c>
      <c r="J631" s="82">
        <f>IF(ISBLANK(B631),0,+J$532)</f>
        <v>120</v>
      </c>
      <c r="K631" s="42">
        <f>ROUND($B631*K$532,2)</f>
        <v>-0.04</v>
      </c>
      <c r="N631" s="18">
        <f>K631</f>
        <v>-0.04</v>
      </c>
      <c r="O631" s="17">
        <f>IF($C631&gt;M$533,ROUND(M$533*M$532,2),ROUND($C631*M$532,2))</f>
        <v>1237</v>
      </c>
      <c r="P631" s="17">
        <f>IF($C631&gt;M$533,ROUND(($C631-M$533)*O$532,2),0)</f>
        <v>0</v>
      </c>
      <c r="Q631" s="42">
        <f>SUM(O631:P631)</f>
        <v>1237</v>
      </c>
      <c r="R631" s="16" t="e">
        <f>ROUND(SUM(N631:P631)*(R630-1),2)</f>
        <v>#N/A</v>
      </c>
      <c r="S631" s="42">
        <f>ROUND($B631*S$532*S630,2)</f>
        <v>0</v>
      </c>
      <c r="T631" s="42">
        <f>ROUND($B631*T$532,2)</f>
        <v>0</v>
      </c>
      <c r="U631" s="42">
        <f>ROUND($B631*U$532,2)</f>
        <v>0</v>
      </c>
      <c r="V631" s="41">
        <f>ROUND($B631*$V$530,2)</f>
        <v>-0.01</v>
      </c>
      <c r="W631" s="42">
        <f>ROUND($B631*W$532,2)</f>
        <v>0</v>
      </c>
      <c r="X631" s="42">
        <f>ROUND($B631*X$532,2)</f>
        <v>-0.01</v>
      </c>
      <c r="Y631" s="42">
        <f>ROUND($B631*Y$532,2)</f>
        <v>0</v>
      </c>
      <c r="Z631" s="42">
        <f>ROUND($B631*Z$532,2)</f>
        <v>0</v>
      </c>
      <c r="AA631" s="42">
        <f>ROUND($B631*AA$532,2)</f>
        <v>0</v>
      </c>
      <c r="AB631" s="19" t="e">
        <f>SUM(U$532:AA$532)+(-V$532+#REF!)</f>
        <v>#REF!</v>
      </c>
      <c r="AC631" s="94" t="str">
        <f>+F631</f>
        <v>SL5</v>
      </c>
    </row>
    <row r="632" spans="1:29" x14ac:dyDescent="0.2">
      <c r="A632" s="9"/>
      <c r="B632" s="97">
        <v>-1</v>
      </c>
      <c r="D632" s="41"/>
      <c r="E632" s="80"/>
      <c r="F632" s="36"/>
      <c r="G632" s="98"/>
      <c r="H632" s="19"/>
      <c r="J632" s="82"/>
      <c r="K632" s="42"/>
      <c r="O632" s="42"/>
      <c r="P632" s="42"/>
      <c r="Q632" s="42"/>
      <c r="R632" s="38" t="e">
        <f>INDEX('Pwr Factor'!$A$1:$B$52,MATCH((D633),'Pwr Factor'!$A$1:$A$52,0),2)</f>
        <v>#N/A</v>
      </c>
      <c r="S632" s="50">
        <v>0.1</v>
      </c>
      <c r="T632" s="42"/>
      <c r="U632" s="42"/>
      <c r="V632" s="41"/>
      <c r="W632" s="42"/>
      <c r="X632" s="42"/>
      <c r="Y632" s="42"/>
      <c r="Z632" s="42"/>
      <c r="AA632" s="42"/>
      <c r="AB632" s="19"/>
      <c r="AC632" s="94"/>
    </row>
    <row r="633" spans="1:29" x14ac:dyDescent="0.2">
      <c r="A633" s="1" t="s">
        <v>154</v>
      </c>
      <c r="B633" s="103">
        <f>IF(AND('AES Indiana Bill Calc.'!$D$17="SL",'AES Indiana Bill Calc.'!$D$18="Yes 10%",'AES Indiana Bill Calc.'!$D$20="Yes 2025"),'AES Indiana Bill Calc.'!$D$19,-1)</f>
        <v>-1</v>
      </c>
      <c r="C633" s="103">
        <f>MAX(E633,$C$533)</f>
        <v>50</v>
      </c>
      <c r="D633" s="103" t="b">
        <f>IF(AND('AES Indiana Bill Calc.'!$D$17="SL",'AES Indiana Bill Calc.'!$D$18="Yes 10%",'AES Indiana Bill Calc.'!$D$20="Yes 2025"),'AES Indiana Bill Calc.'!$D$22)</f>
        <v>0</v>
      </c>
      <c r="E633" s="103" t="b">
        <f>IF(AND('AES Indiana Bill Calc.'!$D$17="SL",'AES Indiana Bill Calc.'!$D$18="Yes 10%",'AES Indiana Bill Calc.'!$D$20="Yes 2025"),'AES Indiana Bill Calc.'!$D$21)</f>
        <v>0</v>
      </c>
      <c r="F633" s="36" t="s">
        <v>318</v>
      </c>
      <c r="G633" s="17" t="e">
        <f>SUM(J633:M633,O633:P633,R633:AA633)</f>
        <v>#N/A</v>
      </c>
      <c r="H633" s="19" t="e">
        <f>IF(ISBLANK(B633),0,+#REF!/B633)</f>
        <v>#REF!</v>
      </c>
      <c r="J633" s="82">
        <f>IF(ISBLANK(B633),0,+J$532)</f>
        <v>120</v>
      </c>
      <c r="K633" s="42">
        <f>ROUND($B633*K$532,2)</f>
        <v>-0.04</v>
      </c>
      <c r="N633" s="18">
        <f>K633</f>
        <v>-0.04</v>
      </c>
      <c r="O633" s="17">
        <f>IF($C633&gt;M$533,ROUND(M$533*M$532,2),ROUND($C633*M$532,2))</f>
        <v>1237</v>
      </c>
      <c r="P633" s="17">
        <f>IF($C633&gt;M$533,ROUND(($C633-M$533)*O$532,2),0)</f>
        <v>0</v>
      </c>
      <c r="Q633" s="42">
        <f>SUM(O633:P633)</f>
        <v>1237</v>
      </c>
      <c r="R633" s="16" t="e">
        <f>ROUND(SUM(N633:P633)*(R632-1),2)</f>
        <v>#N/A</v>
      </c>
      <c r="S633" s="42">
        <f>ROUND($B633*S$532*S632,2)</f>
        <v>0</v>
      </c>
      <c r="T633" s="42">
        <f>ROUND($B633*T$532,2)</f>
        <v>0</v>
      </c>
      <c r="U633" s="42">
        <f>ROUND($B633*U$532,2)</f>
        <v>0</v>
      </c>
      <c r="V633" s="41">
        <f>ROUND($B633*$V$530,2)</f>
        <v>-0.01</v>
      </c>
      <c r="W633" s="42">
        <f>ROUND($B633*W$532,2)</f>
        <v>0</v>
      </c>
      <c r="X633" s="42">
        <f>ROUND($B633*X$532,2)</f>
        <v>-0.01</v>
      </c>
      <c r="Y633" s="42">
        <f>ROUND($B633*Y$532,2)</f>
        <v>0</v>
      </c>
      <c r="Z633" s="42">
        <f>ROUND($B633*Z$532,2)</f>
        <v>0</v>
      </c>
      <c r="AA633" s="42">
        <f>ROUND($B633*AA$532,2)</f>
        <v>0</v>
      </c>
      <c r="AB633" s="19" t="e">
        <f>SUM(U$532:AA$532)+(-V$532+#REF!)</f>
        <v>#REF!</v>
      </c>
      <c r="AC633" s="94" t="str">
        <f>+F633</f>
        <v>SL5</v>
      </c>
    </row>
    <row r="634" spans="1:29" x14ac:dyDescent="0.2">
      <c r="A634" s="9"/>
      <c r="B634" s="97">
        <v>-1</v>
      </c>
      <c r="D634" s="41"/>
      <c r="E634" s="80"/>
      <c r="F634" s="36"/>
      <c r="G634" s="98"/>
      <c r="H634" s="19"/>
      <c r="J634" s="82"/>
      <c r="K634" s="42"/>
      <c r="O634" s="42"/>
      <c r="P634" s="42"/>
      <c r="Q634" s="42"/>
      <c r="R634" s="38" t="e">
        <f>INDEX('Pwr Factor'!$A$1:$B$52,MATCH((D635),'Pwr Factor'!$A$1:$A$52,0),2)</f>
        <v>#N/A</v>
      </c>
      <c r="S634" s="50">
        <v>0</v>
      </c>
      <c r="T634" s="42"/>
      <c r="U634" s="42"/>
      <c r="V634" s="41"/>
      <c r="W634" s="42"/>
      <c r="X634" s="42"/>
      <c r="Y634" s="42"/>
      <c r="Z634" s="42"/>
      <c r="AA634" s="42"/>
      <c r="AB634" s="19"/>
      <c r="AC634" s="94"/>
    </row>
    <row r="635" spans="1:29" x14ac:dyDescent="0.2">
      <c r="A635" s="1" t="s">
        <v>137</v>
      </c>
      <c r="B635" s="103">
        <f>IF(AND('AES Indiana Bill Calc.'!$D$17="SL",'AES Indiana Bill Calc.'!$D$18="No",'AES Indiana Bill Calc.'!$D$20="Yes 2025"),'AES Indiana Bill Calc.'!$D$19,-1)</f>
        <v>-1</v>
      </c>
      <c r="C635" s="103">
        <f>MAX(E635,$C$533)</f>
        <v>50</v>
      </c>
      <c r="D635" s="103" t="b">
        <f>IF(AND('AES Indiana Bill Calc.'!$D$17="SL",'AES Indiana Bill Calc.'!$D$18="No",'AES Indiana Bill Calc.'!$D$20="Yes 2025"),'AES Indiana Bill Calc.'!$D$22)</f>
        <v>0</v>
      </c>
      <c r="E635" s="103" t="b">
        <f>IF(AND('AES Indiana Bill Calc.'!$D$17="SL",'AES Indiana Bill Calc.'!$D$18="No",'AES Indiana Bill Calc.'!$D$20="Yes 2025"),'AES Indiana Bill Calc.'!$D$21)</f>
        <v>0</v>
      </c>
      <c r="F635" s="36" t="s">
        <v>318</v>
      </c>
      <c r="G635" s="17" t="e">
        <f>SUM(J635:M635,O635:P635,R635:AA635)</f>
        <v>#N/A</v>
      </c>
      <c r="H635" s="19" t="e">
        <f>IF(ISBLANK(B635),0,+#REF!/B635)</f>
        <v>#REF!</v>
      </c>
      <c r="J635" s="82">
        <f>IF(ISBLANK(B635),0,+J$532)</f>
        <v>120</v>
      </c>
      <c r="K635" s="42">
        <f>ROUND($B635*K$532,2)</f>
        <v>-0.04</v>
      </c>
      <c r="N635" s="18">
        <f>K635</f>
        <v>-0.04</v>
      </c>
      <c r="O635" s="17">
        <f>IF($C635&gt;M$533,ROUND(M$533*M$532,2),ROUND($C635*M$532,2))</f>
        <v>1237</v>
      </c>
      <c r="P635" s="17">
        <f>IF($C635&gt;M$533,ROUND(($C635-M$533)*O$532,2),0)</f>
        <v>0</v>
      </c>
      <c r="Q635" s="42">
        <f>SUM(O635:P635)</f>
        <v>1237</v>
      </c>
      <c r="R635" s="16" t="e">
        <f>ROUND(SUM(N635:P635)*(R634-1),2)</f>
        <v>#N/A</v>
      </c>
      <c r="S635" s="42">
        <f>ROUND($B635*S$532*S634,2)</f>
        <v>0</v>
      </c>
      <c r="T635" s="42">
        <f>ROUND($B635*T$532,2)</f>
        <v>0</v>
      </c>
      <c r="U635" s="42">
        <f>ROUND($B635*U$532,2)</f>
        <v>0</v>
      </c>
      <c r="V635" s="41">
        <f>ROUND($B635*$V$530,2)</f>
        <v>-0.01</v>
      </c>
      <c r="W635" s="42">
        <f>ROUND($B635*W$532,2)</f>
        <v>0</v>
      </c>
      <c r="X635" s="42">
        <f>ROUND($B635*X$532,2)</f>
        <v>-0.01</v>
      </c>
      <c r="Y635" s="42">
        <f>ROUND($B635*Y$532,2)</f>
        <v>0</v>
      </c>
      <c r="Z635" s="42">
        <f>ROUND($B635*Z$532,2)</f>
        <v>0</v>
      </c>
      <c r="AA635" s="42">
        <f>ROUND($B635*AA$532,2)</f>
        <v>0</v>
      </c>
      <c r="AB635" s="19" t="e">
        <f>SUM(U$532:AA$532)+(-V$532+#REF!)</f>
        <v>#REF!</v>
      </c>
      <c r="AC635" s="94" t="str">
        <f>+F635</f>
        <v>SL5</v>
      </c>
    </row>
    <row r="636" spans="1:29" x14ac:dyDescent="0.2">
      <c r="A636" s="1"/>
      <c r="B636" s="103">
        <v>-1</v>
      </c>
      <c r="C636" s="103"/>
      <c r="D636" s="103"/>
      <c r="E636" s="103"/>
      <c r="F636" s="36"/>
      <c r="G636" s="17"/>
      <c r="H636" s="19"/>
      <c r="J636" s="82"/>
      <c r="K636" s="42"/>
      <c r="N636" s="18"/>
      <c r="O636" s="17"/>
      <c r="P636" s="17"/>
      <c r="Q636" s="42"/>
      <c r="R636" s="38" t="e">
        <f>INDEX('Pwr Factor'!$A$1:$B$52,MATCH((D637),'Pwr Factor'!$A$1:$A$52,0),2)</f>
        <v>#N/A</v>
      </c>
      <c r="S636" s="50">
        <v>1</v>
      </c>
      <c r="T636" s="42"/>
      <c r="U636" s="42"/>
      <c r="V636" s="41"/>
      <c r="W636" s="42"/>
      <c r="X636" s="42"/>
      <c r="Y636" s="42"/>
      <c r="Z636" s="42"/>
      <c r="AA636" s="42"/>
      <c r="AB636" s="19"/>
      <c r="AC636" s="94"/>
    </row>
    <row r="637" spans="1:29" x14ac:dyDescent="0.2">
      <c r="A637" s="1" t="s">
        <v>138</v>
      </c>
      <c r="B637" s="103">
        <f>IF(AND('AES Indiana Bill Calc.'!$D$17="SL",'AES Indiana Bill Calc.'!$D$18="Yes 100%",'AES Indiana Bill Calc.'!$D$20="Yes 2026"),'AES Indiana Bill Calc.'!$D$19,-1)</f>
        <v>-1</v>
      </c>
      <c r="C637" s="103">
        <f>MAX(E637,$C$533)</f>
        <v>50</v>
      </c>
      <c r="D637" s="103" t="b">
        <f>IF(AND('AES Indiana Bill Calc.'!$D$17="SL",'AES Indiana Bill Calc.'!$D$18="Yes 100%",'AES Indiana Bill Calc.'!$D$20="Yes 2025"),'AES Indiana Bill Calc.'!$D$22)</f>
        <v>0</v>
      </c>
      <c r="E637" s="103" t="b">
        <f>IF(AND('AES Indiana Bill Calc.'!$D$17="SL",'AES Indiana Bill Calc.'!$D$18="Yes 100%",'AES Indiana Bill Calc.'!$D$20="Yes 2025"),'AES Indiana Bill Calc.'!$D$21)</f>
        <v>0</v>
      </c>
      <c r="F637" s="36" t="s">
        <v>379</v>
      </c>
      <c r="G637" s="17" t="e">
        <f>SUM(J637:M637,O637:P637,R637:AA637)</f>
        <v>#N/A</v>
      </c>
      <c r="H637" s="19" t="e">
        <f>IF(ISBLANK(B637),0,+#REF!/B637)</f>
        <v>#REF!</v>
      </c>
      <c r="J637" s="82">
        <f>IF(ISBLANK(B637),0,+J$532)</f>
        <v>120</v>
      </c>
      <c r="K637" s="42">
        <f>ROUND($B637*K$532,2)</f>
        <v>-0.04</v>
      </c>
      <c r="N637" s="18">
        <f>K637</f>
        <v>-0.04</v>
      </c>
      <c r="O637" s="17">
        <f>IF($C637&gt;M$533,ROUND(M$533*M$532,2),ROUND($C637*M$532,2))</f>
        <v>1237</v>
      </c>
      <c r="P637" s="17">
        <f>IF($C637&gt;M$533,ROUND(($C637-M$533)*O$532,2),0)</f>
        <v>0</v>
      </c>
      <c r="Q637" s="42">
        <f>SUM(O637:P637)</f>
        <v>1237</v>
      </c>
      <c r="R637" s="16" t="e">
        <f>ROUND(SUM(N637:P637)*(R636-1),2)</f>
        <v>#N/A</v>
      </c>
      <c r="S637" s="42">
        <f>ROUND($B637*S$532*S636,2)</f>
        <v>0</v>
      </c>
      <c r="T637" s="42">
        <f>ROUND($B637*T$532,2)</f>
        <v>0</v>
      </c>
      <c r="U637" s="42">
        <f>ROUND($B637*U$532,2)</f>
        <v>0</v>
      </c>
      <c r="V637" s="41">
        <f>ROUND($B637*$V$531,2)</f>
        <v>-0.01</v>
      </c>
      <c r="W637" s="42">
        <f>ROUND($B637*W$532,2)</f>
        <v>0</v>
      </c>
      <c r="X637" s="42">
        <f>ROUND($B637*X$532,2)</f>
        <v>-0.01</v>
      </c>
      <c r="Y637" s="42">
        <f>ROUND($B637*Y$532,2)</f>
        <v>0</v>
      </c>
      <c r="Z637" s="42">
        <f>ROUND($B637*Z$532,2)</f>
        <v>0</v>
      </c>
      <c r="AA637" s="42">
        <f>ROUND($B637*AA$532,2)</f>
        <v>0</v>
      </c>
      <c r="AB637" s="19" t="e">
        <f>SUM(U$532:AA$532)+(-V$532+#REF!)</f>
        <v>#REF!</v>
      </c>
      <c r="AC637" s="94" t="str">
        <f>+F637</f>
        <v>SL6</v>
      </c>
    </row>
    <row r="638" spans="1:29" x14ac:dyDescent="0.2">
      <c r="A638" s="9"/>
      <c r="B638" s="97">
        <v>-1</v>
      </c>
      <c r="D638" s="41"/>
      <c r="E638" s="80"/>
      <c r="F638" s="36"/>
      <c r="G638" s="98"/>
      <c r="H638" s="19"/>
      <c r="J638" s="82"/>
      <c r="K638" s="42"/>
      <c r="O638" s="42"/>
      <c r="P638" s="42"/>
      <c r="Q638" s="42"/>
      <c r="R638" s="38" t="e">
        <f>INDEX('Pwr Factor'!$A$1:$B$52,MATCH((D639),'Pwr Factor'!$A$1:$A$52,0),2)</f>
        <v>#N/A</v>
      </c>
      <c r="S638" s="50">
        <v>0.5</v>
      </c>
      <c r="T638" s="42"/>
      <c r="U638" s="42"/>
      <c r="V638" s="41"/>
      <c r="W638" s="42"/>
      <c r="X638" s="42"/>
      <c r="Y638" s="42"/>
      <c r="Z638" s="42"/>
      <c r="AA638" s="42"/>
      <c r="AB638" s="19"/>
      <c r="AC638" s="94"/>
    </row>
    <row r="639" spans="1:29" x14ac:dyDescent="0.2">
      <c r="A639" s="1" t="s">
        <v>139</v>
      </c>
      <c r="B639" s="103">
        <f>IF(AND('AES Indiana Bill Calc.'!$D$17="SL",'AES Indiana Bill Calc.'!$D$18="Yes 50%",'AES Indiana Bill Calc.'!$D$20="Yes 2026"),'AES Indiana Bill Calc.'!$D$19,-1)</f>
        <v>-1</v>
      </c>
      <c r="C639" s="103">
        <f>MAX(E639,$C$533)</f>
        <v>50</v>
      </c>
      <c r="D639" s="103" t="b">
        <f>IF(AND('AES Indiana Bill Calc.'!$D$17="SL",'AES Indiana Bill Calc.'!$D$18="Yes 50%",'AES Indiana Bill Calc.'!$D$20="Yes 2025"),'AES Indiana Bill Calc.'!$D$22)</f>
        <v>0</v>
      </c>
      <c r="E639" s="103" t="b">
        <f>IF(AND('AES Indiana Bill Calc.'!$D$17="SL",'AES Indiana Bill Calc.'!$D$18="Yes 50%",'AES Indiana Bill Calc.'!$D$20="Yes 2025"),'AES Indiana Bill Calc.'!$D$21)</f>
        <v>0</v>
      </c>
      <c r="F639" s="36" t="s">
        <v>379</v>
      </c>
      <c r="G639" s="17" t="e">
        <f>SUM(J639:M639,O639:P639,R639:AA639)</f>
        <v>#N/A</v>
      </c>
      <c r="H639" s="19" t="e">
        <f>IF(ISBLANK(B639),0,+#REF!/B639)</f>
        <v>#REF!</v>
      </c>
      <c r="J639" s="82">
        <f>IF(ISBLANK(B639),0,+J$532)</f>
        <v>120</v>
      </c>
      <c r="K639" s="42">
        <f>ROUND($B639*K$532,2)</f>
        <v>-0.04</v>
      </c>
      <c r="N639" s="18">
        <f>K639</f>
        <v>-0.04</v>
      </c>
      <c r="O639" s="17">
        <f>IF($C639&gt;M$533,ROUND(M$533*M$532,2),ROUND($C639*M$532,2))</f>
        <v>1237</v>
      </c>
      <c r="P639" s="17">
        <f>IF($C639&gt;M$533,ROUND(($C639-M$533)*O$532,2),0)</f>
        <v>0</v>
      </c>
      <c r="Q639" s="42">
        <f>SUM(O639:P639)</f>
        <v>1237</v>
      </c>
      <c r="R639" s="16" t="e">
        <f>ROUND(SUM(N639:P639)*(R638-1),2)</f>
        <v>#N/A</v>
      </c>
      <c r="S639" s="42">
        <f>ROUND($B639*S$532*S638,2)</f>
        <v>0</v>
      </c>
      <c r="T639" s="42">
        <f>ROUND($B639*T$532,2)</f>
        <v>0</v>
      </c>
      <c r="U639" s="42">
        <f>ROUND($B639*U$532,2)</f>
        <v>0</v>
      </c>
      <c r="V639" s="41">
        <f>ROUND($B639*$V$531,2)</f>
        <v>-0.01</v>
      </c>
      <c r="W639" s="42">
        <f>ROUND($B639*W$532,2)</f>
        <v>0</v>
      </c>
      <c r="X639" s="42">
        <f>ROUND($B639*X$532,2)</f>
        <v>-0.01</v>
      </c>
      <c r="Y639" s="42">
        <f>ROUND($B639*Y$532,2)</f>
        <v>0</v>
      </c>
      <c r="Z639" s="42">
        <f>ROUND($B639*Z$532,2)</f>
        <v>0</v>
      </c>
      <c r="AA639" s="42">
        <f>ROUND($B639*AA$532,2)</f>
        <v>0</v>
      </c>
      <c r="AB639" s="19" t="e">
        <f>SUM(U$532:AA$532)+(-V$532+#REF!)</f>
        <v>#REF!</v>
      </c>
      <c r="AC639" s="94" t="str">
        <f>+F639</f>
        <v>SL6</v>
      </c>
    </row>
    <row r="640" spans="1:29" x14ac:dyDescent="0.2">
      <c r="A640" s="9"/>
      <c r="B640" s="97">
        <v>-1</v>
      </c>
      <c r="D640" s="41"/>
      <c r="E640" s="80"/>
      <c r="F640" s="36"/>
      <c r="G640" s="98"/>
      <c r="H640" s="19"/>
      <c r="J640" s="82"/>
      <c r="K640" s="42"/>
      <c r="O640" s="42"/>
      <c r="P640" s="42"/>
      <c r="Q640" s="42"/>
      <c r="R640" s="38" t="e">
        <f>INDEX('Pwr Factor'!$A$1:$B$52,MATCH((D641),'Pwr Factor'!$A$1:$A$52,0),2)</f>
        <v>#N/A</v>
      </c>
      <c r="S640" s="50">
        <v>0.25</v>
      </c>
      <c r="T640" s="42"/>
      <c r="U640" s="42"/>
      <c r="V640" s="41"/>
      <c r="W640" s="42"/>
      <c r="X640" s="42"/>
      <c r="Y640" s="42"/>
      <c r="Z640" s="42"/>
      <c r="AA640" s="42"/>
      <c r="AB640" s="19"/>
      <c r="AC640" s="94"/>
    </row>
    <row r="641" spans="1:29" x14ac:dyDescent="0.2">
      <c r="A641" s="1" t="s">
        <v>140</v>
      </c>
      <c r="B641" s="103">
        <f>IF(AND('AES Indiana Bill Calc.'!$D$17="SL",'AES Indiana Bill Calc.'!$D$18="Yes 25%",'AES Indiana Bill Calc.'!$D$20="Yes 2026"),'AES Indiana Bill Calc.'!$D$19,-1)</f>
        <v>-1</v>
      </c>
      <c r="C641" s="103">
        <f>MAX(E641,$C$533)</f>
        <v>50</v>
      </c>
      <c r="D641" s="103" t="b">
        <f>IF(AND('AES Indiana Bill Calc.'!$D$17="SL",'AES Indiana Bill Calc.'!$D$18="Yes 25%",'AES Indiana Bill Calc.'!$D$20="Yes 2025"),'AES Indiana Bill Calc.'!$D$22)</f>
        <v>0</v>
      </c>
      <c r="E641" s="103" t="b">
        <f>IF(AND('AES Indiana Bill Calc.'!$D$17="SL",'AES Indiana Bill Calc.'!$D$18="Yes 25%",'AES Indiana Bill Calc.'!$D$20="Yes 2025"),'AES Indiana Bill Calc.'!$D$21)</f>
        <v>0</v>
      </c>
      <c r="F641" s="36" t="s">
        <v>379</v>
      </c>
      <c r="G641" s="17" t="e">
        <f>SUM(J641:M641,O641:P641,R641:AA641)</f>
        <v>#N/A</v>
      </c>
      <c r="H641" s="19" t="e">
        <f>IF(ISBLANK(B641),0,+#REF!/B641)</f>
        <v>#REF!</v>
      </c>
      <c r="J641" s="82">
        <f>IF(ISBLANK(B641),0,+J$532)</f>
        <v>120</v>
      </c>
      <c r="K641" s="42">
        <f>ROUND($B641*K$532,2)</f>
        <v>-0.04</v>
      </c>
      <c r="N641" s="18">
        <f>K641</f>
        <v>-0.04</v>
      </c>
      <c r="O641" s="17">
        <f>IF($C641&gt;M$533,ROUND(M$533*M$532,2),ROUND($C641*M$532,2))</f>
        <v>1237</v>
      </c>
      <c r="P641" s="17">
        <f>IF($C641&gt;M$533,ROUND(($C641-M$533)*O$532,2),0)</f>
        <v>0</v>
      </c>
      <c r="Q641" s="42">
        <f>SUM(O641:P641)</f>
        <v>1237</v>
      </c>
      <c r="R641" s="16" t="e">
        <f>ROUND(SUM(N641:P641)*(R640-1),2)</f>
        <v>#N/A</v>
      </c>
      <c r="S641" s="42">
        <f>ROUND($B641*S$532*S640,2)</f>
        <v>0</v>
      </c>
      <c r="T641" s="42">
        <f>ROUND($B641*T$532,2)</f>
        <v>0</v>
      </c>
      <c r="U641" s="42">
        <f>ROUND($B641*U$532,2)</f>
        <v>0</v>
      </c>
      <c r="V641" s="41">
        <f>ROUND($B641*$V$531,2)</f>
        <v>-0.01</v>
      </c>
      <c r="W641" s="42">
        <f>ROUND($B641*W$532,2)</f>
        <v>0</v>
      </c>
      <c r="X641" s="42">
        <f>ROUND($B641*X$532,2)</f>
        <v>-0.01</v>
      </c>
      <c r="Y641" s="42">
        <f>ROUND($B641*Y$532,2)</f>
        <v>0</v>
      </c>
      <c r="Z641" s="42">
        <f>ROUND($B641*Z$532,2)</f>
        <v>0</v>
      </c>
      <c r="AA641" s="42">
        <f>ROUND($B641*AA$532,2)</f>
        <v>0</v>
      </c>
      <c r="AB641" s="19" t="e">
        <f>SUM(U$532:AA$532)+(-V$532+#REF!)</f>
        <v>#REF!</v>
      </c>
      <c r="AC641" s="94" t="str">
        <f>+F641</f>
        <v>SL6</v>
      </c>
    </row>
    <row r="642" spans="1:29" x14ac:dyDescent="0.2">
      <c r="A642" s="9"/>
      <c r="B642" s="97">
        <v>-1</v>
      </c>
      <c r="D642" s="41"/>
      <c r="E642" s="80"/>
      <c r="F642" s="36"/>
      <c r="G642" s="98"/>
      <c r="H642" s="19"/>
      <c r="J642" s="82"/>
      <c r="K642" s="42"/>
      <c r="O642" s="42"/>
      <c r="P642" s="42"/>
      <c r="Q642" s="42"/>
      <c r="R642" s="38" t="e">
        <f>INDEX('Pwr Factor'!$A$1:$B$52,MATCH((D643),'Pwr Factor'!$A$1:$A$52,0),2)</f>
        <v>#N/A</v>
      </c>
      <c r="S642" s="50">
        <v>0.1</v>
      </c>
      <c r="T642" s="42"/>
      <c r="U642" s="42"/>
      <c r="V642" s="41"/>
      <c r="W642" s="42"/>
      <c r="X642" s="42"/>
      <c r="Y642" s="42"/>
      <c r="Z642" s="42"/>
      <c r="AA642" s="42"/>
      <c r="AB642" s="19"/>
      <c r="AC642" s="94"/>
    </row>
    <row r="643" spans="1:29" x14ac:dyDescent="0.2">
      <c r="A643" s="1" t="s">
        <v>154</v>
      </c>
      <c r="B643" s="103">
        <f>IF(AND('AES Indiana Bill Calc.'!$D$17="SL",'AES Indiana Bill Calc.'!$D$18="Yes 10%",'AES Indiana Bill Calc.'!$D$20="Yes 2026"),'AES Indiana Bill Calc.'!$D$19,-1)</f>
        <v>-1</v>
      </c>
      <c r="C643" s="103">
        <f>MAX(E643,$C$533)</f>
        <v>50</v>
      </c>
      <c r="D643" s="103" t="b">
        <f>IF(AND('AES Indiana Bill Calc.'!$D$17="SL",'AES Indiana Bill Calc.'!$D$18="Yes 10%",'AES Indiana Bill Calc.'!$D$20="Yes 2025"),'AES Indiana Bill Calc.'!$D$22)</f>
        <v>0</v>
      </c>
      <c r="E643" s="103" t="b">
        <f>IF(AND('AES Indiana Bill Calc.'!$D$17="SL",'AES Indiana Bill Calc.'!$D$18="Yes 10%",'AES Indiana Bill Calc.'!$D$20="Yes 2025"),'AES Indiana Bill Calc.'!$D$21)</f>
        <v>0</v>
      </c>
      <c r="F643" s="36" t="s">
        <v>379</v>
      </c>
      <c r="G643" s="17" t="e">
        <f>SUM(J643:M643,O643:P643,R643:AA643)</f>
        <v>#N/A</v>
      </c>
      <c r="H643" s="19" t="e">
        <f>IF(ISBLANK(B643),0,+#REF!/B643)</f>
        <v>#REF!</v>
      </c>
      <c r="J643" s="82">
        <f>IF(ISBLANK(B643),0,+J$532)</f>
        <v>120</v>
      </c>
      <c r="K643" s="42">
        <f>ROUND($B643*K$532,2)</f>
        <v>-0.04</v>
      </c>
      <c r="N643" s="18">
        <f>K643</f>
        <v>-0.04</v>
      </c>
      <c r="O643" s="17">
        <f>IF($C643&gt;M$533,ROUND(M$533*M$532,2),ROUND($C643*M$532,2))</f>
        <v>1237</v>
      </c>
      <c r="P643" s="17">
        <f>IF($C643&gt;M$533,ROUND(($C643-M$533)*O$532,2),0)</f>
        <v>0</v>
      </c>
      <c r="Q643" s="42">
        <f>SUM(O643:P643)</f>
        <v>1237</v>
      </c>
      <c r="R643" s="16" t="e">
        <f>ROUND(SUM(N643:P643)*(R642-1),2)</f>
        <v>#N/A</v>
      </c>
      <c r="S643" s="42">
        <f>ROUND($B643*S$532*S642,2)</f>
        <v>0</v>
      </c>
      <c r="T643" s="42">
        <f>ROUND($B643*T$532,2)</f>
        <v>0</v>
      </c>
      <c r="U643" s="42">
        <f>ROUND($B643*U$532,2)</f>
        <v>0</v>
      </c>
      <c r="V643" s="41">
        <f>ROUND($B643*$V$531,2)</f>
        <v>-0.01</v>
      </c>
      <c r="W643" s="42">
        <f>ROUND($B643*W$532,2)</f>
        <v>0</v>
      </c>
      <c r="X643" s="42">
        <f>ROUND($B643*X$532,2)</f>
        <v>-0.01</v>
      </c>
      <c r="Y643" s="42">
        <f>ROUND($B643*Y$532,2)</f>
        <v>0</v>
      </c>
      <c r="Z643" s="42">
        <f>ROUND($B643*Z$532,2)</f>
        <v>0</v>
      </c>
      <c r="AA643" s="42">
        <f>ROUND($B643*AA$532,2)</f>
        <v>0</v>
      </c>
      <c r="AB643" s="19" t="e">
        <f>SUM(U$532:AA$532)+(-V$532+#REF!)</f>
        <v>#REF!</v>
      </c>
      <c r="AC643" s="94" t="str">
        <f>+F643</f>
        <v>SL6</v>
      </c>
    </row>
    <row r="644" spans="1:29" x14ac:dyDescent="0.2">
      <c r="A644" s="9"/>
      <c r="B644" s="97">
        <v>-1</v>
      </c>
      <c r="D644" s="41"/>
      <c r="E644" s="80"/>
      <c r="F644" s="36"/>
      <c r="G644" s="98"/>
      <c r="H644" s="19"/>
      <c r="J644" s="82"/>
      <c r="K644" s="42"/>
      <c r="O644" s="42"/>
      <c r="P644" s="42"/>
      <c r="Q644" s="42"/>
      <c r="R644" s="38" t="e">
        <f>INDEX('Pwr Factor'!$A$1:$B$52,MATCH((D645),'Pwr Factor'!$A$1:$A$52,0),2)</f>
        <v>#N/A</v>
      </c>
      <c r="S644" s="50">
        <v>0</v>
      </c>
      <c r="T644" s="42"/>
      <c r="U644" s="42"/>
      <c r="V644" s="41"/>
      <c r="W644" s="42"/>
      <c r="X644" s="42"/>
      <c r="Y644" s="42"/>
      <c r="Z644" s="42"/>
      <c r="AA644" s="42"/>
      <c r="AB644" s="19"/>
      <c r="AC644" s="94"/>
    </row>
    <row r="645" spans="1:29" x14ac:dyDescent="0.2">
      <c r="A645" s="1" t="s">
        <v>137</v>
      </c>
      <c r="B645" s="103">
        <f>IF(AND('AES Indiana Bill Calc.'!$D$17="SL",'AES Indiana Bill Calc.'!$D$18="No",'AES Indiana Bill Calc.'!$D$20="Yes 2026"),'AES Indiana Bill Calc.'!$D$19,-1)</f>
        <v>-1</v>
      </c>
      <c r="C645" s="103">
        <f>MAX(E645,$C$533)</f>
        <v>50</v>
      </c>
      <c r="D645" s="103" t="b">
        <f>IF(AND('AES Indiana Bill Calc.'!$D$17="SL",'AES Indiana Bill Calc.'!$D$18="No",'AES Indiana Bill Calc.'!$D$20="Yes 2025"),'AES Indiana Bill Calc.'!$D$22)</f>
        <v>0</v>
      </c>
      <c r="E645" s="103" t="b">
        <f>IF(AND('AES Indiana Bill Calc.'!$D$17="SL",'AES Indiana Bill Calc.'!$D$18="No",'AES Indiana Bill Calc.'!$D$20="Yes 2025"),'AES Indiana Bill Calc.'!$D$21)</f>
        <v>0</v>
      </c>
      <c r="F645" s="36" t="s">
        <v>379</v>
      </c>
      <c r="G645" s="17" t="e">
        <f>SUM(J645:M645,O645:P645,R645:AA645)</f>
        <v>#N/A</v>
      </c>
      <c r="H645" s="19" t="e">
        <f>IF(ISBLANK(B645),0,+#REF!/B645)</f>
        <v>#REF!</v>
      </c>
      <c r="J645" s="82">
        <f>IF(ISBLANK(B645),0,+J$532)</f>
        <v>120</v>
      </c>
      <c r="K645" s="42">
        <f>ROUND($B645*K$532,2)</f>
        <v>-0.04</v>
      </c>
      <c r="N645" s="18">
        <f>K645</f>
        <v>-0.04</v>
      </c>
      <c r="O645" s="17">
        <f>IF($C645&gt;M$533,ROUND(M$533*M$532,2),ROUND($C645*M$532,2))</f>
        <v>1237</v>
      </c>
      <c r="P645" s="17">
        <f>IF($C645&gt;M$533,ROUND(($C645-M$533)*O$532,2),0)</f>
        <v>0</v>
      </c>
      <c r="Q645" s="42">
        <f>SUM(O645:P645)</f>
        <v>1237</v>
      </c>
      <c r="R645" s="16" t="e">
        <f>ROUND(SUM(N645:P645)*(R644-1),2)</f>
        <v>#N/A</v>
      </c>
      <c r="S645" s="42">
        <f>ROUND($B645*S$532*S644,2)</f>
        <v>0</v>
      </c>
      <c r="T645" s="42">
        <f>ROUND($B645*T$532,2)</f>
        <v>0</v>
      </c>
      <c r="U645" s="42">
        <f>ROUND($B645*U$532,2)</f>
        <v>0</v>
      </c>
      <c r="V645" s="41">
        <f>ROUND($B645*$V$531,2)</f>
        <v>-0.01</v>
      </c>
      <c r="W645" s="42">
        <f>ROUND($B645*W$532,2)</f>
        <v>0</v>
      </c>
      <c r="X645" s="42">
        <f>ROUND($B645*X$532,2)</f>
        <v>-0.01</v>
      </c>
      <c r="Y645" s="42">
        <f>ROUND($B645*Y$532,2)</f>
        <v>0</v>
      </c>
      <c r="Z645" s="42">
        <f>ROUND($B645*Z$532,2)</f>
        <v>0</v>
      </c>
      <c r="AA645" s="42">
        <f>ROUND($B645*AA$532,2)</f>
        <v>0</v>
      </c>
      <c r="AB645" s="19" t="e">
        <f>SUM(U$532:AA$532)+(-V$532+#REF!)</f>
        <v>#REF!</v>
      </c>
      <c r="AC645" s="94" t="str">
        <f>+F645</f>
        <v>SL6</v>
      </c>
    </row>
    <row r="646" spans="1:29" x14ac:dyDescent="0.2">
      <c r="A646" s="1"/>
      <c r="B646" s="103">
        <v>-1</v>
      </c>
      <c r="C646" s="103"/>
      <c r="D646" s="103"/>
      <c r="E646" s="103"/>
      <c r="F646" s="36"/>
      <c r="G646" s="17"/>
      <c r="H646" s="19"/>
      <c r="J646" s="82"/>
      <c r="K646" s="42"/>
      <c r="N646" s="18"/>
      <c r="O646" s="17"/>
      <c r="P646" s="17"/>
      <c r="Q646" s="42"/>
      <c r="R646" s="16"/>
      <c r="S646" s="42"/>
      <c r="T646" s="42"/>
      <c r="U646" s="42"/>
      <c r="V646" s="41"/>
      <c r="W646" s="42"/>
      <c r="X646" s="42"/>
      <c r="Y646" s="42"/>
      <c r="Z646" s="42"/>
      <c r="AA646" s="42"/>
      <c r="AB646" s="19"/>
      <c r="AC646" s="94"/>
    </row>
    <row r="647" spans="1:29" x14ac:dyDescent="0.2">
      <c r="B647" s="103">
        <v>-1</v>
      </c>
      <c r="C647" s="9"/>
      <c r="D647" s="8"/>
      <c r="S647" s="6"/>
      <c r="T647" s="6"/>
      <c r="U647" s="6"/>
      <c r="V647" s="27">
        <f>+T14</f>
        <v>0</v>
      </c>
      <c r="W647" s="6" t="s">
        <v>145</v>
      </c>
      <c r="X647" s="6"/>
      <c r="Y647" s="6"/>
      <c r="Z647" s="6"/>
      <c r="AA647" s="6"/>
      <c r="AB647" s="19" t="e">
        <f>+AB$657-V$657+#REF!</f>
        <v>#REF!</v>
      </c>
    </row>
    <row r="648" spans="1:29" x14ac:dyDescent="0.2">
      <c r="B648" s="103">
        <v>-1</v>
      </c>
      <c r="C648" s="9"/>
      <c r="D648" s="8"/>
      <c r="S648" s="6"/>
      <c r="T648" s="6"/>
      <c r="U648" s="6"/>
      <c r="V648" s="27">
        <f>T16</f>
        <v>0</v>
      </c>
      <c r="W648" s="6" t="s">
        <v>146</v>
      </c>
      <c r="X648" s="6"/>
      <c r="Y648" s="6"/>
      <c r="Z648" s="6"/>
      <c r="AA648" s="6"/>
      <c r="AB648" s="19"/>
    </row>
    <row r="649" spans="1:29" x14ac:dyDescent="0.2">
      <c r="B649" s="103">
        <v>-1</v>
      </c>
      <c r="C649" s="9"/>
      <c r="D649" s="8"/>
      <c r="S649" s="6"/>
      <c r="T649" s="6"/>
      <c r="U649" s="6"/>
      <c r="V649" s="27">
        <f>$T$19</f>
        <v>0</v>
      </c>
      <c r="W649" s="6" t="s">
        <v>147</v>
      </c>
      <c r="X649" s="6"/>
      <c r="Y649" s="6"/>
      <c r="Z649" s="6"/>
      <c r="AA649" s="6"/>
      <c r="AB649" s="19"/>
    </row>
    <row r="650" spans="1:29" x14ac:dyDescent="0.2">
      <c r="B650" s="103">
        <v>-1</v>
      </c>
      <c r="C650" s="9"/>
      <c r="D650" s="8"/>
      <c r="S650" s="6"/>
      <c r="T650" s="6"/>
      <c r="U650" s="6"/>
      <c r="V650" s="27">
        <f>$T$21</f>
        <v>0</v>
      </c>
      <c r="W650" s="6" t="s">
        <v>148</v>
      </c>
      <c r="X650" s="6"/>
      <c r="Y650" s="6"/>
      <c r="Z650" s="6"/>
      <c r="AA650" s="6"/>
      <c r="AB650" s="19"/>
    </row>
    <row r="651" spans="1:29" x14ac:dyDescent="0.2">
      <c r="B651" s="103">
        <v>-1</v>
      </c>
      <c r="C651" s="9"/>
      <c r="D651" s="8"/>
      <c r="S651" s="6"/>
      <c r="T651" s="6"/>
      <c r="U651" s="6"/>
      <c r="V651" s="27">
        <f>$T$23</f>
        <v>-4.0299999999999998E-4</v>
      </c>
      <c r="W651" s="6" t="s">
        <v>149</v>
      </c>
      <c r="X651" s="6"/>
      <c r="Y651" s="6"/>
      <c r="Z651" s="6"/>
      <c r="AA651" s="6"/>
      <c r="AB651" s="19"/>
    </row>
    <row r="652" spans="1:29" x14ac:dyDescent="0.2">
      <c r="B652" s="103">
        <v>-1</v>
      </c>
      <c r="C652" s="33" t="s">
        <v>184</v>
      </c>
      <c r="D652" s="8"/>
      <c r="S652" s="6"/>
      <c r="T652" s="6"/>
      <c r="U652" s="6"/>
      <c r="V652" s="27">
        <f>$T$25</f>
        <v>0</v>
      </c>
      <c r="W652" s="6" t="s">
        <v>150</v>
      </c>
      <c r="X652" s="6"/>
      <c r="Y652" s="6"/>
      <c r="Z652" s="6"/>
      <c r="AA652" s="6"/>
      <c r="AB652" s="19"/>
    </row>
    <row r="653" spans="1:29" x14ac:dyDescent="0.2">
      <c r="B653" s="103">
        <v>-1</v>
      </c>
      <c r="C653" s="73">
        <v>500</v>
      </c>
      <c r="D653" s="8"/>
      <c r="S653" s="6"/>
      <c r="T653" s="6"/>
      <c r="U653" s="6"/>
      <c r="V653" s="19">
        <f>T27</f>
        <v>0</v>
      </c>
      <c r="W653" s="6" t="s">
        <v>151</v>
      </c>
      <c r="X653" s="6"/>
      <c r="Y653" s="6"/>
      <c r="Z653" s="6"/>
      <c r="AA653" s="6"/>
      <c r="AB653" s="19"/>
    </row>
    <row r="654" spans="1:29" x14ac:dyDescent="0.2">
      <c r="B654" s="103">
        <v>-1</v>
      </c>
      <c r="C654" s="73"/>
      <c r="D654" s="8"/>
      <c r="S654" s="6"/>
      <c r="T654" s="6"/>
      <c r="U654" s="6"/>
      <c r="V654" s="19">
        <f>T29</f>
        <v>3.3769999999999998E-3</v>
      </c>
      <c r="W654" s="6" t="s">
        <v>285</v>
      </c>
      <c r="X654" s="6"/>
      <c r="Y654" s="6"/>
      <c r="Z654" s="6"/>
      <c r="AA654" s="6"/>
      <c r="AB654" s="19"/>
    </row>
    <row r="655" spans="1:29" x14ac:dyDescent="0.2">
      <c r="B655" s="103">
        <v>-1</v>
      </c>
      <c r="C655" s="73"/>
      <c r="D655" s="8"/>
      <c r="S655" s="6"/>
      <c r="T655" s="6"/>
      <c r="U655" s="6"/>
      <c r="V655" s="19">
        <f>T31</f>
        <v>7.6290000000000004E-3</v>
      </c>
      <c r="W655" s="6" t="s">
        <v>162</v>
      </c>
      <c r="X655" s="6"/>
      <c r="Y655" s="6"/>
      <c r="Z655" s="6"/>
      <c r="AA655" s="6"/>
      <c r="AB655" s="19"/>
    </row>
    <row r="656" spans="1:29" x14ac:dyDescent="0.2">
      <c r="B656" s="103"/>
      <c r="C656" s="73"/>
      <c r="D656" s="8"/>
      <c r="S656" s="6"/>
      <c r="T656" s="6"/>
      <c r="U656" s="6"/>
      <c r="V656" s="19">
        <f>T33</f>
        <v>9.0039999999999999E-3</v>
      </c>
      <c r="W656" s="6" t="s">
        <v>144</v>
      </c>
      <c r="X656" s="6"/>
      <c r="Y656" s="6"/>
      <c r="Z656" s="6"/>
      <c r="AA656" s="6"/>
      <c r="AB656" s="19"/>
    </row>
    <row r="657" spans="1:29" x14ac:dyDescent="0.2">
      <c r="A657" s="1"/>
      <c r="B657" s="103">
        <v>-1</v>
      </c>
      <c r="C657" s="9"/>
      <c r="D657" s="8"/>
      <c r="F657" s="70"/>
      <c r="G657" s="70"/>
      <c r="H657" s="70"/>
      <c r="J657" s="157">
        <v>130</v>
      </c>
      <c r="K657" s="158">
        <v>4.0835999999999997E-2</v>
      </c>
      <c r="L657" s="157">
        <v>28.3</v>
      </c>
      <c r="M657" s="157">
        <v>28.3</v>
      </c>
      <c r="N657" s="72"/>
      <c r="O657" s="72"/>
      <c r="P657" s="72"/>
      <c r="Q657" s="72"/>
      <c r="R657" s="5"/>
      <c r="S657" s="27">
        <f>+M$5</f>
        <v>1.8E-3</v>
      </c>
      <c r="T657" s="27">
        <f>+R$5</f>
        <v>2.3900000000000001E-4</v>
      </c>
      <c r="U657" s="27">
        <f>+S$35</f>
        <v>1.6930000000000001E-3</v>
      </c>
      <c r="V657" s="27">
        <f>+T$5</f>
        <v>1.5089999999999999E-2</v>
      </c>
      <c r="W657" s="27">
        <f>+U$5</f>
        <v>0</v>
      </c>
      <c r="X657" s="27">
        <f>+V$35</f>
        <v>7.084E-3</v>
      </c>
      <c r="Y657" s="27">
        <f>W35</f>
        <v>-2.5599999999999999E-4</v>
      </c>
      <c r="Z657" s="27">
        <f>X35</f>
        <v>3.1589999999999999E-3</v>
      </c>
      <c r="AA657" s="27">
        <f>Y35</f>
        <v>5.6300000000000002E-4</v>
      </c>
      <c r="AB657" s="19">
        <f>SUM(U657:Z657)</f>
        <v>2.6769999999999999E-2</v>
      </c>
    </row>
    <row r="658" spans="1:29" x14ac:dyDescent="0.2">
      <c r="B658" s="103">
        <v>-1</v>
      </c>
      <c r="C658" s="9"/>
      <c r="D658" s="8"/>
      <c r="F658" s="70"/>
      <c r="G658" s="70"/>
      <c r="H658" s="70"/>
      <c r="I658" s="70"/>
      <c r="J658" s="70"/>
      <c r="K658" s="70"/>
      <c r="L658" s="73">
        <v>2000</v>
      </c>
      <c r="M658" s="70"/>
      <c r="N658" s="70"/>
      <c r="O658" s="70"/>
      <c r="P658" s="70"/>
      <c r="Q658" s="70"/>
    </row>
    <row r="659" spans="1:29" x14ac:dyDescent="0.2">
      <c r="B659" s="103">
        <v>-1</v>
      </c>
      <c r="C659" s="9"/>
      <c r="D659" s="8"/>
      <c r="F659" s="12"/>
      <c r="J659" s="12" t="s">
        <v>127</v>
      </c>
      <c r="K659" s="12" t="s">
        <v>187</v>
      </c>
      <c r="L659" s="254" t="s">
        <v>30</v>
      </c>
      <c r="M659" s="254"/>
      <c r="N659" s="12"/>
      <c r="O659" s="12"/>
      <c r="P659" s="12"/>
      <c r="Q659" s="12"/>
      <c r="R659" s="12" t="s">
        <v>186</v>
      </c>
      <c r="S659" s="12">
        <v>21</v>
      </c>
      <c r="T659" s="12">
        <v>6</v>
      </c>
      <c r="U659" s="12">
        <v>3</v>
      </c>
      <c r="V659" s="12">
        <v>22</v>
      </c>
      <c r="W659" s="12">
        <v>13</v>
      </c>
      <c r="X659" s="12">
        <v>20</v>
      </c>
      <c r="Y659" s="12">
        <v>24</v>
      </c>
      <c r="Z659" s="12">
        <v>25</v>
      </c>
      <c r="AA659" s="12">
        <v>26</v>
      </c>
    </row>
    <row r="660" spans="1:29" x14ac:dyDescent="0.2">
      <c r="A660" s="13"/>
      <c r="B660" s="103">
        <v>-1</v>
      </c>
      <c r="C660" s="99" t="s">
        <v>199</v>
      </c>
      <c r="D660" s="100" t="s">
        <v>200</v>
      </c>
      <c r="E660" s="130" t="s">
        <v>189</v>
      </c>
      <c r="F660" s="13" t="s">
        <v>131</v>
      </c>
      <c r="G660" s="13" t="s">
        <v>132</v>
      </c>
      <c r="H660" s="13" t="s">
        <v>133</v>
      </c>
      <c r="I660" s="12"/>
      <c r="J660" s="13" t="s">
        <v>134</v>
      </c>
      <c r="K660" s="13" t="s">
        <v>134</v>
      </c>
      <c r="L660" s="13" t="s">
        <v>201</v>
      </c>
      <c r="M660" s="13" t="s">
        <v>202</v>
      </c>
      <c r="N660" s="140" t="s">
        <v>128</v>
      </c>
      <c r="O660" s="13"/>
      <c r="P660" s="13"/>
      <c r="Q660" s="140" t="s">
        <v>163</v>
      </c>
      <c r="R660" s="13" t="s">
        <v>191</v>
      </c>
      <c r="S660" s="13" t="s">
        <v>96</v>
      </c>
      <c r="T660" s="13" t="s">
        <v>36</v>
      </c>
      <c r="U660" s="136" t="s">
        <v>38</v>
      </c>
      <c r="V660" s="13" t="s">
        <v>97</v>
      </c>
      <c r="W660" s="13" t="s">
        <v>98</v>
      </c>
      <c r="X660" s="13" t="s">
        <v>99</v>
      </c>
      <c r="Y660" s="136" t="s">
        <v>44</v>
      </c>
      <c r="Z660" s="136" t="s">
        <v>46</v>
      </c>
      <c r="AA660" s="136" t="s">
        <v>48</v>
      </c>
      <c r="AB660" s="66" t="s">
        <v>100</v>
      </c>
    </row>
    <row r="661" spans="1:29" x14ac:dyDescent="0.2">
      <c r="B661" s="103">
        <v>-1</v>
      </c>
      <c r="C661" s="9"/>
      <c r="D661" s="8"/>
      <c r="F661" s="36"/>
      <c r="G661" s="17"/>
      <c r="H661" s="19"/>
      <c r="I661" s="19"/>
      <c r="J661" s="8"/>
      <c r="K661" s="17"/>
      <c r="L661" s="17"/>
      <c r="M661" s="17"/>
      <c r="N661" s="17"/>
      <c r="O661" s="17"/>
      <c r="P661" s="17"/>
      <c r="Q661" s="17"/>
      <c r="R661" s="38" t="e">
        <f>VLOOKUP((D662),'Pwr Factor'!$A$1:$B$52,2)</f>
        <v>#N/A</v>
      </c>
      <c r="S661" s="50">
        <v>1</v>
      </c>
      <c r="T661" s="17"/>
      <c r="U661" s="17"/>
      <c r="V661" s="17"/>
      <c r="W661" s="17"/>
      <c r="X661" s="17"/>
      <c r="Y661" s="17"/>
      <c r="Z661" s="17"/>
      <c r="AA661" s="17"/>
    </row>
    <row r="662" spans="1:29" x14ac:dyDescent="0.2">
      <c r="A662" s="1" t="s">
        <v>138</v>
      </c>
      <c r="B662" s="103">
        <f>IF(AND('AES Indiana Bill Calc.'!$D$17="PL",'AES Indiana Bill Calc.'!$D$18="Yes 100%",'AES Indiana Bill Calc.'!$D$20="No"),'AES Indiana Bill Calc.'!$D$19,-1)</f>
        <v>-1</v>
      </c>
      <c r="C662" s="103">
        <f>MAX(E662,$C$653)</f>
        <v>500</v>
      </c>
      <c r="D662" s="103" t="b">
        <f>IF(AND('AES Indiana Bill Calc.'!$D$17="PL",'AES Indiana Bill Calc.'!$D$18="Yes 100%",'AES Indiana Bill Calc.'!$D$20="No"),'AES Indiana Bill Calc.'!$D$22)</f>
        <v>0</v>
      </c>
      <c r="E662" s="103" t="b">
        <f>IF(AND('AES Indiana Bill Calc.'!$D$17="PL",'AES Indiana Bill Calc.'!$D$18="Yes 100%",'AES Indiana Bill Calc.'!$D$20="No"),'AES Indiana Bill Calc.'!$D$21)</f>
        <v>0</v>
      </c>
      <c r="F662" s="36" t="s">
        <v>62</v>
      </c>
      <c r="G662" s="42" t="e">
        <f>SUM(J662:M662,R662:AA662)</f>
        <v>#N/A</v>
      </c>
      <c r="H662" s="19" t="e">
        <f>IF(ISBLANK(B662),0,+#REF!/B662)</f>
        <v>#REF!</v>
      </c>
      <c r="I662" s="19"/>
      <c r="J662" s="109">
        <f>IF(ISBLANK(B662),0,+J$657)</f>
        <v>130</v>
      </c>
      <c r="K662" s="92">
        <f>ROUND($B662*K$657,2)</f>
        <v>-0.04</v>
      </c>
      <c r="L662" s="92">
        <f>IF($C662&gt;L$658,ROUND(L$658*L$657,2),ROUND($C662*L$657,2))</f>
        <v>14150</v>
      </c>
      <c r="M662" s="92">
        <f>IF($C662&gt;L$658,ROUND(($C662-L$658)*M$657,2),0)</f>
        <v>0</v>
      </c>
      <c r="N662" s="92">
        <f>K662</f>
        <v>-0.04</v>
      </c>
      <c r="O662" s="92"/>
      <c r="P662" s="92"/>
      <c r="Q662" s="92">
        <f>SUM(L662:M662)</f>
        <v>14150</v>
      </c>
      <c r="R662" s="110" t="e">
        <f>ROUND(SUM(K662:M662)*(R661-1),2)</f>
        <v>#N/A</v>
      </c>
      <c r="S662" s="92">
        <f>ROUND($B662*S$657*S661,2)</f>
        <v>0</v>
      </c>
      <c r="T662" s="92">
        <f t="shared" ref="T662:AA662" si="36">ROUND($B662*T$657,2)</f>
        <v>0</v>
      </c>
      <c r="U662" s="92">
        <f t="shared" si="36"/>
        <v>0</v>
      </c>
      <c r="V662" s="92">
        <f t="shared" si="36"/>
        <v>-0.02</v>
      </c>
      <c r="W662" s="92">
        <f t="shared" si="36"/>
        <v>0</v>
      </c>
      <c r="X662" s="92">
        <f t="shared" si="36"/>
        <v>-0.01</v>
      </c>
      <c r="Y662" s="92">
        <f t="shared" si="36"/>
        <v>0</v>
      </c>
      <c r="Z662" s="92">
        <f t="shared" si="36"/>
        <v>0</v>
      </c>
      <c r="AA662" s="92">
        <f t="shared" si="36"/>
        <v>0</v>
      </c>
      <c r="AB662" s="19">
        <f>SUM(U657:AA657)</f>
        <v>2.7333E-2</v>
      </c>
      <c r="AC662" s="105" t="str">
        <f>+F662</f>
        <v>PL</v>
      </c>
    </row>
    <row r="663" spans="1:29" x14ac:dyDescent="0.2">
      <c r="A663" s="9"/>
      <c r="B663" s="103">
        <v>-1</v>
      </c>
      <c r="C663" s="9"/>
      <c r="D663" s="8"/>
      <c r="F663" s="36"/>
      <c r="G663" s="17"/>
      <c r="H663" s="19"/>
      <c r="I663" s="19"/>
      <c r="J663" s="8"/>
      <c r="K663" s="17"/>
      <c r="L663" s="17"/>
      <c r="M663" s="17"/>
      <c r="N663" s="17"/>
      <c r="O663" s="17"/>
      <c r="P663" s="17"/>
      <c r="Q663" s="17"/>
      <c r="R663" s="38" t="e">
        <f>VLOOKUP((D664),'Pwr Factor'!$A$1:$B$52,2)</f>
        <v>#N/A</v>
      </c>
      <c r="S663" s="50">
        <v>0.5</v>
      </c>
      <c r="T663" s="17"/>
      <c r="U663" s="17"/>
      <c r="V663" s="17"/>
      <c r="W663" s="17"/>
      <c r="X663" s="17"/>
      <c r="Y663" s="17"/>
      <c r="Z663" s="17"/>
      <c r="AA663" s="17"/>
    </row>
    <row r="664" spans="1:29" ht="9.9499999999999993" customHeight="1" x14ac:dyDescent="0.2">
      <c r="A664" s="1" t="s">
        <v>139</v>
      </c>
      <c r="B664" s="103">
        <f>IF(AND('AES Indiana Bill Calc.'!$D$17="PL",'AES Indiana Bill Calc.'!$D$18="Yes 50%",'AES Indiana Bill Calc.'!$D$20="No"),'AES Indiana Bill Calc.'!$D$19,-1)</f>
        <v>-1</v>
      </c>
      <c r="C664" s="103">
        <f>MAX(E664,$C$653)</f>
        <v>500</v>
      </c>
      <c r="D664" s="103" t="b">
        <f>IF(AND('AES Indiana Bill Calc.'!$D$17="PL",'AES Indiana Bill Calc.'!$D$18="Yes 50%",'AES Indiana Bill Calc.'!$D$20="No"),'AES Indiana Bill Calc.'!$D$22)</f>
        <v>0</v>
      </c>
      <c r="E664" s="103" t="b">
        <f>IF(AND('AES Indiana Bill Calc.'!$D$17="PL",'AES Indiana Bill Calc.'!$D$18="Yes 50%",'AES Indiana Bill Calc.'!$D$20="No"),'AES Indiana Bill Calc.'!$D$21)</f>
        <v>0</v>
      </c>
      <c r="F664" s="36" t="s">
        <v>62</v>
      </c>
      <c r="G664" s="42" t="e">
        <f>SUM(J664:M664,R664:AA664)</f>
        <v>#N/A</v>
      </c>
      <c r="H664" s="19" t="e">
        <f>IF(ISBLANK(B664),0,+#REF!/B664)</f>
        <v>#REF!</v>
      </c>
      <c r="I664" s="19"/>
      <c r="J664" s="109">
        <f>IF(ISBLANK(B664),0,+J$657)</f>
        <v>130</v>
      </c>
      <c r="K664" s="92">
        <f>ROUND($B664*K$657,2)</f>
        <v>-0.04</v>
      </c>
      <c r="L664" s="92">
        <f>IF($C664&gt;L$658,ROUND(L$658*L$657,2),ROUND($C664*L$657,2))</f>
        <v>14150</v>
      </c>
      <c r="M664" s="92">
        <f>IF($C664&gt;L$658,ROUND(($C664-L$658)*M$657,2),0)</f>
        <v>0</v>
      </c>
      <c r="N664" s="92">
        <f>K664</f>
        <v>-0.04</v>
      </c>
      <c r="O664" s="92"/>
      <c r="P664" s="92"/>
      <c r="Q664" s="92">
        <f>SUM(L664:M664)</f>
        <v>14150</v>
      </c>
      <c r="R664" s="110" t="e">
        <f>ROUND(SUM(K664:M664)*(R663-1),2)</f>
        <v>#N/A</v>
      </c>
      <c r="S664" s="92">
        <f>ROUND($B664*S$657*S663,2)</f>
        <v>0</v>
      </c>
      <c r="T664" s="92">
        <f t="shared" ref="T664:AA664" si="37">ROUND($B664*T$657,2)</f>
        <v>0</v>
      </c>
      <c r="U664" s="92">
        <f t="shared" si="37"/>
        <v>0</v>
      </c>
      <c r="V664" s="92">
        <f t="shared" si="37"/>
        <v>-0.02</v>
      </c>
      <c r="W664" s="92">
        <f t="shared" si="37"/>
        <v>0</v>
      </c>
      <c r="X664" s="92">
        <f t="shared" si="37"/>
        <v>-0.01</v>
      </c>
      <c r="Y664" s="92">
        <f t="shared" si="37"/>
        <v>0</v>
      </c>
      <c r="Z664" s="92">
        <f t="shared" si="37"/>
        <v>0</v>
      </c>
      <c r="AA664" s="92">
        <f t="shared" si="37"/>
        <v>0</v>
      </c>
      <c r="AB664" s="19">
        <f>SUM(U659:AA659)</f>
        <v>133</v>
      </c>
      <c r="AC664" s="105" t="str">
        <f>+F664</f>
        <v>PL</v>
      </c>
    </row>
    <row r="665" spans="1:29" x14ac:dyDescent="0.2">
      <c r="A665" s="9"/>
      <c r="B665" s="103">
        <v>-1</v>
      </c>
      <c r="C665" s="9"/>
      <c r="D665" s="8"/>
      <c r="F665" s="36"/>
      <c r="G665" s="17"/>
      <c r="H665" s="19"/>
      <c r="I665" s="19"/>
      <c r="J665" s="8"/>
      <c r="K665" s="17"/>
      <c r="L665" s="17"/>
      <c r="M665" s="17"/>
      <c r="N665" s="17"/>
      <c r="O665" s="17"/>
      <c r="P665" s="17"/>
      <c r="Q665" s="17"/>
      <c r="R665" s="38" t="e">
        <f>VLOOKUP((D666),'Pwr Factor'!$A$1:$B$52,2)</f>
        <v>#N/A</v>
      </c>
      <c r="S665" s="50">
        <v>0.25</v>
      </c>
      <c r="T665" s="17"/>
      <c r="U665" s="17"/>
      <c r="V665" s="17"/>
      <c r="W665" s="17"/>
      <c r="X665" s="17"/>
      <c r="Y665" s="17"/>
      <c r="Z665" s="17"/>
      <c r="AA665" s="17"/>
    </row>
    <row r="666" spans="1:29" x14ac:dyDescent="0.2">
      <c r="A666" s="1" t="s">
        <v>140</v>
      </c>
      <c r="B666" s="103">
        <f>IF(AND('AES Indiana Bill Calc.'!$D$17="PL",'AES Indiana Bill Calc.'!$D$18="Yes 25%",'AES Indiana Bill Calc.'!$D$20="No"),'AES Indiana Bill Calc.'!$D$19,-1)</f>
        <v>-1</v>
      </c>
      <c r="C666" s="103">
        <f>MAX(E666,$C$653)</f>
        <v>500</v>
      </c>
      <c r="D666" s="103" t="b">
        <f>IF(AND('AES Indiana Bill Calc.'!$D$17="PL",'AES Indiana Bill Calc.'!$D$18="Yes 25%",'AES Indiana Bill Calc.'!$D$20="No"),'AES Indiana Bill Calc.'!$D$22)</f>
        <v>0</v>
      </c>
      <c r="E666" s="103" t="b">
        <f>IF(AND('AES Indiana Bill Calc.'!$D$17="PL",'AES Indiana Bill Calc.'!$D$18="Yes 25%",'AES Indiana Bill Calc.'!$D$20="No"),'AES Indiana Bill Calc.'!$D$21)</f>
        <v>0</v>
      </c>
      <c r="F666" s="36" t="s">
        <v>62</v>
      </c>
      <c r="G666" s="42" t="e">
        <f>SUM(J666:M666,R666:AA666)</f>
        <v>#N/A</v>
      </c>
      <c r="H666" s="19" t="e">
        <f>IF(ISBLANK(B666),0,+#REF!/B666)</f>
        <v>#REF!</v>
      </c>
      <c r="I666" s="19"/>
      <c r="J666" s="109">
        <f>IF(ISBLANK(B666),0,+J$657)</f>
        <v>130</v>
      </c>
      <c r="K666" s="92">
        <f>ROUND($B666*K$657,2)</f>
        <v>-0.04</v>
      </c>
      <c r="L666" s="92">
        <f>IF($C666&gt;L$658,ROUND(L$658*L$657,2),ROUND($C666*L$657,2))</f>
        <v>14150</v>
      </c>
      <c r="M666" s="92">
        <f>IF($C666&gt;L$658,ROUND(($C666-L$658)*M$657,2),0)</f>
        <v>0</v>
      </c>
      <c r="N666" s="92">
        <f>K666</f>
        <v>-0.04</v>
      </c>
      <c r="O666" s="92"/>
      <c r="P666" s="92"/>
      <c r="Q666" s="92">
        <f>SUM(L666:M666)</f>
        <v>14150</v>
      </c>
      <c r="R666" s="110" t="e">
        <f>ROUND(SUM(K666:M666)*(R665-1),2)</f>
        <v>#N/A</v>
      </c>
      <c r="S666" s="92">
        <f>ROUND($B666*S$657*S665,2)</f>
        <v>0</v>
      </c>
      <c r="T666" s="92">
        <f t="shared" ref="T666:AA666" si="38">ROUND($B666*T$657,2)</f>
        <v>0</v>
      </c>
      <c r="U666" s="92">
        <f t="shared" si="38"/>
        <v>0</v>
      </c>
      <c r="V666" s="92">
        <f t="shared" si="38"/>
        <v>-0.02</v>
      </c>
      <c r="W666" s="92">
        <f t="shared" si="38"/>
        <v>0</v>
      </c>
      <c r="X666" s="92">
        <f t="shared" si="38"/>
        <v>-0.01</v>
      </c>
      <c r="Y666" s="92">
        <f t="shared" si="38"/>
        <v>0</v>
      </c>
      <c r="Z666" s="92">
        <f t="shared" si="38"/>
        <v>0</v>
      </c>
      <c r="AA666" s="92">
        <f t="shared" si="38"/>
        <v>0</v>
      </c>
      <c r="AB666" s="19">
        <f>SUM(U661:AA661)</f>
        <v>0</v>
      </c>
      <c r="AC666" s="105" t="str">
        <f>+F666</f>
        <v>PL</v>
      </c>
    </row>
    <row r="667" spans="1:29" x14ac:dyDescent="0.2">
      <c r="A667" s="9"/>
      <c r="B667" s="103">
        <v>-1</v>
      </c>
      <c r="C667" s="9"/>
      <c r="D667" s="8"/>
      <c r="F667" s="36"/>
      <c r="G667" s="17"/>
      <c r="H667" s="19"/>
      <c r="I667" s="19"/>
      <c r="J667" s="8"/>
      <c r="K667" s="17"/>
      <c r="L667" s="17"/>
      <c r="M667" s="17"/>
      <c r="N667" s="17"/>
      <c r="O667" s="17"/>
      <c r="P667" s="17"/>
      <c r="Q667" s="17"/>
      <c r="R667" s="38" t="e">
        <f>VLOOKUP((D668),'Pwr Factor'!$A$1:$B$52,2)</f>
        <v>#N/A</v>
      </c>
      <c r="S667" s="50">
        <v>0.1</v>
      </c>
      <c r="T667" s="17"/>
      <c r="U667" s="17"/>
      <c r="V667" s="17"/>
      <c r="W667" s="17"/>
      <c r="X667" s="17"/>
      <c r="Y667" s="17"/>
      <c r="Z667" s="17"/>
      <c r="AA667" s="17"/>
    </row>
    <row r="668" spans="1:29" x14ac:dyDescent="0.2">
      <c r="A668" s="1" t="s">
        <v>154</v>
      </c>
      <c r="B668" s="103">
        <f>IF(AND('AES Indiana Bill Calc.'!$D$17="PL",'AES Indiana Bill Calc.'!$D$18="Yes 10%",'AES Indiana Bill Calc.'!$D$20="No"),'AES Indiana Bill Calc.'!$D$19,-1)</f>
        <v>-1</v>
      </c>
      <c r="C668" s="103">
        <f>MAX(E668,$C$653)</f>
        <v>500</v>
      </c>
      <c r="D668" s="103" t="b">
        <f>IF(AND('AES Indiana Bill Calc.'!$D$17="PL",'AES Indiana Bill Calc.'!$D$18="Yes 10%",'AES Indiana Bill Calc.'!$D$20="No"),'AES Indiana Bill Calc.'!$D$22)</f>
        <v>0</v>
      </c>
      <c r="E668" s="103" t="b">
        <f>IF(AND('AES Indiana Bill Calc.'!$D$17="PL",'AES Indiana Bill Calc.'!$D$18="Yes 10%",'AES Indiana Bill Calc.'!$D$20="No"),'AES Indiana Bill Calc.'!$D$21)</f>
        <v>0</v>
      </c>
      <c r="F668" s="36" t="s">
        <v>62</v>
      </c>
      <c r="G668" s="42" t="e">
        <f>SUM(J668:M668,R668:AA668)</f>
        <v>#N/A</v>
      </c>
      <c r="H668" s="19" t="e">
        <f>IF(ISBLANK(B668),0,+#REF!/B668)</f>
        <v>#REF!</v>
      </c>
      <c r="I668" s="19"/>
      <c r="J668" s="109">
        <f>IF(ISBLANK(B668),0,+J$657)</f>
        <v>130</v>
      </c>
      <c r="K668" s="92">
        <f>ROUND($B668*K$657,2)</f>
        <v>-0.04</v>
      </c>
      <c r="L668" s="92">
        <f>IF($C668&gt;L$658,ROUND(L$658*L$657,2),ROUND($C668*L$657,2))</f>
        <v>14150</v>
      </c>
      <c r="M668" s="92">
        <f>IF($C668&gt;L$658,ROUND(($C668-L$658)*M$657,2),0)</f>
        <v>0</v>
      </c>
      <c r="N668" s="92">
        <f>K668</f>
        <v>-0.04</v>
      </c>
      <c r="O668" s="92"/>
      <c r="P668" s="92"/>
      <c r="Q668" s="92">
        <f>SUM(L668:M668)</f>
        <v>14150</v>
      </c>
      <c r="R668" s="110" t="e">
        <f>ROUND(SUM(K668:M668)*(R667-1),2)</f>
        <v>#N/A</v>
      </c>
      <c r="S668" s="92">
        <f>ROUND($B668*S$657*S667,2)</f>
        <v>0</v>
      </c>
      <c r="T668" s="92">
        <f t="shared" ref="T668:AA668" si="39">ROUND($B668*T$657,2)</f>
        <v>0</v>
      </c>
      <c r="U668" s="92">
        <f t="shared" si="39"/>
        <v>0</v>
      </c>
      <c r="V668" s="92">
        <f t="shared" si="39"/>
        <v>-0.02</v>
      </c>
      <c r="W668" s="92">
        <f t="shared" si="39"/>
        <v>0</v>
      </c>
      <c r="X668" s="92">
        <f t="shared" si="39"/>
        <v>-0.01</v>
      </c>
      <c r="Y668" s="92">
        <f t="shared" si="39"/>
        <v>0</v>
      </c>
      <c r="Z668" s="92">
        <f t="shared" si="39"/>
        <v>0</v>
      </c>
      <c r="AA668" s="92">
        <f t="shared" si="39"/>
        <v>0</v>
      </c>
      <c r="AB668" s="19">
        <f>SUM(U663:AA663)</f>
        <v>0</v>
      </c>
      <c r="AC668" s="105" t="str">
        <f>+F668</f>
        <v>PL</v>
      </c>
    </row>
    <row r="669" spans="1:29" x14ac:dyDescent="0.2">
      <c r="A669" s="9"/>
      <c r="B669" s="103">
        <v>-1</v>
      </c>
      <c r="C669" s="9"/>
      <c r="D669" s="8"/>
      <c r="F669" s="36"/>
      <c r="G669" s="17"/>
      <c r="H669" s="19"/>
      <c r="I669" s="19"/>
      <c r="J669" s="8"/>
      <c r="K669" s="17"/>
      <c r="L669" s="17"/>
      <c r="M669" s="17"/>
      <c r="N669" s="17"/>
      <c r="O669" s="17"/>
      <c r="P669" s="17"/>
      <c r="Q669" s="17"/>
      <c r="R669" s="38" t="e">
        <f>VLOOKUP((D670),'Pwr Factor'!$A$1:$B$52,2)</f>
        <v>#N/A</v>
      </c>
      <c r="S669" s="50">
        <v>0</v>
      </c>
      <c r="T669" s="17"/>
      <c r="U669" s="17"/>
      <c r="V669" s="17"/>
      <c r="W669" s="17"/>
      <c r="X669" s="17"/>
      <c r="Y669" s="17"/>
      <c r="Z669" s="17"/>
      <c r="AA669" s="17"/>
    </row>
    <row r="670" spans="1:29" x14ac:dyDescent="0.2">
      <c r="A670" s="1" t="s">
        <v>137</v>
      </c>
      <c r="B670" s="103">
        <f>IF(AND('AES Indiana Bill Calc.'!$D$17="PL",'AES Indiana Bill Calc.'!$D$18="No",'AES Indiana Bill Calc.'!$D$20="No"),'AES Indiana Bill Calc.'!$D$19,-1)</f>
        <v>-1</v>
      </c>
      <c r="C670" s="103">
        <f>MAX(E670,$C$653)</f>
        <v>500</v>
      </c>
      <c r="D670" s="103" t="b">
        <f>IF(AND('AES Indiana Bill Calc.'!$D$17="PL",'AES Indiana Bill Calc.'!$D$18="No",'AES Indiana Bill Calc.'!$D$20="No"),'AES Indiana Bill Calc.'!$D$22)</f>
        <v>0</v>
      </c>
      <c r="E670" s="103" t="b">
        <f>IF(AND('AES Indiana Bill Calc.'!$D$17="PL",'AES Indiana Bill Calc.'!$D$18="No",'AES Indiana Bill Calc.'!$D$20="No"),'AES Indiana Bill Calc.'!$D$21)</f>
        <v>0</v>
      </c>
      <c r="F670" s="36" t="s">
        <v>62</v>
      </c>
      <c r="G670" s="42" t="e">
        <f>SUM(J670:M670,R670:AA670)</f>
        <v>#N/A</v>
      </c>
      <c r="H670" s="19" t="e">
        <f>IF(ISBLANK(B670),0,+#REF!/B670)</f>
        <v>#REF!</v>
      </c>
      <c r="I670" s="19"/>
      <c r="J670" s="109">
        <f>IF(ISBLANK(B670),0,+J$657)</f>
        <v>130</v>
      </c>
      <c r="K670" s="92">
        <f>ROUND($B670*K$657,2)</f>
        <v>-0.04</v>
      </c>
      <c r="L670" s="92">
        <f>IF($C670&gt;L$658,ROUND(L$658*L$657,2),ROUND($C670*L$657,2))</f>
        <v>14150</v>
      </c>
      <c r="M670" s="92">
        <f>IF($C670&gt;L$658,ROUND(($C670-L$658)*M$657,2),0)</f>
        <v>0</v>
      </c>
      <c r="N670" s="92">
        <f>K670</f>
        <v>-0.04</v>
      </c>
      <c r="O670" s="92"/>
      <c r="P670" s="92"/>
      <c r="Q670" s="92">
        <f>SUM(L670:M670)</f>
        <v>14150</v>
      </c>
      <c r="R670" s="110" t="e">
        <f>ROUND(SUM(K670:M670)*(R669-1),2)</f>
        <v>#N/A</v>
      </c>
      <c r="S670" s="92">
        <f>ROUND($B670*S$657*S669,2)</f>
        <v>0</v>
      </c>
      <c r="T670" s="92">
        <f t="shared" ref="T670:AA670" si="40">ROUND($B670*T$657,2)</f>
        <v>0</v>
      </c>
      <c r="U670" s="92">
        <f t="shared" si="40"/>
        <v>0</v>
      </c>
      <c r="V670" s="92">
        <f t="shared" si="40"/>
        <v>-0.02</v>
      </c>
      <c r="W670" s="92">
        <f t="shared" si="40"/>
        <v>0</v>
      </c>
      <c r="X670" s="92">
        <f t="shared" si="40"/>
        <v>-0.01</v>
      </c>
      <c r="Y670" s="92">
        <f t="shared" si="40"/>
        <v>0</v>
      </c>
      <c r="Z670" s="92">
        <f t="shared" si="40"/>
        <v>0</v>
      </c>
      <c r="AA670" s="92">
        <f t="shared" si="40"/>
        <v>0</v>
      </c>
      <c r="AB670" s="19">
        <f>SUM(U665:AA665)</f>
        <v>0</v>
      </c>
      <c r="AC670" s="105" t="str">
        <f>+F670</f>
        <v>PL</v>
      </c>
    </row>
    <row r="671" spans="1:29" x14ac:dyDescent="0.2">
      <c r="A671" s="9"/>
      <c r="B671" s="103">
        <v>-1</v>
      </c>
      <c r="C671" s="9"/>
      <c r="D671" s="8"/>
      <c r="F671" s="36"/>
      <c r="G671" s="17"/>
      <c r="H671" s="19"/>
      <c r="I671" s="19"/>
      <c r="J671" s="8"/>
      <c r="K671" s="17"/>
      <c r="L671" s="17"/>
      <c r="M671" s="17"/>
      <c r="N671" s="17"/>
      <c r="O671" s="17"/>
      <c r="P671" s="17"/>
      <c r="Q671" s="17"/>
      <c r="R671" s="38" t="e">
        <f>VLOOKUP((D672),'Pwr Factor'!$A$1:$B$52,2)</f>
        <v>#N/A</v>
      </c>
      <c r="S671" s="50">
        <v>1</v>
      </c>
      <c r="T671" s="17"/>
      <c r="U671" s="17"/>
      <c r="V671" s="17"/>
      <c r="W671" s="17"/>
      <c r="X671" s="17"/>
      <c r="Y671" s="17"/>
      <c r="Z671" s="17"/>
      <c r="AA671" s="17"/>
    </row>
    <row r="672" spans="1:29" x14ac:dyDescent="0.2">
      <c r="A672" s="1" t="s">
        <v>138</v>
      </c>
      <c r="B672" s="103">
        <f>IF(AND('AES Indiana Bill Calc.'!$D$17="PL",'AES Indiana Bill Calc.'!$D$18="Yes 100%",'AES Indiana Bill Calc.'!$D$20="Yes Before 2018"),'AES Indiana Bill Calc.'!$D$19,-1)</f>
        <v>-1</v>
      </c>
      <c r="C672" s="103">
        <f>MAX(E672,$C$653)</f>
        <v>500</v>
      </c>
      <c r="D672" s="103" t="b">
        <f>IF(AND('AES Indiana Bill Calc.'!$D$17="PL",'AES Indiana Bill Calc.'!$D$18="Yes 100%",'AES Indiana Bill Calc.'!$D$20="Yes Before 2018"),'AES Indiana Bill Calc.'!$D$22)</f>
        <v>0</v>
      </c>
      <c r="E672" s="103" t="b">
        <f>IF(AND('AES Indiana Bill Calc.'!$D$17="PL",'AES Indiana Bill Calc.'!$D$18="Yes 100%",'AES Indiana Bill Calc.'!$D$20="Yes Before 2018"),'AES Indiana Bill Calc.'!$D$21)</f>
        <v>0</v>
      </c>
      <c r="F672" s="36" t="s">
        <v>203</v>
      </c>
      <c r="G672" s="42" t="e">
        <f>SUM(J672:M672,R672:AA672)</f>
        <v>#N/A</v>
      </c>
      <c r="H672" s="19" t="e">
        <f>IF(ISBLANK(B672),0,+#REF!/B672)</f>
        <v>#REF!</v>
      </c>
      <c r="I672" s="19"/>
      <c r="J672" s="109">
        <f>IF(ISBLANK(B672),0,+J$657)</f>
        <v>130</v>
      </c>
      <c r="K672" s="92">
        <f>ROUND($B672*K$657,2)</f>
        <v>-0.04</v>
      </c>
      <c r="L672" s="92">
        <f>IF($C672&gt;L$658,ROUND(L$658*L$657,2),ROUND($C672*L$657,2))</f>
        <v>14150</v>
      </c>
      <c r="M672" s="92">
        <f>IF($C672&gt;L$658,ROUND(($C672-L$658)*M$657,2),0)</f>
        <v>0</v>
      </c>
      <c r="N672" s="92">
        <f>K672</f>
        <v>-0.04</v>
      </c>
      <c r="O672" s="92"/>
      <c r="P672" s="92"/>
      <c r="Q672" s="92">
        <f>SUM(L672:M672)</f>
        <v>14150</v>
      </c>
      <c r="R672" s="110" t="e">
        <f>ROUND(SUM(K672:M672)*(R671-1),2)</f>
        <v>#N/A</v>
      </c>
      <c r="S672" s="92">
        <f>ROUND($B672*S$657*S671,2)</f>
        <v>0</v>
      </c>
      <c r="T672" s="92">
        <f>ROUND($B672*T$657,2)</f>
        <v>0</v>
      </c>
      <c r="U672" s="92">
        <f>ROUND($B672*U$657,2)</f>
        <v>0</v>
      </c>
      <c r="V672" s="92">
        <f>ROUND($B672*V$647,2)</f>
        <v>0</v>
      </c>
      <c r="W672" s="92">
        <f>ROUND($B672*W$657,2)</f>
        <v>0</v>
      </c>
      <c r="X672" s="92">
        <f>ROUND($B672*X$657,2)</f>
        <v>-0.01</v>
      </c>
      <c r="Y672" s="92">
        <f>ROUND($B672*Y$657,2)</f>
        <v>0</v>
      </c>
      <c r="Z672" s="92">
        <f>ROUND($B672*Z$657,2)</f>
        <v>0</v>
      </c>
      <c r="AA672" s="92">
        <f>ROUND($B672*AA$657,2)</f>
        <v>0</v>
      </c>
      <c r="AB672" s="19">
        <f>SUM(U667:AA667)</f>
        <v>0</v>
      </c>
      <c r="AC672" s="105" t="str">
        <f>+F672</f>
        <v>PL7</v>
      </c>
    </row>
    <row r="673" spans="1:29" x14ac:dyDescent="0.2">
      <c r="A673" s="9"/>
      <c r="B673" s="103">
        <v>-1</v>
      </c>
      <c r="C673" s="9"/>
      <c r="D673" s="8"/>
      <c r="F673" s="36"/>
      <c r="G673" s="17"/>
      <c r="H673" s="19"/>
      <c r="I673" s="19"/>
      <c r="J673" s="8"/>
      <c r="K673" s="17"/>
      <c r="L673" s="17"/>
      <c r="M673" s="17"/>
      <c r="N673" s="17"/>
      <c r="O673" s="17"/>
      <c r="P673" s="17"/>
      <c r="Q673" s="17"/>
      <c r="R673" s="38" t="e">
        <f>VLOOKUP((D674),'Pwr Factor'!$A$1:$B$52,2)</f>
        <v>#N/A</v>
      </c>
      <c r="S673" s="50">
        <v>0.5</v>
      </c>
      <c r="T673" s="17"/>
      <c r="U673" s="17"/>
      <c r="V673" s="17"/>
      <c r="W673" s="17"/>
      <c r="X673" s="17"/>
      <c r="Y673" s="17"/>
      <c r="Z673" s="17"/>
      <c r="AA673" s="17"/>
    </row>
    <row r="674" spans="1:29" x14ac:dyDescent="0.2">
      <c r="A674" s="1" t="s">
        <v>139</v>
      </c>
      <c r="B674" s="103">
        <f>IF(AND('AES Indiana Bill Calc.'!$D$17="PL",'AES Indiana Bill Calc.'!$D$18="Yes 50%",'AES Indiana Bill Calc.'!$D$20="Yes Before 2018"),'AES Indiana Bill Calc.'!$D$19,-1)</f>
        <v>-1</v>
      </c>
      <c r="C674" s="103">
        <f>MAX(E674,$C$653)</f>
        <v>500</v>
      </c>
      <c r="D674" s="103" t="b">
        <f>IF(AND('AES Indiana Bill Calc.'!$D$17="PL",'AES Indiana Bill Calc.'!$D$18="Yes 50%",'AES Indiana Bill Calc.'!$D$20="Yes Before 2018"),'AES Indiana Bill Calc.'!$D$22)</f>
        <v>0</v>
      </c>
      <c r="E674" s="103" t="b">
        <f>IF(AND('AES Indiana Bill Calc.'!$D$17="PL",'AES Indiana Bill Calc.'!$D$18="Yes 50%",'AES Indiana Bill Calc.'!$D$20="Yes Before 2018"),'AES Indiana Bill Calc.'!$D$21)</f>
        <v>0</v>
      </c>
      <c r="F674" s="36" t="s">
        <v>203</v>
      </c>
      <c r="G674" s="42" t="e">
        <f>SUM(J674:M674,R674:AA674)</f>
        <v>#N/A</v>
      </c>
      <c r="H674" s="19" t="e">
        <f>IF(ISBLANK(B674),0,+#REF!/B674)</f>
        <v>#REF!</v>
      </c>
      <c r="I674" s="19"/>
      <c r="J674" s="109">
        <f>IF(ISBLANK(B674),0,+J$657)</f>
        <v>130</v>
      </c>
      <c r="K674" s="92">
        <f>ROUND($B674*K$657,2)</f>
        <v>-0.04</v>
      </c>
      <c r="L674" s="92">
        <f>IF($C674&gt;L$658,ROUND(L$658*L$657,2),ROUND($C674*L$657,2))</f>
        <v>14150</v>
      </c>
      <c r="M674" s="92">
        <f>IF($C674&gt;L$658,ROUND(($C674-L$658)*M$657,2),0)</f>
        <v>0</v>
      </c>
      <c r="N674" s="92">
        <f>K674</f>
        <v>-0.04</v>
      </c>
      <c r="O674" s="92"/>
      <c r="P674" s="92"/>
      <c r="Q674" s="92">
        <f>SUM(L674:M674)</f>
        <v>14150</v>
      </c>
      <c r="R674" s="110" t="e">
        <f>ROUND(SUM(K674:M674)*(R673-1),2)</f>
        <v>#N/A</v>
      </c>
      <c r="S674" s="92">
        <f>ROUND($B674*S$657*S673,2)</f>
        <v>0</v>
      </c>
      <c r="T674" s="92">
        <f>ROUND($B674*T$657,2)</f>
        <v>0</v>
      </c>
      <c r="U674" s="92">
        <f>ROUND($B674*U$657,2)</f>
        <v>0</v>
      </c>
      <c r="V674" s="92">
        <f>ROUND($B674*V$647,2)</f>
        <v>0</v>
      </c>
      <c r="W674" s="92">
        <f>ROUND($B674*W$657,2)</f>
        <v>0</v>
      </c>
      <c r="X674" s="92">
        <f>ROUND($B674*X$657,2)</f>
        <v>-0.01</v>
      </c>
      <c r="Y674" s="92">
        <f>ROUND($B674*Y$657,2)</f>
        <v>0</v>
      </c>
      <c r="Z674" s="92">
        <f>ROUND($B674*Z$657,2)</f>
        <v>0</v>
      </c>
      <c r="AA674" s="92">
        <f>ROUND($B674*AA$657,2)</f>
        <v>0</v>
      </c>
      <c r="AB674" s="19">
        <f>SUM(U669:AA669)</f>
        <v>0</v>
      </c>
      <c r="AC674" s="105" t="str">
        <f>+F674</f>
        <v>PL7</v>
      </c>
    </row>
    <row r="675" spans="1:29" x14ac:dyDescent="0.2">
      <c r="A675" s="9"/>
      <c r="B675" s="103">
        <v>-1</v>
      </c>
      <c r="C675" s="9"/>
      <c r="D675" s="8"/>
      <c r="F675" s="36"/>
      <c r="G675" s="17"/>
      <c r="H675" s="19"/>
      <c r="I675" s="19"/>
      <c r="J675" s="8"/>
      <c r="K675" s="17"/>
      <c r="L675" s="17"/>
      <c r="M675" s="17"/>
      <c r="N675" s="17"/>
      <c r="O675" s="17"/>
      <c r="P675" s="17"/>
      <c r="Q675" s="17"/>
      <c r="R675" s="38" t="e">
        <f>VLOOKUP((D676),'Pwr Factor'!$A$1:$B$52,2)</f>
        <v>#N/A</v>
      </c>
      <c r="S675" s="50">
        <v>0.25</v>
      </c>
      <c r="T675" s="17"/>
      <c r="U675" s="17"/>
      <c r="V675" s="17"/>
      <c r="W675" s="17"/>
      <c r="X675" s="17"/>
      <c r="Y675" s="17"/>
      <c r="Z675" s="17"/>
      <c r="AA675" s="17"/>
    </row>
    <row r="676" spans="1:29" x14ac:dyDescent="0.2">
      <c r="A676" s="1" t="s">
        <v>140</v>
      </c>
      <c r="B676" s="103">
        <f>IF(AND('AES Indiana Bill Calc.'!$D$17="PL",'AES Indiana Bill Calc.'!$D$18="Yes 25%",'AES Indiana Bill Calc.'!$D$20="Yes Before 2018"),'AES Indiana Bill Calc.'!$D$19,-1)</f>
        <v>-1</v>
      </c>
      <c r="C676" s="103">
        <f>MAX(E676,$C$653)</f>
        <v>500</v>
      </c>
      <c r="D676" s="103" t="b">
        <f>IF(AND('AES Indiana Bill Calc.'!$D$17="PL",'AES Indiana Bill Calc.'!$D$18="Yes 25%",'AES Indiana Bill Calc.'!$D$20="Yes Before 2018"),'AES Indiana Bill Calc.'!$D$22)</f>
        <v>0</v>
      </c>
      <c r="E676" s="103" t="b">
        <f>IF(AND('AES Indiana Bill Calc.'!$D$17="PL",'AES Indiana Bill Calc.'!$D$18="Yes 25%",'AES Indiana Bill Calc.'!$D$20="Yes Before 2018"),'AES Indiana Bill Calc.'!$D$21)</f>
        <v>0</v>
      </c>
      <c r="F676" s="36" t="s">
        <v>203</v>
      </c>
      <c r="G676" s="42" t="e">
        <f>SUM(J676:M676,R676:AA676)</f>
        <v>#N/A</v>
      </c>
      <c r="H676" s="19" t="e">
        <f>IF(ISBLANK(B676),0,+#REF!/B676)</f>
        <v>#REF!</v>
      </c>
      <c r="I676" s="19"/>
      <c r="J676" s="109">
        <f>IF(ISBLANK(B676),0,+J$657)</f>
        <v>130</v>
      </c>
      <c r="K676" s="92">
        <f>ROUND($B676*K$657,2)</f>
        <v>-0.04</v>
      </c>
      <c r="L676" s="92">
        <f>IF($C676&gt;L$658,ROUND(L$658*L$657,2),ROUND($C676*L$657,2))</f>
        <v>14150</v>
      </c>
      <c r="M676" s="92">
        <f>IF($C676&gt;L$658,ROUND(($C676-L$658)*M$657,2),0)</f>
        <v>0</v>
      </c>
      <c r="N676" s="92">
        <f>K676</f>
        <v>-0.04</v>
      </c>
      <c r="O676" s="92"/>
      <c r="P676" s="92"/>
      <c r="Q676" s="92">
        <f>SUM(L676:M676)</f>
        <v>14150</v>
      </c>
      <c r="R676" s="110" t="e">
        <f>ROUND(SUM(K676:M676)*(R675-1),2)</f>
        <v>#N/A</v>
      </c>
      <c r="S676" s="92">
        <f>ROUND($B676*S$657*S675,2)</f>
        <v>0</v>
      </c>
      <c r="T676" s="92">
        <f>ROUND($B676*T$657,2)</f>
        <v>0</v>
      </c>
      <c r="U676" s="92">
        <f>ROUND($B676*U$657,2)</f>
        <v>0</v>
      </c>
      <c r="V676" s="92">
        <f>ROUND($B676*V$647,2)</f>
        <v>0</v>
      </c>
      <c r="W676" s="92">
        <f>ROUND($B676*W$657,2)</f>
        <v>0</v>
      </c>
      <c r="X676" s="92">
        <f>ROUND($B676*X$657,2)</f>
        <v>-0.01</v>
      </c>
      <c r="Y676" s="92">
        <f>ROUND($B676*Y$657,2)</f>
        <v>0</v>
      </c>
      <c r="Z676" s="92">
        <f>ROUND($B676*Z$657,2)</f>
        <v>0</v>
      </c>
      <c r="AA676" s="92">
        <f>ROUND($B676*AA$657,2)</f>
        <v>0</v>
      </c>
      <c r="AB676" s="19">
        <f>SUM(U671:AA671)</f>
        <v>0</v>
      </c>
      <c r="AC676" s="105" t="str">
        <f>+F676</f>
        <v>PL7</v>
      </c>
    </row>
    <row r="677" spans="1:29" x14ac:dyDescent="0.2">
      <c r="A677" s="9"/>
      <c r="B677" s="103">
        <v>-1</v>
      </c>
      <c r="D677" s="8"/>
      <c r="E677" s="9"/>
      <c r="F677" s="36"/>
      <c r="G677" s="17"/>
      <c r="H677" s="19"/>
      <c r="I677" s="19"/>
      <c r="J677" s="8"/>
      <c r="K677" s="17"/>
      <c r="L677" s="17"/>
      <c r="M677" s="17"/>
      <c r="N677" s="17"/>
      <c r="O677" s="17"/>
      <c r="P677" s="17"/>
      <c r="Q677" s="17"/>
      <c r="R677" s="38" t="e">
        <f>VLOOKUP((D678),'Pwr Factor'!$A$1:$B$52,2)</f>
        <v>#N/A</v>
      </c>
      <c r="S677" s="50">
        <v>0.1</v>
      </c>
      <c r="T677" s="17"/>
      <c r="U677" s="17"/>
      <c r="V677" s="17"/>
      <c r="W677" s="17"/>
      <c r="X677" s="17"/>
      <c r="Y677" s="17"/>
      <c r="Z677" s="17"/>
      <c r="AA677" s="17"/>
    </row>
    <row r="678" spans="1:29" x14ac:dyDescent="0.2">
      <c r="A678" s="1" t="s">
        <v>154</v>
      </c>
      <c r="B678" s="103">
        <f>IF(AND('AES Indiana Bill Calc.'!$D$17="PL",'AES Indiana Bill Calc.'!$D$18="Yes 10%",'AES Indiana Bill Calc.'!$D$20="Yes Before 2018"),'AES Indiana Bill Calc.'!$D$19,-1)</f>
        <v>-1</v>
      </c>
      <c r="C678" s="103">
        <f>MAX(E678,$C$653)</f>
        <v>500</v>
      </c>
      <c r="D678" s="103" t="b">
        <f>IF(AND('AES Indiana Bill Calc.'!$D$17="PL",'AES Indiana Bill Calc.'!$D$18="Yes 10%",'AES Indiana Bill Calc.'!$D$20="Yes Before 2018"),'AES Indiana Bill Calc.'!$D$22)</f>
        <v>0</v>
      </c>
      <c r="E678" s="103" t="b">
        <f>IF(AND('AES Indiana Bill Calc.'!$D$17="PL",'AES Indiana Bill Calc.'!$D$18="Yes 10%",'AES Indiana Bill Calc.'!$D$20="Yes Before 2018"),'AES Indiana Bill Calc.'!$D$21)</f>
        <v>0</v>
      </c>
      <c r="F678" s="36" t="s">
        <v>203</v>
      </c>
      <c r="G678" s="42" t="e">
        <f>SUM(J678:M678,R678:AA678)</f>
        <v>#N/A</v>
      </c>
      <c r="H678" s="19" t="e">
        <f>IF(ISBLANK(B678),0,+#REF!/B678)</f>
        <v>#REF!</v>
      </c>
      <c r="I678" s="19"/>
      <c r="J678" s="109">
        <f>IF(ISBLANK(B678),0,+J$657)</f>
        <v>130</v>
      </c>
      <c r="K678" s="92">
        <f>ROUND($B678*K$657,2)</f>
        <v>-0.04</v>
      </c>
      <c r="L678" s="92">
        <f>IF($C678&gt;L$658,ROUND(L$658*L$657,2),ROUND($C678*L$657,2))</f>
        <v>14150</v>
      </c>
      <c r="M678" s="92">
        <f>IF($C678&gt;L$658,ROUND(($C678-L$658)*M$657,2),0)</f>
        <v>0</v>
      </c>
      <c r="N678" s="92">
        <f>K678</f>
        <v>-0.04</v>
      </c>
      <c r="O678" s="92"/>
      <c r="P678" s="92"/>
      <c r="Q678" s="92">
        <f>SUM(L678:M678)</f>
        <v>14150</v>
      </c>
      <c r="R678" s="110" t="e">
        <f>ROUND(SUM(K678:M678)*(R677-1),2)</f>
        <v>#N/A</v>
      </c>
      <c r="S678" s="92">
        <f>ROUND($B678*S$657*S677,2)</f>
        <v>0</v>
      </c>
      <c r="T678" s="92">
        <f>ROUND($B678*T$657,2)</f>
        <v>0</v>
      </c>
      <c r="U678" s="92">
        <f>ROUND($B678*U$657,2)</f>
        <v>0</v>
      </c>
      <c r="V678" s="92">
        <f>ROUND($B678*V$647,2)</f>
        <v>0</v>
      </c>
      <c r="W678" s="92">
        <f>ROUND($B678*W$657,2)</f>
        <v>0</v>
      </c>
      <c r="X678" s="92">
        <f>ROUND($B678*X$657,2)</f>
        <v>-0.01</v>
      </c>
      <c r="Y678" s="92">
        <f>ROUND($B678*Y$657,2)</f>
        <v>0</v>
      </c>
      <c r="Z678" s="92">
        <f>ROUND($B678*Z$657,2)</f>
        <v>0</v>
      </c>
      <c r="AA678" s="92">
        <f>ROUND($B678*AA$657,2)</f>
        <v>0</v>
      </c>
      <c r="AB678" s="19">
        <f>SUM(U673:AA673)</f>
        <v>0</v>
      </c>
      <c r="AC678" s="105" t="str">
        <f>+F678</f>
        <v>PL7</v>
      </c>
    </row>
    <row r="679" spans="1:29" x14ac:dyDescent="0.2">
      <c r="A679" s="9"/>
      <c r="B679" s="103">
        <v>-1</v>
      </c>
      <c r="D679" s="8"/>
      <c r="E679" s="9"/>
      <c r="F679" s="36"/>
      <c r="G679" s="17"/>
      <c r="H679" s="19"/>
      <c r="I679" s="19"/>
      <c r="J679" s="8"/>
      <c r="K679" s="17"/>
      <c r="L679" s="17"/>
      <c r="M679" s="17"/>
      <c r="N679" s="17"/>
      <c r="O679" s="17"/>
      <c r="P679" s="17"/>
      <c r="Q679" s="17"/>
      <c r="R679" s="38" t="e">
        <f>VLOOKUP((D680),'Pwr Factor'!$A$1:$B$52,2)</f>
        <v>#N/A</v>
      </c>
      <c r="S679" s="50">
        <v>0</v>
      </c>
      <c r="T679" s="17"/>
      <c r="U679" s="17"/>
      <c r="V679" s="17"/>
      <c r="W679" s="17"/>
      <c r="X679" s="17"/>
      <c r="Y679" s="17"/>
      <c r="Z679" s="17"/>
      <c r="AA679" s="17"/>
    </row>
    <row r="680" spans="1:29" x14ac:dyDescent="0.2">
      <c r="A680" s="1" t="s">
        <v>137</v>
      </c>
      <c r="B680" s="103">
        <f>IF(AND('AES Indiana Bill Calc.'!$D$17="PL",'AES Indiana Bill Calc.'!$D$18="No",'AES Indiana Bill Calc.'!$D$20="Yes Before 2018"),'AES Indiana Bill Calc.'!$D$19,-1)</f>
        <v>-1</v>
      </c>
      <c r="C680" s="103">
        <f>MAX(E680,$C$653)</f>
        <v>500</v>
      </c>
      <c r="D680" s="103" t="b">
        <f>IF(AND('AES Indiana Bill Calc.'!$D$17="PL",'AES Indiana Bill Calc.'!$D$18="No",'AES Indiana Bill Calc.'!$D$20="Yes Before 2018"),'AES Indiana Bill Calc.'!$D$22)</f>
        <v>0</v>
      </c>
      <c r="E680" s="103" t="b">
        <f>IF(AND('AES Indiana Bill Calc.'!$D$17="PL",'AES Indiana Bill Calc.'!$D$18="No",'AES Indiana Bill Calc.'!$D$20="Yes Before 2018"),'AES Indiana Bill Calc.'!$D$21)</f>
        <v>0</v>
      </c>
      <c r="F680" s="36" t="s">
        <v>203</v>
      </c>
      <c r="G680" s="42" t="e">
        <f>SUM(J680:M680,R680:AA680)</f>
        <v>#N/A</v>
      </c>
      <c r="H680" s="19" t="e">
        <f>IF(ISBLANK(B680),0,+#REF!/B680)</f>
        <v>#REF!</v>
      </c>
      <c r="I680" s="19"/>
      <c r="J680" s="109">
        <f>IF(ISBLANK(B680),0,+J$657)</f>
        <v>130</v>
      </c>
      <c r="K680" s="92">
        <f>ROUND($B680*K$657,2)</f>
        <v>-0.04</v>
      </c>
      <c r="L680" s="92">
        <f>IF($C680&gt;L$658,ROUND(L$658*L$657,2),ROUND($C680*L$657,2))</f>
        <v>14150</v>
      </c>
      <c r="M680" s="92">
        <f>IF($C680&gt;L$658,ROUND(($C680-L$658)*M$657,2),0)</f>
        <v>0</v>
      </c>
      <c r="N680" s="92">
        <f>K680</f>
        <v>-0.04</v>
      </c>
      <c r="O680" s="92"/>
      <c r="P680" s="92"/>
      <c r="Q680" s="92">
        <f>SUM(L680:M680)</f>
        <v>14150</v>
      </c>
      <c r="R680" s="110" t="e">
        <f>ROUND(SUM(K680:M680)*(R679-1),2)</f>
        <v>#N/A</v>
      </c>
      <c r="S680" s="92">
        <f>ROUND($B680*S$657*S679,2)</f>
        <v>0</v>
      </c>
      <c r="T680" s="92">
        <f>ROUND($B680*T$657,2)</f>
        <v>0</v>
      </c>
      <c r="U680" s="92">
        <f>ROUND($B680*U$657,2)</f>
        <v>0</v>
      </c>
      <c r="V680" s="92">
        <f>ROUND($B680*V$647,2)</f>
        <v>0</v>
      </c>
      <c r="W680" s="92">
        <f>ROUND($B680*W$657,2)</f>
        <v>0</v>
      </c>
      <c r="X680" s="92">
        <f>ROUND($B680*X$657,2)</f>
        <v>-0.01</v>
      </c>
      <c r="Y680" s="92">
        <f>ROUND($B680*Y$657,2)</f>
        <v>0</v>
      </c>
      <c r="Z680" s="92">
        <f>ROUND($B680*Z$657,2)</f>
        <v>0</v>
      </c>
      <c r="AA680" s="92">
        <f>ROUND($B680*AA$657,2)</f>
        <v>0</v>
      </c>
      <c r="AB680" s="19">
        <f>SUM(U675:AA675)</f>
        <v>0</v>
      </c>
      <c r="AC680" s="105" t="str">
        <f>+F680</f>
        <v>PL7</v>
      </c>
    </row>
    <row r="681" spans="1:29" ht="13.5" customHeight="1" x14ac:dyDescent="0.2">
      <c r="B681" s="103">
        <v>-1</v>
      </c>
      <c r="D681" s="8"/>
      <c r="E681" s="9"/>
      <c r="F681" s="36"/>
      <c r="G681" s="17"/>
      <c r="H681" s="19"/>
      <c r="I681" s="19"/>
      <c r="J681" s="51"/>
      <c r="K681" s="17"/>
      <c r="L681" s="17"/>
      <c r="M681" s="17"/>
      <c r="N681" s="17"/>
      <c r="O681" s="17"/>
      <c r="P681" s="17"/>
      <c r="Q681" s="17"/>
      <c r="R681" s="38" t="e">
        <f>VLOOKUP((D682),'Pwr Factor'!$A$1:$B$52,2)</f>
        <v>#N/A</v>
      </c>
      <c r="S681" s="50">
        <v>1</v>
      </c>
      <c r="T681" s="17"/>
      <c r="U681" s="17"/>
      <c r="V681" s="8"/>
      <c r="W681" s="17"/>
      <c r="X681" s="17"/>
      <c r="Y681" s="17"/>
      <c r="Z681" s="17"/>
      <c r="AA681" s="17"/>
      <c r="AB681" s="19"/>
      <c r="AC681" s="67"/>
    </row>
    <row r="682" spans="1:29" x14ac:dyDescent="0.2">
      <c r="A682" s="1" t="s">
        <v>138</v>
      </c>
      <c r="B682" s="103">
        <f>IF(AND('AES Indiana Bill Calc.'!$D$17="PL",'AES Indiana Bill Calc.'!$D$18="Yes 100%",'AES Indiana Bill Calc.'!$D$20="Yes 2018"),'AES Indiana Bill Calc.'!$D$19,-1)</f>
        <v>-1</v>
      </c>
      <c r="C682" s="103">
        <f>MAX(E682,$C$653)</f>
        <v>500</v>
      </c>
      <c r="D682" s="103" t="b">
        <f>IF(AND('AES Indiana Bill Calc.'!$D$17="PL",'AES Indiana Bill Calc.'!$D$18="Yes 100%",'AES Indiana Bill Calc.'!$D$20="Yes 2018"),'AES Indiana Bill Calc.'!$D$22)</f>
        <v>0</v>
      </c>
      <c r="E682" s="103" t="b">
        <f>IF(AND('AES Indiana Bill Calc.'!$D$17="PL",'AES Indiana Bill Calc.'!$D$18="Yes 100%",'AES Indiana Bill Calc.'!$D$20="Yes 2018"),'AES Indiana Bill Calc.'!$D$21)</f>
        <v>0</v>
      </c>
      <c r="F682" s="36" t="s">
        <v>204</v>
      </c>
      <c r="G682" s="42" t="e">
        <f>SUM(J682:M682,R682:AA682)</f>
        <v>#N/A</v>
      </c>
      <c r="H682" s="19" t="e">
        <f>IF(ISBLANK(B682),0,+#REF!/B682)</f>
        <v>#REF!</v>
      </c>
      <c r="I682" s="19"/>
      <c r="J682" s="88">
        <f>IF(ISBLANK(B682),0,+J$657)</f>
        <v>130</v>
      </c>
      <c r="K682" s="42">
        <f>ROUND($B682*K$657,2)</f>
        <v>-0.04</v>
      </c>
      <c r="L682" s="92">
        <f>IF($C682&gt;L$658,ROUND(L$658*L$657,2),ROUND($C682*L$657,2))</f>
        <v>14150</v>
      </c>
      <c r="M682" s="92">
        <f>IF($C682&gt;L$658,ROUND(($C682-L$658)*M$657,2),0)</f>
        <v>0</v>
      </c>
      <c r="N682" s="92">
        <f>K682</f>
        <v>-0.04</v>
      </c>
      <c r="O682" s="42"/>
      <c r="P682" s="42"/>
      <c r="Q682" s="92">
        <f>SUM(L682:M682)</f>
        <v>14150</v>
      </c>
      <c r="R682" s="82" t="e">
        <f>ROUND(SUM(K682:M682)*(R681-1),2)</f>
        <v>#N/A</v>
      </c>
      <c r="S682" s="42">
        <f>ROUND($B682*S$657*S681,2)</f>
        <v>0</v>
      </c>
      <c r="T682" s="42">
        <f>ROUND($B682*T$657,2)</f>
        <v>0</v>
      </c>
      <c r="U682" s="42">
        <f>ROUND($B682*U$657,2)</f>
        <v>0</v>
      </c>
      <c r="V682" s="41">
        <f>ROUND($B682*V$648,2)</f>
        <v>0</v>
      </c>
      <c r="W682" s="42">
        <f>ROUND($B682*W$657,2)</f>
        <v>0</v>
      </c>
      <c r="X682" s="42">
        <f>ROUND($B682*X$657,2)</f>
        <v>-0.01</v>
      </c>
      <c r="Y682" s="42">
        <f>ROUND($B682*Y$657,2)</f>
        <v>0</v>
      </c>
      <c r="Z682" s="42">
        <f>ROUND($B682*Z$657,2)</f>
        <v>0</v>
      </c>
      <c r="AA682" s="42">
        <f>ROUND($B682*AA$657,2)</f>
        <v>0</v>
      </c>
      <c r="AB682" s="19">
        <f>SUM(U$657:AA$657)+(-V$657+V648)</f>
        <v>1.2243E-2</v>
      </c>
      <c r="AC682" s="94" t="str">
        <f>+F682</f>
        <v>PL8</v>
      </c>
    </row>
    <row r="683" spans="1:29" x14ac:dyDescent="0.2">
      <c r="A683" s="9"/>
      <c r="B683" s="103">
        <v>-1</v>
      </c>
      <c r="D683" s="8"/>
      <c r="E683" s="9"/>
      <c r="F683" s="36"/>
      <c r="G683" s="17"/>
      <c r="H683" s="19"/>
      <c r="I683" s="19"/>
      <c r="J683" s="51"/>
      <c r="K683" s="17"/>
      <c r="L683" s="17"/>
      <c r="M683" s="17"/>
      <c r="N683" s="17"/>
      <c r="O683" s="17"/>
      <c r="P683" s="17"/>
      <c r="Q683" s="17"/>
      <c r="R683" s="38" t="e">
        <f>VLOOKUP((D684),'Pwr Factor'!$A$1:$B$52,2)</f>
        <v>#N/A</v>
      </c>
      <c r="S683" s="50">
        <v>0.5</v>
      </c>
      <c r="T683" s="17"/>
      <c r="U683" s="17"/>
      <c r="V683" s="8"/>
      <c r="W683" s="17"/>
      <c r="X683" s="17"/>
      <c r="Y683" s="17"/>
      <c r="Z683" s="17"/>
      <c r="AA683" s="17"/>
      <c r="AB683" s="19"/>
      <c r="AC683" s="67"/>
    </row>
    <row r="684" spans="1:29" x14ac:dyDescent="0.2">
      <c r="A684" s="1" t="s">
        <v>139</v>
      </c>
      <c r="B684" s="103">
        <f>IF(AND('AES Indiana Bill Calc.'!$D$17="PL",'AES Indiana Bill Calc.'!$D$18="Yes 50%",'AES Indiana Bill Calc.'!$D$20="Yes 2018"),'AES Indiana Bill Calc.'!$D$19,-1)</f>
        <v>-1</v>
      </c>
      <c r="C684" s="103">
        <f>MAX(E684,$C$653)</f>
        <v>500</v>
      </c>
      <c r="D684" s="103" t="b">
        <f>IF(AND('AES Indiana Bill Calc.'!$D$17="PL",'AES Indiana Bill Calc.'!$D$18="Yes 50%",'AES Indiana Bill Calc.'!$D$20="Yes 2018"),'AES Indiana Bill Calc.'!$D$22)</f>
        <v>0</v>
      </c>
      <c r="E684" s="103" t="b">
        <f>IF(AND('AES Indiana Bill Calc.'!$D$17="PL",'AES Indiana Bill Calc.'!$D$18="Yes 50%",'AES Indiana Bill Calc.'!$D$20="Yes 2018"),'AES Indiana Bill Calc.'!$D$21)</f>
        <v>0</v>
      </c>
      <c r="F684" s="36" t="s">
        <v>204</v>
      </c>
      <c r="G684" s="42" t="e">
        <f>SUM(J684:M684,R684:AA684)</f>
        <v>#N/A</v>
      </c>
      <c r="H684" s="19" t="e">
        <f>IF(ISBLANK(B684),0,+#REF!/B684)</f>
        <v>#REF!</v>
      </c>
      <c r="I684" s="19"/>
      <c r="J684" s="88">
        <f>IF(ISBLANK(B684),0,+J$657)</f>
        <v>130</v>
      </c>
      <c r="K684" s="42">
        <f>ROUND($B684*K$657,2)</f>
        <v>-0.04</v>
      </c>
      <c r="L684" s="92">
        <f>IF($C684&gt;L$658,ROUND(L$658*L$657,2),ROUND($C684*L$657,2))</f>
        <v>14150</v>
      </c>
      <c r="M684" s="92">
        <f>IF($C684&gt;L$658,ROUND(($C684-L$658)*M$657,2),0)</f>
        <v>0</v>
      </c>
      <c r="N684" s="92">
        <f>K684</f>
        <v>-0.04</v>
      </c>
      <c r="O684" s="42"/>
      <c r="P684" s="42"/>
      <c r="Q684" s="92">
        <f>SUM(L684:M684)</f>
        <v>14150</v>
      </c>
      <c r="R684" s="82" t="e">
        <f>ROUND(SUM(K684:M684)*(R683-1),2)</f>
        <v>#N/A</v>
      </c>
      <c r="S684" s="42">
        <f>ROUND($B684*S$657*S683,2)</f>
        <v>0</v>
      </c>
      <c r="T684" s="42">
        <f>ROUND($B684*T$657,2)</f>
        <v>0</v>
      </c>
      <c r="U684" s="42">
        <f>ROUND($B684*U$657,2)</f>
        <v>0</v>
      </c>
      <c r="V684" s="41">
        <f>ROUND($B684*V$648,2)</f>
        <v>0</v>
      </c>
      <c r="W684" s="42">
        <f>ROUND($B684*W$657,2)</f>
        <v>0</v>
      </c>
      <c r="X684" s="42">
        <f>ROUND($B684*X$657,2)</f>
        <v>-0.01</v>
      </c>
      <c r="Y684" s="42">
        <f>ROUND($B684*Y$657,2)</f>
        <v>0</v>
      </c>
      <c r="Z684" s="42">
        <f>ROUND($B684*Z$657,2)</f>
        <v>0</v>
      </c>
      <c r="AA684" s="42">
        <f>ROUND($B684*AA$657,2)</f>
        <v>0</v>
      </c>
      <c r="AB684" s="19">
        <f>SUM(U$657:AA$657)+(-V$657+V650)</f>
        <v>1.2243E-2</v>
      </c>
      <c r="AC684" s="94" t="str">
        <f>+F684</f>
        <v>PL8</v>
      </c>
    </row>
    <row r="685" spans="1:29" x14ac:dyDescent="0.2">
      <c r="A685" s="9"/>
      <c r="B685" s="103">
        <v>-1</v>
      </c>
      <c r="D685" s="8"/>
      <c r="E685" s="9"/>
      <c r="F685" s="36"/>
      <c r="G685" s="17"/>
      <c r="H685" s="19"/>
      <c r="I685" s="19"/>
      <c r="J685" s="51"/>
      <c r="K685" s="17"/>
      <c r="L685" s="17"/>
      <c r="M685" s="17"/>
      <c r="N685" s="17"/>
      <c r="O685" s="17"/>
      <c r="P685" s="17"/>
      <c r="Q685" s="17"/>
      <c r="R685" s="38" t="e">
        <f>VLOOKUP((D686),'Pwr Factor'!$A$1:$B$52,2)</f>
        <v>#N/A</v>
      </c>
      <c r="S685" s="50">
        <v>0.25</v>
      </c>
      <c r="T685" s="17"/>
      <c r="U685" s="17"/>
      <c r="V685" s="8"/>
      <c r="W685" s="17"/>
      <c r="X685" s="17"/>
      <c r="Y685" s="17"/>
      <c r="Z685" s="17"/>
      <c r="AA685" s="17"/>
      <c r="AB685" s="19"/>
      <c r="AC685" s="67"/>
    </row>
    <row r="686" spans="1:29" x14ac:dyDescent="0.2">
      <c r="A686" s="1" t="s">
        <v>140</v>
      </c>
      <c r="B686" s="103">
        <f>IF(AND('AES Indiana Bill Calc.'!$D$17="PL",'AES Indiana Bill Calc.'!$D$18="Yes 25%",'AES Indiana Bill Calc.'!$D$20="Yes 2018"),'AES Indiana Bill Calc.'!$D$19,-1)</f>
        <v>-1</v>
      </c>
      <c r="C686" s="103">
        <f>MAX(E686,$C$653)</f>
        <v>500</v>
      </c>
      <c r="D686" s="103" t="b">
        <f>IF(AND('AES Indiana Bill Calc.'!$D$17="PL",'AES Indiana Bill Calc.'!$D$18="Yes 25%",'AES Indiana Bill Calc.'!$D$20="Yes 2018"),'AES Indiana Bill Calc.'!$D$22)</f>
        <v>0</v>
      </c>
      <c r="E686" s="103" t="b">
        <f>IF(AND('AES Indiana Bill Calc.'!$D$17="PL",'AES Indiana Bill Calc.'!$D$18="Yes 25%",'AES Indiana Bill Calc.'!$D$20="Yes 2018"),'AES Indiana Bill Calc.'!$D$21)</f>
        <v>0</v>
      </c>
      <c r="F686" s="36" t="s">
        <v>204</v>
      </c>
      <c r="G686" s="42" t="e">
        <f>SUM(J686:M686,R686:AA686)</f>
        <v>#N/A</v>
      </c>
      <c r="H686" s="19" t="e">
        <f>IF(ISBLANK(B686),0,+#REF!/B686)</f>
        <v>#REF!</v>
      </c>
      <c r="I686" s="19"/>
      <c r="J686" s="88">
        <f>IF(ISBLANK(B686),0,+J$657)</f>
        <v>130</v>
      </c>
      <c r="K686" s="42">
        <f>ROUND($B686*K$657,2)</f>
        <v>-0.04</v>
      </c>
      <c r="L686" s="92">
        <f>IF($C686&gt;L$658,ROUND(L$658*L$657,2),ROUND($C686*L$657,2))</f>
        <v>14150</v>
      </c>
      <c r="M686" s="92">
        <f>IF($C686&gt;L$658,ROUND(($C686-L$658)*M$657,2),0)</f>
        <v>0</v>
      </c>
      <c r="N686" s="92">
        <f>K686</f>
        <v>-0.04</v>
      </c>
      <c r="O686" s="42"/>
      <c r="P686" s="42"/>
      <c r="Q686" s="92">
        <f>SUM(L686:M686)</f>
        <v>14150</v>
      </c>
      <c r="R686" s="82" t="e">
        <f>ROUND(SUM(K686:M686)*(R685-1),2)</f>
        <v>#N/A</v>
      </c>
      <c r="S686" s="42">
        <f>ROUND($B686*S$657*S685,2)</f>
        <v>0</v>
      </c>
      <c r="T686" s="42">
        <f>ROUND($B686*T$657,2)</f>
        <v>0</v>
      </c>
      <c r="U686" s="42">
        <f>ROUND($B686*U$657,2)</f>
        <v>0</v>
      </c>
      <c r="V686" s="41">
        <f>ROUND($B686*V$648,2)</f>
        <v>0</v>
      </c>
      <c r="W686" s="42">
        <f>ROUND($B686*W$657,2)</f>
        <v>0</v>
      </c>
      <c r="X686" s="42">
        <f>ROUND($B686*X$657,2)</f>
        <v>-0.01</v>
      </c>
      <c r="Y686" s="42">
        <f>ROUND($B686*Y$657,2)</f>
        <v>0</v>
      </c>
      <c r="Z686" s="42">
        <f>ROUND($B686*Z$657,2)</f>
        <v>0</v>
      </c>
      <c r="AA686" s="42">
        <f>ROUND($B686*AA$657,2)</f>
        <v>0</v>
      </c>
      <c r="AB686" s="19">
        <f>SUM(U$657:AA$657)+(-V$657+V652)</f>
        <v>1.2243E-2</v>
      </c>
      <c r="AC686" s="94" t="str">
        <f>+F686</f>
        <v>PL8</v>
      </c>
    </row>
    <row r="687" spans="1:29" x14ac:dyDescent="0.2">
      <c r="A687" s="9"/>
      <c r="B687" s="103">
        <v>-1</v>
      </c>
      <c r="D687" s="8"/>
      <c r="E687" s="9"/>
      <c r="F687" s="36"/>
      <c r="G687" s="17"/>
      <c r="H687" s="19"/>
      <c r="I687" s="19"/>
      <c r="J687" s="51"/>
      <c r="K687" s="17"/>
      <c r="L687" s="17"/>
      <c r="M687" s="17"/>
      <c r="N687" s="17"/>
      <c r="O687" s="17"/>
      <c r="P687" s="17"/>
      <c r="Q687" s="17"/>
      <c r="R687" s="38" t="e">
        <f>VLOOKUP((D688),'Pwr Factor'!$A$1:$B$52,2)</f>
        <v>#N/A</v>
      </c>
      <c r="S687" s="50">
        <v>0.1</v>
      </c>
      <c r="T687" s="17"/>
      <c r="U687" s="17"/>
      <c r="V687" s="8"/>
      <c r="W687" s="17"/>
      <c r="X687" s="17"/>
      <c r="Y687" s="17"/>
      <c r="Z687" s="17"/>
      <c r="AA687" s="17"/>
      <c r="AB687" s="19"/>
      <c r="AC687" s="67"/>
    </row>
    <row r="688" spans="1:29" x14ac:dyDescent="0.2">
      <c r="A688" s="1" t="s">
        <v>154</v>
      </c>
      <c r="B688" s="103">
        <f>IF(AND('AES Indiana Bill Calc.'!$D$17="PL",'AES Indiana Bill Calc.'!$D$18="Yes 10%",'AES Indiana Bill Calc.'!$D$20="Yes 2018"),'AES Indiana Bill Calc.'!$D$19,-1)</f>
        <v>-1</v>
      </c>
      <c r="C688" s="103">
        <f>MAX(E688,$C$653)</f>
        <v>500</v>
      </c>
      <c r="D688" s="103" t="b">
        <f>IF(AND('AES Indiana Bill Calc.'!$D$17="PL",'AES Indiana Bill Calc.'!$D$18="Yes 10%",'AES Indiana Bill Calc.'!$D$20="Yes 2018"),'AES Indiana Bill Calc.'!$D$22)</f>
        <v>0</v>
      </c>
      <c r="E688" s="103" t="b">
        <f>IF(AND('AES Indiana Bill Calc.'!$D$17="PL",'AES Indiana Bill Calc.'!$D$18="Yes 10%",'AES Indiana Bill Calc.'!$D$20="Yes 2018"),'AES Indiana Bill Calc.'!$D$21)</f>
        <v>0</v>
      </c>
      <c r="F688" s="36" t="s">
        <v>204</v>
      </c>
      <c r="G688" s="42" t="e">
        <f>SUM(J688:M688,R688:AA688)</f>
        <v>#N/A</v>
      </c>
      <c r="H688" s="19" t="e">
        <f>IF(ISBLANK(B688),0,+#REF!/B688)</f>
        <v>#REF!</v>
      </c>
      <c r="I688" s="19"/>
      <c r="J688" s="88">
        <f>IF(ISBLANK(B688),0,+J$657)</f>
        <v>130</v>
      </c>
      <c r="K688" s="42">
        <f>ROUND($B688*K$657,2)</f>
        <v>-0.04</v>
      </c>
      <c r="L688" s="92">
        <f>IF($C688&gt;L$658,ROUND(L$658*L$657,2),ROUND($C688*L$657,2))</f>
        <v>14150</v>
      </c>
      <c r="M688" s="92">
        <f>IF($C688&gt;L$658,ROUND(($C688-L$658)*M$657,2),0)</f>
        <v>0</v>
      </c>
      <c r="N688" s="92">
        <f>K688</f>
        <v>-0.04</v>
      </c>
      <c r="O688" s="42"/>
      <c r="P688" s="42"/>
      <c r="Q688" s="92">
        <f>SUM(L688:M688)</f>
        <v>14150</v>
      </c>
      <c r="R688" s="82" t="e">
        <f>ROUND(SUM(K688:M688)*(R687-1),2)</f>
        <v>#N/A</v>
      </c>
      <c r="S688" s="42">
        <f>ROUND($B688*S$657*S687,2)</f>
        <v>0</v>
      </c>
      <c r="T688" s="42">
        <f>ROUND($B688*T$657,2)</f>
        <v>0</v>
      </c>
      <c r="U688" s="42">
        <f>ROUND($B688*U$657,2)</f>
        <v>0</v>
      </c>
      <c r="V688" s="41">
        <f>ROUND($B688*V$648,2)</f>
        <v>0</v>
      </c>
      <c r="W688" s="42">
        <f>ROUND($B688*W$657,2)</f>
        <v>0</v>
      </c>
      <c r="X688" s="42">
        <f>ROUND($B688*X$657,2)</f>
        <v>-0.01</v>
      </c>
      <c r="Y688" s="42">
        <f>ROUND($B688*Y$657,2)</f>
        <v>0</v>
      </c>
      <c r="Z688" s="42">
        <f>ROUND($B688*Z$657,2)</f>
        <v>0</v>
      </c>
      <c r="AA688" s="42">
        <f>ROUND($B688*AA$657,2)</f>
        <v>0</v>
      </c>
      <c r="AB688" s="19">
        <f>SUM(U$657:AA$657)+(-V$657+V658)</f>
        <v>1.2243E-2</v>
      </c>
      <c r="AC688" s="94" t="str">
        <f>+F688</f>
        <v>PL8</v>
      </c>
    </row>
    <row r="689" spans="1:44" x14ac:dyDescent="0.2">
      <c r="A689" s="9"/>
      <c r="B689" s="103">
        <v>-1</v>
      </c>
      <c r="D689" s="8"/>
      <c r="E689" s="9"/>
      <c r="F689" s="36"/>
      <c r="G689" s="17"/>
      <c r="H689" s="19"/>
      <c r="I689" s="19"/>
      <c r="J689" s="51"/>
      <c r="K689" s="17"/>
      <c r="L689" s="17"/>
      <c r="M689" s="17"/>
      <c r="N689" s="17"/>
      <c r="O689" s="17"/>
      <c r="P689" s="17"/>
      <c r="Q689" s="17"/>
      <c r="R689" s="38" t="e">
        <f>VLOOKUP((D690),'Pwr Factor'!$A$1:$B$52,2)</f>
        <v>#N/A</v>
      </c>
      <c r="S689" s="50">
        <v>0</v>
      </c>
      <c r="T689" s="17"/>
      <c r="U689" s="17"/>
      <c r="V689" s="8"/>
      <c r="W689" s="17"/>
      <c r="X689" s="17"/>
      <c r="Y689" s="17"/>
      <c r="Z689" s="17"/>
      <c r="AA689" s="17"/>
      <c r="AB689" s="19"/>
      <c r="AC689" s="67"/>
    </row>
    <row r="690" spans="1:44" x14ac:dyDescent="0.2">
      <c r="A690" s="1" t="s">
        <v>137</v>
      </c>
      <c r="B690" s="103">
        <f>IF(AND('AES Indiana Bill Calc.'!$D$17="PL",'AES Indiana Bill Calc.'!$D$18="No",'AES Indiana Bill Calc.'!$D$20="Yes 2018"),'AES Indiana Bill Calc.'!$D$19,-1)</f>
        <v>-1</v>
      </c>
      <c r="C690" s="103">
        <f>MAX(E690,$C$653)</f>
        <v>500</v>
      </c>
      <c r="D690" s="103" t="b">
        <f>IF(AND('AES Indiana Bill Calc.'!$D$17="PL",'AES Indiana Bill Calc.'!$D$18="No",'AES Indiana Bill Calc.'!$D$20="Yes 2018"),'AES Indiana Bill Calc.'!$D$22)</f>
        <v>0</v>
      </c>
      <c r="E690" s="103" t="b">
        <f>IF(AND('AES Indiana Bill Calc.'!$D$17="PL",'AES Indiana Bill Calc.'!$D$18="No",'AES Indiana Bill Calc.'!$D$20="Yes 2018"),'AES Indiana Bill Calc.'!$D$21)</f>
        <v>0</v>
      </c>
      <c r="F690" s="36" t="s">
        <v>204</v>
      </c>
      <c r="G690" s="42" t="e">
        <f>SUM(J690:M690,R690:AA690)</f>
        <v>#N/A</v>
      </c>
      <c r="H690" s="19" t="e">
        <f>IF(ISBLANK(B690),0,+#REF!/B690)</f>
        <v>#REF!</v>
      </c>
      <c r="I690" s="19"/>
      <c r="J690" s="88">
        <f>IF(ISBLANK(B690),0,+J$657)</f>
        <v>130</v>
      </c>
      <c r="K690" s="42">
        <f>ROUND($B690*K$657,2)</f>
        <v>-0.04</v>
      </c>
      <c r="L690" s="92">
        <f>IF($C690&gt;L$658,ROUND(L$658*L$657,2),ROUND($C690*L$657,2))</f>
        <v>14150</v>
      </c>
      <c r="M690" s="92">
        <f>IF($C690&gt;L$658,ROUND(($C690-L$658)*M$657,2),0)</f>
        <v>0</v>
      </c>
      <c r="N690" s="92">
        <f>K690</f>
        <v>-0.04</v>
      </c>
      <c r="O690" s="42"/>
      <c r="P690" s="42"/>
      <c r="Q690" s="92">
        <f>SUM(L690:M690)</f>
        <v>14150</v>
      </c>
      <c r="R690" s="82" t="e">
        <f>ROUND(SUM(K690:M690)*(R689-1),2)</f>
        <v>#N/A</v>
      </c>
      <c r="S690" s="42">
        <f>ROUND($B690*S$657*S689,2)</f>
        <v>0</v>
      </c>
      <c r="T690" s="42">
        <f>ROUND($B690*T$657,2)</f>
        <v>0</v>
      </c>
      <c r="U690" s="42">
        <f>ROUND($B690*U$657,2)</f>
        <v>0</v>
      </c>
      <c r="V690" s="41">
        <f>ROUND($B690*V$648,2)</f>
        <v>0</v>
      </c>
      <c r="W690" s="42">
        <f>ROUND($B690*W$657,2)</f>
        <v>0</v>
      </c>
      <c r="X690" s="42">
        <f>ROUND($B690*X$657,2)</f>
        <v>-0.01</v>
      </c>
      <c r="Y690" s="42">
        <f>ROUND($B690*Y$657,2)</f>
        <v>0</v>
      </c>
      <c r="Z690" s="42">
        <f>ROUND($B690*Z$657,2)</f>
        <v>0</v>
      </c>
      <c r="AA690" s="42">
        <f>ROUND($B690*AA$657,2)</f>
        <v>0</v>
      </c>
      <c r="AB690" s="19" t="e">
        <f>SUM(U$657:AA$657)+(-V$657+V660)</f>
        <v>#VALUE!</v>
      </c>
      <c r="AC690" s="94" t="str">
        <f>+F690</f>
        <v>PL8</v>
      </c>
    </row>
    <row r="691" spans="1:44" x14ac:dyDescent="0.2">
      <c r="A691" s="53"/>
      <c r="B691" s="97">
        <v>-1</v>
      </c>
      <c r="D691" s="87"/>
      <c r="E691" s="97"/>
      <c r="F691" s="36"/>
      <c r="G691" s="98"/>
      <c r="H691" s="19"/>
      <c r="I691" s="19"/>
      <c r="J691" s="107"/>
      <c r="K691" s="98"/>
      <c r="L691" s="98"/>
      <c r="M691" s="98"/>
      <c r="N691" s="98"/>
      <c r="O691" s="98"/>
      <c r="P691" s="98"/>
      <c r="Q691" s="98"/>
      <c r="R691" s="38" t="e">
        <f>VLOOKUP((D692),'Pwr Factor'!$A$1:$B$52,2)</f>
        <v>#N/A</v>
      </c>
      <c r="S691" s="50">
        <v>1</v>
      </c>
      <c r="T691" s="98"/>
      <c r="U691" s="98"/>
      <c r="V691" s="87"/>
      <c r="W691" s="98"/>
      <c r="X691" s="98"/>
      <c r="Y691" s="98"/>
      <c r="Z691" s="98"/>
      <c r="AA691" s="98"/>
      <c r="AB691" s="19"/>
      <c r="AC691" s="108"/>
    </row>
    <row r="692" spans="1:44" x14ac:dyDescent="0.2">
      <c r="A692" s="1" t="s">
        <v>138</v>
      </c>
      <c r="B692" s="103">
        <f>IF(AND('AES Indiana Bill Calc.'!$D$17="PL",'AES Indiana Bill Calc.'!$D$18="Yes 100%",'AES Indiana Bill Calc.'!$D$20="Yes 2019"),'AES Indiana Bill Calc.'!$D$19,-1)</f>
        <v>-1</v>
      </c>
      <c r="C692" s="103">
        <f>MAX(E692,$C$653)</f>
        <v>500</v>
      </c>
      <c r="D692" s="103" t="b">
        <f>IF(AND('AES Indiana Bill Calc.'!$D$17="PL",'AES Indiana Bill Calc.'!$D$18="Yes 100%",'AES Indiana Bill Calc.'!$D$20="Yes 2019"),'AES Indiana Bill Calc.'!$D$22)</f>
        <v>0</v>
      </c>
      <c r="E692" s="103" t="b">
        <f>IF(AND('AES Indiana Bill Calc.'!$D$17="PL",'AES Indiana Bill Calc.'!$D$18="Yes 100%",'AES Indiana Bill Calc.'!$D$20="Yes 2019"),'AES Indiana Bill Calc.'!$D$21)</f>
        <v>0</v>
      </c>
      <c r="F692" s="36" t="s">
        <v>205</v>
      </c>
      <c r="G692" s="42" t="e">
        <f>SUM(J692:M692,R692:AA692)</f>
        <v>#N/A</v>
      </c>
      <c r="H692" s="19" t="e">
        <f>IF(ISBLANK(B692),0,+#REF!/B692)</f>
        <v>#REF!</v>
      </c>
      <c r="I692" s="19"/>
      <c r="J692" s="88">
        <f>IF(ISBLANK(B692),0,+J$657)</f>
        <v>130</v>
      </c>
      <c r="K692" s="42">
        <f>ROUND($B692*K$657,2)</f>
        <v>-0.04</v>
      </c>
      <c r="L692" s="92">
        <f>IF($C692&gt;L$658,ROUND(L$658*L$657,2),ROUND($C692*L$657,2))</f>
        <v>14150</v>
      </c>
      <c r="M692" s="92">
        <f>IF($C692&gt;L$658,ROUND(($C692-L$658)*M$657,2),0)</f>
        <v>0</v>
      </c>
      <c r="N692" s="92">
        <f>K692</f>
        <v>-0.04</v>
      </c>
      <c r="O692" s="42"/>
      <c r="P692" s="42"/>
      <c r="Q692" s="92">
        <f>SUM(L692:M692)</f>
        <v>14150</v>
      </c>
      <c r="R692" s="82" t="e">
        <f>ROUND(SUM(K692:M692)*(R691-1),2)</f>
        <v>#N/A</v>
      </c>
      <c r="S692" s="42">
        <f>ROUND($B692*S$657*S691,2)</f>
        <v>0</v>
      </c>
      <c r="T692" s="42">
        <f>ROUND($B692*T$657,2)</f>
        <v>0</v>
      </c>
      <c r="U692" s="42">
        <f>ROUND($B692*U$657,2)</f>
        <v>0</v>
      </c>
      <c r="V692" s="87">
        <f>ROUND($B692*V$649,2)</f>
        <v>0</v>
      </c>
      <c r="W692" s="42">
        <f>ROUND($B692*W$657,2)</f>
        <v>0</v>
      </c>
      <c r="X692" s="42">
        <f>ROUND($B692*X$657,2)</f>
        <v>-0.01</v>
      </c>
      <c r="Y692" s="42">
        <f>ROUND($B692*Y$657,2)</f>
        <v>0</v>
      </c>
      <c r="Z692" s="42">
        <f>ROUND($B692*Z$657,2)</f>
        <v>0</v>
      </c>
      <c r="AA692" s="42">
        <f>ROUND($B692*AA$657,2)</f>
        <v>0</v>
      </c>
      <c r="AB692" s="19">
        <f>SUM(U$657:AA$657)+(-V$657+V650)</f>
        <v>1.2243E-2</v>
      </c>
      <c r="AC692" s="94" t="str">
        <f>+F692</f>
        <v>PL9</v>
      </c>
    </row>
    <row r="693" spans="1:44" x14ac:dyDescent="0.2">
      <c r="A693" s="9"/>
      <c r="B693" s="97">
        <v>-1</v>
      </c>
      <c r="D693" s="87"/>
      <c r="E693" s="97"/>
      <c r="F693" s="36"/>
      <c r="G693" s="98"/>
      <c r="H693" s="19"/>
      <c r="I693" s="19"/>
      <c r="J693" s="107"/>
      <c r="K693" s="98"/>
      <c r="L693" s="98"/>
      <c r="M693" s="98"/>
      <c r="N693" s="98"/>
      <c r="O693" s="98"/>
      <c r="P693" s="98"/>
      <c r="Q693" s="98"/>
      <c r="R693" s="38" t="e">
        <f>VLOOKUP((D694),'Pwr Factor'!$A$1:$B$52,2)</f>
        <v>#N/A</v>
      </c>
      <c r="S693" s="50">
        <v>0.5</v>
      </c>
      <c r="T693" s="98"/>
      <c r="U693" s="98"/>
      <c r="V693" s="87"/>
      <c r="W693" s="98"/>
      <c r="X693" s="98"/>
      <c r="Y693" s="98"/>
      <c r="Z693" s="98"/>
      <c r="AA693" s="98"/>
      <c r="AB693" s="19"/>
      <c r="AC693" s="108"/>
    </row>
    <row r="694" spans="1:44" x14ac:dyDescent="0.2">
      <c r="A694" s="1" t="s">
        <v>139</v>
      </c>
      <c r="B694" s="103">
        <f>IF(AND('AES Indiana Bill Calc.'!$D$17="PL",'AES Indiana Bill Calc.'!$D$18="Yes 50%",'AES Indiana Bill Calc.'!$D$20="Yes 2019"),'AES Indiana Bill Calc.'!$D$19,-1)</f>
        <v>-1</v>
      </c>
      <c r="C694" s="103">
        <f>MAX(E694,$C$653)</f>
        <v>500</v>
      </c>
      <c r="D694" s="103" t="b">
        <f>IF(AND('AES Indiana Bill Calc.'!$D$17="PL",'AES Indiana Bill Calc.'!$D$18="Yes 50%",'AES Indiana Bill Calc.'!$D$20="Yes 2019"),'AES Indiana Bill Calc.'!$D$22)</f>
        <v>0</v>
      </c>
      <c r="E694" s="103" t="b">
        <f>IF(AND('AES Indiana Bill Calc.'!$D$17="PL",'AES Indiana Bill Calc.'!$D$18="Yes 50%",'AES Indiana Bill Calc.'!$D$20="Yes 2019"),'AES Indiana Bill Calc.'!$D$21)</f>
        <v>0</v>
      </c>
      <c r="F694" s="36" t="s">
        <v>205</v>
      </c>
      <c r="G694" s="42" t="e">
        <f>SUM(J694:M694,R694:AA694)</f>
        <v>#N/A</v>
      </c>
      <c r="H694" s="19" t="e">
        <f>IF(ISBLANK(B694),0,+#REF!/B694)</f>
        <v>#REF!</v>
      </c>
      <c r="I694" s="19"/>
      <c r="J694" s="88">
        <f>IF(ISBLANK(B694),0,+J$657)</f>
        <v>130</v>
      </c>
      <c r="K694" s="42">
        <f>ROUND($B694*K$657,2)</f>
        <v>-0.04</v>
      </c>
      <c r="L694" s="92">
        <f>IF($C694&gt;L$658,ROUND(L$658*L$657,2),ROUND($C694*L$657,2))</f>
        <v>14150</v>
      </c>
      <c r="M694" s="92">
        <f>IF($C694&gt;L$658,ROUND(($C694-L$658)*M$657,2),0)</f>
        <v>0</v>
      </c>
      <c r="N694" s="92">
        <f>K694</f>
        <v>-0.04</v>
      </c>
      <c r="O694" s="42"/>
      <c r="P694" s="42"/>
      <c r="Q694" s="92">
        <f>SUM(L694:M694)</f>
        <v>14150</v>
      </c>
      <c r="R694" s="82" t="e">
        <f>ROUND(SUM(K694:M694)*(R693-1),2)</f>
        <v>#N/A</v>
      </c>
      <c r="S694" s="42">
        <f>ROUND($B694*S$657*S693,2)</f>
        <v>0</v>
      </c>
      <c r="T694" s="42">
        <f>ROUND($B694*T$657,2)</f>
        <v>0</v>
      </c>
      <c r="U694" s="42">
        <f>ROUND($B694*U$657,2)</f>
        <v>0</v>
      </c>
      <c r="V694" s="87">
        <f>ROUND($B694*V$649,2)</f>
        <v>0</v>
      </c>
      <c r="W694" s="42">
        <f>ROUND($B694*W$657,2)</f>
        <v>0</v>
      </c>
      <c r="X694" s="42">
        <f>ROUND($B694*X$657,2)</f>
        <v>-0.01</v>
      </c>
      <c r="Y694" s="42">
        <f>ROUND($B694*Y$657,2)</f>
        <v>0</v>
      </c>
      <c r="Z694" s="42">
        <f>ROUND($B694*Z$657,2)</f>
        <v>0</v>
      </c>
      <c r="AA694" s="42">
        <f>ROUND($B694*AA$657,2)</f>
        <v>0</v>
      </c>
      <c r="AB694" s="19">
        <f>SUM(U$657:AA$657)+(-V$657+V652)</f>
        <v>1.2243E-2</v>
      </c>
      <c r="AC694" s="94" t="str">
        <f>+F694</f>
        <v>PL9</v>
      </c>
    </row>
    <row r="695" spans="1:44" x14ac:dyDescent="0.2">
      <c r="A695" s="9"/>
      <c r="B695" s="97">
        <v>-1</v>
      </c>
      <c r="D695" s="87"/>
      <c r="E695" s="97"/>
      <c r="F695" s="36"/>
      <c r="G695" s="98"/>
      <c r="H695" s="19"/>
      <c r="I695" s="19"/>
      <c r="J695" s="107"/>
      <c r="K695" s="98"/>
      <c r="L695" s="98"/>
      <c r="M695" s="98"/>
      <c r="N695" s="98"/>
      <c r="O695" s="98"/>
      <c r="P695" s="98"/>
      <c r="Q695" s="98"/>
      <c r="R695" s="38" t="e">
        <f>VLOOKUP((D696),'Pwr Factor'!$A$1:$B$52,2)</f>
        <v>#N/A</v>
      </c>
      <c r="S695" s="50">
        <v>0.25</v>
      </c>
      <c r="T695" s="98"/>
      <c r="U695" s="98"/>
      <c r="V695" s="87"/>
      <c r="W695" s="98"/>
      <c r="X695" s="98"/>
      <c r="Y695" s="98"/>
      <c r="Z695" s="98"/>
      <c r="AA695" s="98"/>
      <c r="AB695" s="19"/>
      <c r="AC695" s="108"/>
    </row>
    <row r="696" spans="1:44" x14ac:dyDescent="0.2">
      <c r="A696" s="1" t="s">
        <v>140</v>
      </c>
      <c r="B696" s="103">
        <f>IF(AND('AES Indiana Bill Calc.'!$D$17="PL",'AES Indiana Bill Calc.'!$D$18="Yes 25%",'AES Indiana Bill Calc.'!$D$20="Yes 2019"),'AES Indiana Bill Calc.'!$D$19,-1)</f>
        <v>-1</v>
      </c>
      <c r="C696" s="103">
        <f>MAX(E696,$C$653)</f>
        <v>500</v>
      </c>
      <c r="D696" s="103" t="b">
        <f>IF(AND('AES Indiana Bill Calc.'!$D$17="PL",'AES Indiana Bill Calc.'!$D$18="Yes 25%",'AES Indiana Bill Calc.'!$D$20="Yes 2019"),'AES Indiana Bill Calc.'!$D$22)</f>
        <v>0</v>
      </c>
      <c r="E696" s="103" t="b">
        <f>IF(AND('AES Indiana Bill Calc.'!$D$17="PL",'AES Indiana Bill Calc.'!$D$18="Yes 25%",'AES Indiana Bill Calc.'!$D$20="Yes 2019"),'AES Indiana Bill Calc.'!$D$21)</f>
        <v>0</v>
      </c>
      <c r="F696" s="36" t="s">
        <v>205</v>
      </c>
      <c r="G696" s="42" t="e">
        <f>SUM(J696:M696,R696:AA696)</f>
        <v>#N/A</v>
      </c>
      <c r="H696" s="19" t="e">
        <f>IF(ISBLANK(B696),0,+#REF!/B696)</f>
        <v>#REF!</v>
      </c>
      <c r="I696" s="19"/>
      <c r="J696" s="88">
        <f>IF(ISBLANK(B696),0,+J$657)</f>
        <v>130</v>
      </c>
      <c r="K696" s="42">
        <f>ROUND($B696*K$657,2)</f>
        <v>-0.04</v>
      </c>
      <c r="L696" s="92">
        <f>IF($C696&gt;L$658,ROUND(L$658*L$657,2),ROUND($C696*L$657,2))</f>
        <v>14150</v>
      </c>
      <c r="M696" s="92">
        <f>IF($C696&gt;L$658,ROUND(($C696-L$658)*M$657,2),0)</f>
        <v>0</v>
      </c>
      <c r="N696" s="92">
        <f>K696</f>
        <v>-0.04</v>
      </c>
      <c r="O696" s="42"/>
      <c r="P696" s="42"/>
      <c r="Q696" s="92">
        <f>SUM(L696:M696)</f>
        <v>14150</v>
      </c>
      <c r="R696" s="82" t="e">
        <f>ROUND(SUM(K696:M696)*(R695-1),2)</f>
        <v>#N/A</v>
      </c>
      <c r="S696" s="42">
        <f>ROUND($B696*S$657*S695,2)</f>
        <v>0</v>
      </c>
      <c r="T696" s="42">
        <f>ROUND($B696*T$657,2)</f>
        <v>0</v>
      </c>
      <c r="U696" s="42">
        <f>ROUND($B696*U$657,2)</f>
        <v>0</v>
      </c>
      <c r="V696" s="87">
        <f>ROUND($B696*V$649,2)</f>
        <v>0</v>
      </c>
      <c r="W696" s="42">
        <f>ROUND($B696*W$657,2)</f>
        <v>0</v>
      </c>
      <c r="X696" s="42">
        <f>ROUND($B696*X$657,2)</f>
        <v>-0.01</v>
      </c>
      <c r="Y696" s="42">
        <f>ROUND($B696*Y$657,2)</f>
        <v>0</v>
      </c>
      <c r="Z696" s="42">
        <f>ROUND($B696*Z$657,2)</f>
        <v>0</v>
      </c>
      <c r="AA696" s="42">
        <f>ROUND($B696*AA$657,2)</f>
        <v>0</v>
      </c>
      <c r="AB696" s="19">
        <f>SUM(U$657:AA$657)+(-V$657+V658)</f>
        <v>1.2243E-2</v>
      </c>
      <c r="AC696" s="94" t="str">
        <f>+F696</f>
        <v>PL9</v>
      </c>
    </row>
    <row r="697" spans="1:44" x14ac:dyDescent="0.2">
      <c r="A697" s="9"/>
      <c r="B697" s="97">
        <v>-1</v>
      </c>
      <c r="D697" s="87"/>
      <c r="E697" s="97"/>
      <c r="F697" s="36"/>
      <c r="G697" s="98"/>
      <c r="H697" s="19"/>
      <c r="I697" s="19"/>
      <c r="J697" s="107"/>
      <c r="K697" s="98"/>
      <c r="L697" s="98"/>
      <c r="M697" s="98"/>
      <c r="N697" s="98"/>
      <c r="O697" s="98"/>
      <c r="P697" s="98"/>
      <c r="Q697" s="98"/>
      <c r="R697" s="38" t="e">
        <f>VLOOKUP((D698),'Pwr Factor'!$A$1:$B$52,2)</f>
        <v>#N/A</v>
      </c>
      <c r="S697" s="50">
        <v>0.1</v>
      </c>
      <c r="T697" s="98"/>
      <c r="U697" s="98"/>
      <c r="V697" s="87"/>
      <c r="W697" s="98"/>
      <c r="X697" s="98"/>
      <c r="Y697" s="98"/>
      <c r="Z697" s="98"/>
      <c r="AA697" s="98"/>
      <c r="AB697" s="19"/>
      <c r="AC697" s="108"/>
    </row>
    <row r="698" spans="1:44" x14ac:dyDescent="0.2">
      <c r="A698" s="1" t="s">
        <v>154</v>
      </c>
      <c r="B698" s="103">
        <f>IF(AND('AES Indiana Bill Calc.'!$D$17="PL",'AES Indiana Bill Calc.'!$D$18="Yes 10%",'AES Indiana Bill Calc.'!$D$20="Yes 2019"),'AES Indiana Bill Calc.'!$D$19,-1)</f>
        <v>-1</v>
      </c>
      <c r="C698" s="103">
        <f>MAX(E698,$C$653)</f>
        <v>500</v>
      </c>
      <c r="D698" s="103" t="b">
        <f>IF(AND('AES Indiana Bill Calc.'!$D$17="PL",'AES Indiana Bill Calc.'!$D$18="Yes 10%",'AES Indiana Bill Calc.'!$D$20="Yes 2019"),'AES Indiana Bill Calc.'!$D$22)</f>
        <v>0</v>
      </c>
      <c r="E698" s="103" t="b">
        <f>IF(AND('AES Indiana Bill Calc.'!$D$17="PL",'AES Indiana Bill Calc.'!$D$18="Yes 10%",'AES Indiana Bill Calc.'!$D$20="Yes 2019"),'AES Indiana Bill Calc.'!$D$21)</f>
        <v>0</v>
      </c>
      <c r="F698" s="36" t="s">
        <v>205</v>
      </c>
      <c r="G698" s="42" t="e">
        <f>SUM(J698:M698,R698:AA698)</f>
        <v>#N/A</v>
      </c>
      <c r="H698" s="19" t="e">
        <f>IF(ISBLANK(B698),0,+#REF!/B698)</f>
        <v>#REF!</v>
      </c>
      <c r="I698" s="19"/>
      <c r="J698" s="88">
        <f>IF(ISBLANK(B698),0,+J$657)</f>
        <v>130</v>
      </c>
      <c r="K698" s="42">
        <f>ROUND($B698*K$657,2)</f>
        <v>-0.04</v>
      </c>
      <c r="L698" s="92">
        <f>IF($C698&gt;L$658,ROUND(L$658*L$657,2),ROUND($C698*L$657,2))</f>
        <v>14150</v>
      </c>
      <c r="M698" s="92">
        <f>IF($C698&gt;L$658,ROUND(($C698-L$658)*M$657,2),0)</f>
        <v>0</v>
      </c>
      <c r="N698" s="92">
        <f>K698</f>
        <v>-0.04</v>
      </c>
      <c r="O698" s="42"/>
      <c r="P698" s="42"/>
      <c r="Q698" s="92">
        <f>SUM(L698:M698)</f>
        <v>14150</v>
      </c>
      <c r="R698" s="82" t="e">
        <f>ROUND(SUM(K698:M698)*(R697-1),2)</f>
        <v>#N/A</v>
      </c>
      <c r="S698" s="42">
        <f>ROUND($B698*S$657*S697,2)</f>
        <v>0</v>
      </c>
      <c r="T698" s="42">
        <f>ROUND($B698*T$657,2)</f>
        <v>0</v>
      </c>
      <c r="U698" s="42">
        <f>ROUND($B698*U$657,2)</f>
        <v>0</v>
      </c>
      <c r="V698" s="87">
        <f>ROUND($B698*V$649,2)</f>
        <v>0</v>
      </c>
      <c r="W698" s="42">
        <f>ROUND($B698*W$657,2)</f>
        <v>0</v>
      </c>
      <c r="X698" s="42">
        <f>ROUND($B698*X$657,2)</f>
        <v>-0.01</v>
      </c>
      <c r="Y698" s="42">
        <f>ROUND($B698*Y$657,2)</f>
        <v>0</v>
      </c>
      <c r="Z698" s="42">
        <f>ROUND($B698*Z$657,2)</f>
        <v>0</v>
      </c>
      <c r="AA698" s="42">
        <f>ROUND($B698*AA$657,2)</f>
        <v>0</v>
      </c>
      <c r="AB698" s="19" t="e">
        <f>SUM(U$657:AA$657)+(-V$657+V660)</f>
        <v>#VALUE!</v>
      </c>
      <c r="AC698" s="94" t="str">
        <f>+F698</f>
        <v>PL9</v>
      </c>
    </row>
    <row r="699" spans="1:44" x14ac:dyDescent="0.2">
      <c r="A699" s="9"/>
      <c r="B699" s="97">
        <v>-1</v>
      </c>
      <c r="D699" s="87"/>
      <c r="E699" s="97"/>
      <c r="F699" s="36"/>
      <c r="G699" s="98"/>
      <c r="H699" s="19"/>
      <c r="I699" s="19"/>
      <c r="J699" s="107"/>
      <c r="K699" s="98"/>
      <c r="L699" s="98"/>
      <c r="M699" s="98"/>
      <c r="N699" s="98"/>
      <c r="O699" s="98"/>
      <c r="P699" s="98"/>
      <c r="Q699" s="98"/>
      <c r="R699" s="38" t="e">
        <f>VLOOKUP((D700),'Pwr Factor'!$A$1:$B$52,2)</f>
        <v>#N/A</v>
      </c>
      <c r="S699" s="50">
        <v>0</v>
      </c>
      <c r="T699" s="98"/>
      <c r="U699" s="98"/>
      <c r="V699" s="87"/>
      <c r="W699" s="98"/>
      <c r="X699" s="98"/>
      <c r="Y699" s="98"/>
      <c r="Z699" s="98"/>
      <c r="AA699" s="98"/>
      <c r="AB699" s="19"/>
      <c r="AC699" s="108"/>
    </row>
    <row r="700" spans="1:44" x14ac:dyDescent="0.2">
      <c r="A700" s="1" t="s">
        <v>137</v>
      </c>
      <c r="B700" s="103">
        <f>IF(AND('AES Indiana Bill Calc.'!$D$17="PL",'AES Indiana Bill Calc.'!$D$18="No",'AES Indiana Bill Calc.'!$D$20="Yes 2019"),'AES Indiana Bill Calc.'!$D$19,-1)</f>
        <v>-1</v>
      </c>
      <c r="C700" s="103">
        <f>MAX(E700,$C$653)</f>
        <v>500</v>
      </c>
      <c r="D700" s="103" t="b">
        <f>IF(AND('AES Indiana Bill Calc.'!$D$17="PL",'AES Indiana Bill Calc.'!$D$18="No",'AES Indiana Bill Calc.'!$D$20="Yes 2019"),'AES Indiana Bill Calc.'!$D$22)</f>
        <v>0</v>
      </c>
      <c r="E700" s="103" t="b">
        <f>IF(AND('AES Indiana Bill Calc.'!$D$17="PL",'AES Indiana Bill Calc.'!$D$18="No",'AES Indiana Bill Calc.'!$D$20="Yes 2019"),'AES Indiana Bill Calc.'!$D$21)</f>
        <v>0</v>
      </c>
      <c r="F700" s="36" t="s">
        <v>205</v>
      </c>
      <c r="G700" s="42" t="e">
        <f>SUM(J700:M700,R700:AA700)</f>
        <v>#N/A</v>
      </c>
      <c r="H700" s="19" t="e">
        <f>IF(ISBLANK(B700),0,+#REF!/B700)</f>
        <v>#REF!</v>
      </c>
      <c r="I700" s="19"/>
      <c r="J700" s="88">
        <f>IF(ISBLANK(B700),0,+J$657)</f>
        <v>130</v>
      </c>
      <c r="K700" s="42">
        <f>ROUND($B700*K$657,2)</f>
        <v>-0.04</v>
      </c>
      <c r="L700" s="92">
        <f>IF($C700&gt;L$658,ROUND(L$658*L$657,2),ROUND($C700*L$657,2))</f>
        <v>14150</v>
      </c>
      <c r="M700" s="92">
        <f>IF($C700&gt;L$658,ROUND(($C700-L$658)*M$657,2),0)</f>
        <v>0</v>
      </c>
      <c r="N700" s="92">
        <f>K700</f>
        <v>-0.04</v>
      </c>
      <c r="O700" s="42"/>
      <c r="P700" s="42"/>
      <c r="Q700" s="92">
        <f>SUM(L700:M700)</f>
        <v>14150</v>
      </c>
      <c r="R700" s="82" t="e">
        <f>ROUND(SUM(K700:M700)*(R699-1),2)</f>
        <v>#N/A</v>
      </c>
      <c r="S700" s="42">
        <f>ROUND($B700*S$657*S699,2)</f>
        <v>0</v>
      </c>
      <c r="T700" s="42">
        <f>ROUND($B700*T$657,2)</f>
        <v>0</v>
      </c>
      <c r="U700" s="42">
        <f>ROUND($B700*U$657,2)</f>
        <v>0</v>
      </c>
      <c r="V700" s="87">
        <f>ROUND($B700*V$649,2)</f>
        <v>0</v>
      </c>
      <c r="W700" s="42">
        <f>ROUND($B700*W$657,2)</f>
        <v>0</v>
      </c>
      <c r="X700" s="42">
        <f>ROUND($B700*X$657,2)</f>
        <v>-0.01</v>
      </c>
      <c r="Y700" s="42">
        <f>ROUND($B700*Y$657,2)</f>
        <v>0</v>
      </c>
      <c r="Z700" s="42">
        <f>ROUND($B700*Z$657,2)</f>
        <v>0</v>
      </c>
      <c r="AA700" s="42">
        <f>ROUND($B700*AA$657,2)</f>
        <v>0</v>
      </c>
      <c r="AB700" s="19">
        <f>SUM(U$657:AA$657)+(-V$657+V662)</f>
        <v>-7.7569999999999965E-3</v>
      </c>
      <c r="AC700" s="94" t="str">
        <f>+F700</f>
        <v>PL9</v>
      </c>
    </row>
    <row r="701" spans="1:44" x14ac:dyDescent="0.2">
      <c r="A701" s="53"/>
      <c r="B701" s="97">
        <v>-1</v>
      </c>
      <c r="D701" s="41"/>
      <c r="E701" s="80"/>
      <c r="F701" s="36"/>
      <c r="G701" s="42"/>
      <c r="H701" s="19"/>
      <c r="I701" s="19"/>
      <c r="J701" s="88"/>
      <c r="K701" s="42"/>
      <c r="L701" s="42"/>
      <c r="M701" s="42"/>
      <c r="N701" s="42"/>
      <c r="O701" s="42"/>
      <c r="P701" s="42"/>
      <c r="Q701" s="42"/>
      <c r="R701" s="38" t="e">
        <f>VLOOKUP((D702),'Pwr Factor'!$A$1:$B$52,2)</f>
        <v>#N/A</v>
      </c>
      <c r="S701" s="50">
        <v>1</v>
      </c>
      <c r="T701" s="42"/>
      <c r="U701" s="42"/>
      <c r="V701" s="41"/>
      <c r="W701" s="42"/>
      <c r="X701" s="42"/>
      <c r="Y701" s="42"/>
      <c r="Z701" s="42"/>
      <c r="AA701" s="42"/>
      <c r="AB701" s="19"/>
      <c r="AC701" s="67"/>
    </row>
    <row r="702" spans="1:44" s="21" customFormat="1" ht="13.5" thickBot="1" x14ac:dyDescent="0.25">
      <c r="A702" s="1" t="s">
        <v>138</v>
      </c>
      <c r="B702" s="103">
        <f>IF(AND('AES Indiana Bill Calc.'!$D$17="PL",'AES Indiana Bill Calc.'!$D$18="Yes 100%",'AES Indiana Bill Calc.'!$D$20="Yes 2020"),'AES Indiana Bill Calc.'!$D$19,-1)</f>
        <v>-1</v>
      </c>
      <c r="C702" s="103">
        <f>MAX(E702,$C$653)</f>
        <v>500</v>
      </c>
      <c r="D702" s="103" t="b">
        <f>IF(AND('AES Indiana Bill Calc.'!$D$17="PL",'AES Indiana Bill Calc.'!$D$18="Yes 100%",'AES Indiana Bill Calc.'!$D$20="Yes 2020"),'AES Indiana Bill Calc.'!$D$22)</f>
        <v>0</v>
      </c>
      <c r="E702" s="103" t="b">
        <f>IF(AND('AES Indiana Bill Calc.'!$D$17="PL",'AES Indiana Bill Calc.'!$D$18="Yes 100%",'AES Indiana Bill Calc.'!$D$20="Yes 2020"),'AES Indiana Bill Calc.'!$D$21)</f>
        <v>0</v>
      </c>
      <c r="F702" s="36" t="s">
        <v>206</v>
      </c>
      <c r="G702" s="42" t="e">
        <f>SUM(J702:M702,R702:AA702)</f>
        <v>#N/A</v>
      </c>
      <c r="H702" s="19" t="e">
        <f>IF(ISBLANK(B702),0,+#REF!/B702)</f>
        <v>#REF!</v>
      </c>
      <c r="I702" s="19"/>
      <c r="J702" s="88">
        <f>IF(ISBLANK(B702),0,+J$657)</f>
        <v>130</v>
      </c>
      <c r="K702" s="42">
        <f>ROUND($B702*K$657,2)</f>
        <v>-0.04</v>
      </c>
      <c r="L702" s="92">
        <f>IF($C702&gt;L$658,ROUND(L$658*L$657,2),ROUND($C702*L$657,2))</f>
        <v>14150</v>
      </c>
      <c r="M702" s="92">
        <f>IF($C702&gt;L$658,ROUND(($C702-L$658)*M$657,2),0)</f>
        <v>0</v>
      </c>
      <c r="N702" s="92">
        <f>K702</f>
        <v>-0.04</v>
      </c>
      <c r="O702" s="42"/>
      <c r="P702" s="42"/>
      <c r="Q702" s="92">
        <f>SUM(L702:M702)</f>
        <v>14150</v>
      </c>
      <c r="R702" s="82" t="e">
        <f>ROUND(SUM(K702:M702)*(R701-1),2)</f>
        <v>#N/A</v>
      </c>
      <c r="S702" s="42">
        <f>ROUND($B702*S$657*S701,2)</f>
        <v>0</v>
      </c>
      <c r="T702" s="42">
        <f>ROUND($B702*T$657,2)</f>
        <v>0</v>
      </c>
      <c r="U702" s="42">
        <f>ROUND($B702*U$657,2)</f>
        <v>0</v>
      </c>
      <c r="V702" s="41">
        <f>ROUND($B702*V$650,2)</f>
        <v>0</v>
      </c>
      <c r="W702" s="42">
        <f>ROUND($B702*W$657,2)</f>
        <v>0</v>
      </c>
      <c r="X702" s="42">
        <f>ROUND($B702*X$657,2)</f>
        <v>-0.01</v>
      </c>
      <c r="Y702" s="42">
        <f>ROUND($B702*Y$657,2)</f>
        <v>0</v>
      </c>
      <c r="Z702" s="42">
        <f>ROUND($B702*Z$657,2)</f>
        <v>0</v>
      </c>
      <c r="AA702" s="42">
        <f>ROUND($B702*AA$657,2)</f>
        <v>0</v>
      </c>
      <c r="AB702" s="19">
        <f>SUM(U$657:AA$657)+(-V$657+V650)</f>
        <v>1.2243E-2</v>
      </c>
      <c r="AC702" s="94" t="str">
        <f>+F702</f>
        <v>PL0</v>
      </c>
      <c r="AD702"/>
      <c r="AE702"/>
      <c r="AF702"/>
      <c r="AG702"/>
      <c r="AH702"/>
      <c r="AI702"/>
      <c r="AJ702"/>
      <c r="AK702"/>
      <c r="AL702"/>
      <c r="AM702"/>
      <c r="AN702"/>
      <c r="AO702"/>
      <c r="AP702"/>
      <c r="AQ702"/>
      <c r="AR702"/>
    </row>
    <row r="703" spans="1:44" x14ac:dyDescent="0.2">
      <c r="A703" s="9"/>
      <c r="B703" s="97">
        <v>-1</v>
      </c>
      <c r="D703" s="41"/>
      <c r="E703" s="80"/>
      <c r="F703" s="36"/>
      <c r="G703" s="42"/>
      <c r="H703" s="19"/>
      <c r="I703" s="19"/>
      <c r="J703" s="88"/>
      <c r="K703" s="42"/>
      <c r="L703" s="42"/>
      <c r="M703" s="42"/>
      <c r="N703" s="42"/>
      <c r="O703" s="42"/>
      <c r="P703" s="42"/>
      <c r="Q703" s="42"/>
      <c r="R703" s="38" t="e">
        <f>VLOOKUP((D704),'Pwr Factor'!$A$1:$B$52,2)</f>
        <v>#N/A</v>
      </c>
      <c r="S703" s="50">
        <v>0.5</v>
      </c>
      <c r="T703" s="42"/>
      <c r="U703" s="42"/>
      <c r="V703" s="41"/>
      <c r="W703" s="42"/>
      <c r="X703" s="42"/>
      <c r="Y703" s="42"/>
      <c r="Z703" s="42"/>
      <c r="AA703" s="42"/>
      <c r="AB703" s="19"/>
      <c r="AC703" s="67"/>
    </row>
    <row r="704" spans="1:44" x14ac:dyDescent="0.2">
      <c r="A704" s="1" t="s">
        <v>139</v>
      </c>
      <c r="B704" s="103">
        <f>IF(AND('AES Indiana Bill Calc.'!$D$17="PL",'AES Indiana Bill Calc.'!$D$18="Yes 50%",'AES Indiana Bill Calc.'!$D$20="Yes 2020"),'AES Indiana Bill Calc.'!$D$19,-1)</f>
        <v>-1</v>
      </c>
      <c r="C704" s="103">
        <f>MAX(E704,$C$653)</f>
        <v>500</v>
      </c>
      <c r="D704" s="103" t="b">
        <f>IF(AND('AES Indiana Bill Calc.'!$D$17="PL",'AES Indiana Bill Calc.'!$D$18="Yes 50%",'AES Indiana Bill Calc.'!$D$20="Yes 2020"),'AES Indiana Bill Calc.'!$D$22)</f>
        <v>0</v>
      </c>
      <c r="E704" s="103" t="b">
        <f>IF(AND('AES Indiana Bill Calc.'!$D$17="PL",'AES Indiana Bill Calc.'!$D$18="Yes 50%",'AES Indiana Bill Calc.'!$D$20="Yes 2020"),'AES Indiana Bill Calc.'!$D$21)</f>
        <v>0</v>
      </c>
      <c r="F704" s="36" t="s">
        <v>206</v>
      </c>
      <c r="G704" s="42" t="e">
        <f>SUM(J704:M704,R704:AA704)</f>
        <v>#N/A</v>
      </c>
      <c r="H704" s="19" t="e">
        <f>IF(ISBLANK(B704),0,+#REF!/B704)</f>
        <v>#REF!</v>
      </c>
      <c r="I704" s="19"/>
      <c r="J704" s="88">
        <f>IF(ISBLANK(B704),0,+J$657)</f>
        <v>130</v>
      </c>
      <c r="K704" s="42">
        <f>ROUND($B704*K$657,2)</f>
        <v>-0.04</v>
      </c>
      <c r="L704" s="92">
        <f>IF($C704&gt;L$658,ROUND(L$658*L$657,2),ROUND($C704*L$657,2))</f>
        <v>14150</v>
      </c>
      <c r="M704" s="92">
        <f>IF($C704&gt;L$658,ROUND(($C704-L$658)*M$657,2),0)</f>
        <v>0</v>
      </c>
      <c r="N704" s="92">
        <f>K704</f>
        <v>-0.04</v>
      </c>
      <c r="O704" s="42"/>
      <c r="P704" s="42"/>
      <c r="Q704" s="92">
        <f>SUM(L704:M704)</f>
        <v>14150</v>
      </c>
      <c r="R704" s="82" t="e">
        <f>ROUND(SUM(K704:M704)*(R703-1),2)</f>
        <v>#N/A</v>
      </c>
      <c r="S704" s="42">
        <f>ROUND($B704*S$657*S703,2)</f>
        <v>0</v>
      </c>
      <c r="T704" s="42">
        <f>ROUND($B704*T$657,2)</f>
        <v>0</v>
      </c>
      <c r="U704" s="42">
        <f>ROUND($B704*U$657,2)</f>
        <v>0</v>
      </c>
      <c r="V704" s="41">
        <f>ROUND($B704*V$650,2)</f>
        <v>0</v>
      </c>
      <c r="W704" s="42">
        <f>ROUND($B704*W$657,2)</f>
        <v>0</v>
      </c>
      <c r="X704" s="42">
        <f>ROUND($B704*X$657,2)</f>
        <v>-0.01</v>
      </c>
      <c r="Y704" s="42">
        <f>ROUND($B704*Y$657,2)</f>
        <v>0</v>
      </c>
      <c r="Z704" s="42">
        <f>ROUND($B704*Z$657,2)</f>
        <v>0</v>
      </c>
      <c r="AA704" s="42">
        <f>ROUND($B704*AA$657,2)</f>
        <v>0</v>
      </c>
      <c r="AB704" s="19">
        <f>SUM(U$657:AA$657)+(-V$657+V652)</f>
        <v>1.2243E-2</v>
      </c>
      <c r="AC704" s="94" t="str">
        <f>+F704</f>
        <v>PL0</v>
      </c>
    </row>
    <row r="705" spans="1:29" x14ac:dyDescent="0.2">
      <c r="A705" s="9"/>
      <c r="B705" s="97">
        <v>-1</v>
      </c>
      <c r="D705" s="41"/>
      <c r="E705" s="80"/>
      <c r="F705" s="36"/>
      <c r="G705" s="42"/>
      <c r="H705" s="19"/>
      <c r="I705" s="19"/>
      <c r="J705" s="88"/>
      <c r="K705" s="42"/>
      <c r="L705" s="42"/>
      <c r="M705" s="42"/>
      <c r="N705" s="42"/>
      <c r="O705" s="42"/>
      <c r="P705" s="42"/>
      <c r="Q705" s="42"/>
      <c r="R705" s="38" t="e">
        <f>VLOOKUP((D706),'Pwr Factor'!$A$1:$B$52,2)</f>
        <v>#N/A</v>
      </c>
      <c r="S705" s="50">
        <v>0.25</v>
      </c>
      <c r="T705" s="42"/>
      <c r="U705" s="42"/>
      <c r="V705" s="41"/>
      <c r="W705" s="42"/>
      <c r="X705" s="42"/>
      <c r="Y705" s="42"/>
      <c r="Z705" s="42"/>
      <c r="AA705" s="42"/>
      <c r="AB705" s="19"/>
      <c r="AC705" s="67"/>
    </row>
    <row r="706" spans="1:29" x14ac:dyDescent="0.2">
      <c r="A706" s="1" t="s">
        <v>140</v>
      </c>
      <c r="B706" s="103">
        <f>IF(AND('AES Indiana Bill Calc.'!$D$17="PL",'AES Indiana Bill Calc.'!$D$18="Yes 25%",'AES Indiana Bill Calc.'!$D$20="Yes 2020"),'AES Indiana Bill Calc.'!$D$19,-1)</f>
        <v>-1</v>
      </c>
      <c r="C706" s="103">
        <f>MAX(E706,$C$653)</f>
        <v>500</v>
      </c>
      <c r="D706" s="103" t="b">
        <f>IF(AND('AES Indiana Bill Calc.'!$D$17="PL",'AES Indiana Bill Calc.'!$D$18="Yes 25%",'AES Indiana Bill Calc.'!$D$20="Yes 2020"),'AES Indiana Bill Calc.'!$D$22)</f>
        <v>0</v>
      </c>
      <c r="E706" s="103" t="b">
        <f>IF(AND('AES Indiana Bill Calc.'!$D$17="PL",'AES Indiana Bill Calc.'!$D$18="Yes 25%",'AES Indiana Bill Calc.'!$D$20="Yes 2020"),'AES Indiana Bill Calc.'!$D$21)</f>
        <v>0</v>
      </c>
      <c r="F706" s="36" t="s">
        <v>206</v>
      </c>
      <c r="G706" s="42" t="e">
        <f>SUM(J706:M706,R706:AA706)</f>
        <v>#N/A</v>
      </c>
      <c r="H706" s="19" t="e">
        <f>IF(ISBLANK(B706),0,+#REF!/B706)</f>
        <v>#REF!</v>
      </c>
      <c r="I706" s="19"/>
      <c r="J706" s="88">
        <f>IF(ISBLANK(B706),0,+J$657)</f>
        <v>130</v>
      </c>
      <c r="K706" s="42">
        <f>ROUND($B706*K$657,2)</f>
        <v>-0.04</v>
      </c>
      <c r="L706" s="92">
        <f>IF($C706&gt;L$658,ROUND(L$658*L$657,2),ROUND($C706*L$657,2))</f>
        <v>14150</v>
      </c>
      <c r="M706" s="92">
        <f>IF($C706&gt;L$658,ROUND(($C706-L$658)*M$657,2),0)</f>
        <v>0</v>
      </c>
      <c r="N706" s="92">
        <f>K706</f>
        <v>-0.04</v>
      </c>
      <c r="O706" s="42"/>
      <c r="P706" s="42"/>
      <c r="Q706" s="92">
        <f>SUM(L706:M706)</f>
        <v>14150</v>
      </c>
      <c r="R706" s="82" t="e">
        <f>ROUND(SUM(K706:M706)*(R705-1),2)</f>
        <v>#N/A</v>
      </c>
      <c r="S706" s="42">
        <f>ROUND($B706*S$657*S705,2)</f>
        <v>0</v>
      </c>
      <c r="T706" s="42">
        <f>ROUND($B706*T$657,2)</f>
        <v>0</v>
      </c>
      <c r="U706" s="42">
        <f>ROUND($B706*U$657,2)</f>
        <v>0</v>
      </c>
      <c r="V706" s="41">
        <f>ROUND($B706*V$650,2)</f>
        <v>0</v>
      </c>
      <c r="W706" s="42">
        <f>ROUND($B706*W$657,2)</f>
        <v>0</v>
      </c>
      <c r="X706" s="42">
        <f>ROUND($B706*X$657,2)</f>
        <v>-0.01</v>
      </c>
      <c r="Y706" s="42">
        <f>ROUND($B706*Y$657,2)</f>
        <v>0</v>
      </c>
      <c r="Z706" s="42">
        <f>ROUND($B706*Z$657,2)</f>
        <v>0</v>
      </c>
      <c r="AA706" s="42">
        <f>ROUND($B706*AA$657,2)</f>
        <v>0</v>
      </c>
      <c r="AB706" s="19">
        <f>SUM(U$657:AA$657)+(-V$657+V658)</f>
        <v>1.2243E-2</v>
      </c>
      <c r="AC706" s="94" t="str">
        <f>+F706</f>
        <v>PL0</v>
      </c>
    </row>
    <row r="707" spans="1:29" x14ac:dyDescent="0.2">
      <c r="A707" s="9"/>
      <c r="B707" s="97">
        <v>-1</v>
      </c>
      <c r="D707" s="41"/>
      <c r="E707" s="80"/>
      <c r="F707" s="36"/>
      <c r="G707" s="42"/>
      <c r="H707" s="19"/>
      <c r="I707" s="19"/>
      <c r="J707" s="88"/>
      <c r="K707" s="42"/>
      <c r="L707" s="42"/>
      <c r="M707" s="42"/>
      <c r="N707" s="42"/>
      <c r="O707" s="42"/>
      <c r="P707" s="42"/>
      <c r="Q707" s="42"/>
      <c r="R707" s="38" t="e">
        <f>VLOOKUP((D708),'Pwr Factor'!$A$1:$B$52,2)</f>
        <v>#N/A</v>
      </c>
      <c r="S707" s="50">
        <v>0.1</v>
      </c>
      <c r="T707" s="42"/>
      <c r="U707" s="42"/>
      <c r="V707" s="41"/>
      <c r="W707" s="42"/>
      <c r="X707" s="42"/>
      <c r="Y707" s="42"/>
      <c r="Z707" s="42"/>
      <c r="AA707" s="42"/>
      <c r="AB707" s="19"/>
      <c r="AC707" s="67"/>
    </row>
    <row r="708" spans="1:29" x14ac:dyDescent="0.2">
      <c r="A708" s="1" t="s">
        <v>154</v>
      </c>
      <c r="B708" s="103">
        <f>IF(AND('AES Indiana Bill Calc.'!$D$17="PL",'AES Indiana Bill Calc.'!$D$18="Yes 10%",'AES Indiana Bill Calc.'!$D$20="Yes 2020"),'AES Indiana Bill Calc.'!$D$19,-1)</f>
        <v>-1</v>
      </c>
      <c r="C708" s="103">
        <f>MAX(E708,$C$653)</f>
        <v>500</v>
      </c>
      <c r="D708" s="103" t="b">
        <f>IF(AND('AES Indiana Bill Calc.'!$D$17="PL",'AES Indiana Bill Calc.'!$D$18="Yes 10%",'AES Indiana Bill Calc.'!$D$20="Yes 2020"),'AES Indiana Bill Calc.'!$D$22)</f>
        <v>0</v>
      </c>
      <c r="E708" s="103" t="b">
        <f>IF(AND('AES Indiana Bill Calc.'!$D$17="PL",'AES Indiana Bill Calc.'!$D$18="Yes 10%",'AES Indiana Bill Calc.'!$D$20="Yes 2020"),'AES Indiana Bill Calc.'!$D$21)</f>
        <v>0</v>
      </c>
      <c r="F708" s="36" t="s">
        <v>206</v>
      </c>
      <c r="G708" s="42" t="e">
        <f>SUM(J708:M708,R708:AA708)</f>
        <v>#N/A</v>
      </c>
      <c r="H708" s="19" t="e">
        <f>IF(ISBLANK(B708),0,+#REF!/B708)</f>
        <v>#REF!</v>
      </c>
      <c r="I708" s="19"/>
      <c r="J708" s="88">
        <f>IF(ISBLANK(B708),0,+J$657)</f>
        <v>130</v>
      </c>
      <c r="K708" s="42">
        <f>ROUND($B708*K$657,2)</f>
        <v>-0.04</v>
      </c>
      <c r="L708" s="92">
        <f>IF($C708&gt;L$658,ROUND(L$658*L$657,2),ROUND($C708*L$657,2))</f>
        <v>14150</v>
      </c>
      <c r="M708" s="92">
        <f>IF($C708&gt;L$658,ROUND(($C708-L$658)*M$657,2),0)</f>
        <v>0</v>
      </c>
      <c r="N708" s="92">
        <f>K708</f>
        <v>-0.04</v>
      </c>
      <c r="O708" s="42"/>
      <c r="P708" s="42"/>
      <c r="Q708" s="92">
        <f>SUM(L708:M708)</f>
        <v>14150</v>
      </c>
      <c r="R708" s="82" t="e">
        <f>ROUND(SUM(K708:M708)*(R707-1),2)</f>
        <v>#N/A</v>
      </c>
      <c r="S708" s="42">
        <f>ROUND($B708*S$657*S707,2)</f>
        <v>0</v>
      </c>
      <c r="T708" s="42">
        <f>ROUND($B708*T$657,2)</f>
        <v>0</v>
      </c>
      <c r="U708" s="42">
        <f>ROUND($B708*U$657,2)</f>
        <v>0</v>
      </c>
      <c r="V708" s="41">
        <f>ROUND($B708*V$650,2)</f>
        <v>0</v>
      </c>
      <c r="W708" s="42">
        <f>ROUND($B708*W$657,2)</f>
        <v>0</v>
      </c>
      <c r="X708" s="42">
        <f>ROUND($B708*X$657,2)</f>
        <v>-0.01</v>
      </c>
      <c r="Y708" s="42">
        <f>ROUND($B708*Y$657,2)</f>
        <v>0</v>
      </c>
      <c r="Z708" s="42">
        <f>ROUND($B708*Z$657,2)</f>
        <v>0</v>
      </c>
      <c r="AA708" s="42">
        <f>ROUND($B708*AA$657,2)</f>
        <v>0</v>
      </c>
      <c r="AB708" s="19" t="e">
        <f>SUM(U$657:AA$657)+(-V$657+V660)</f>
        <v>#VALUE!</v>
      </c>
      <c r="AC708" s="94" t="str">
        <f>+F708</f>
        <v>PL0</v>
      </c>
    </row>
    <row r="709" spans="1:29" x14ac:dyDescent="0.2">
      <c r="A709" s="9"/>
      <c r="B709" s="97">
        <v>-1</v>
      </c>
      <c r="D709" s="41"/>
      <c r="E709" s="80"/>
      <c r="F709" s="36"/>
      <c r="G709" s="42"/>
      <c r="H709" s="19"/>
      <c r="I709" s="19"/>
      <c r="J709" s="88"/>
      <c r="K709" s="42"/>
      <c r="L709" s="42"/>
      <c r="M709" s="42"/>
      <c r="N709" s="42"/>
      <c r="O709" s="42"/>
      <c r="P709" s="42"/>
      <c r="Q709" s="42"/>
      <c r="R709" s="38" t="e">
        <f>VLOOKUP((D710),'Pwr Factor'!$A$1:$B$52,2)</f>
        <v>#N/A</v>
      </c>
      <c r="S709" s="50">
        <v>0</v>
      </c>
      <c r="T709" s="42"/>
      <c r="U709" s="42"/>
      <c r="V709" s="41"/>
      <c r="W709" s="42"/>
      <c r="X709" s="42"/>
      <c r="Y709" s="42"/>
      <c r="Z709" s="42"/>
      <c r="AA709" s="42"/>
      <c r="AB709" s="19"/>
      <c r="AC709" s="67"/>
    </row>
    <row r="710" spans="1:29" x14ac:dyDescent="0.2">
      <c r="A710" s="1" t="s">
        <v>137</v>
      </c>
      <c r="B710" s="103">
        <f>IF(AND('AES Indiana Bill Calc.'!$D$17="PL",'AES Indiana Bill Calc.'!$D$18="No",'AES Indiana Bill Calc.'!$D$20="Yes 2020"),'AES Indiana Bill Calc.'!$D$19,-1)</f>
        <v>-1</v>
      </c>
      <c r="C710" s="103">
        <f>MAX(E710,$C$653)</f>
        <v>500</v>
      </c>
      <c r="D710" s="103" t="b">
        <f>IF(AND('AES Indiana Bill Calc.'!$D$17="PL",'AES Indiana Bill Calc.'!$D$18="No",'AES Indiana Bill Calc.'!$D$20="Yes 2020"),'AES Indiana Bill Calc.'!$D$22)</f>
        <v>0</v>
      </c>
      <c r="E710" s="103" t="b">
        <f>IF(AND('AES Indiana Bill Calc.'!$D$17="PL",'AES Indiana Bill Calc.'!$D$18="No",'AES Indiana Bill Calc.'!$D$20="Yes 2020"),'AES Indiana Bill Calc.'!$D$21)</f>
        <v>0</v>
      </c>
      <c r="F710" s="36" t="s">
        <v>206</v>
      </c>
      <c r="G710" s="42" t="e">
        <f>SUM(J710:M710,R710:AA710)</f>
        <v>#N/A</v>
      </c>
      <c r="H710" s="19" t="e">
        <f>IF(ISBLANK(B710),0,+#REF!/B710)</f>
        <v>#REF!</v>
      </c>
      <c r="I710" s="19"/>
      <c r="J710" s="88">
        <f>IF(ISBLANK(B710),0,+J$657)</f>
        <v>130</v>
      </c>
      <c r="K710" s="42">
        <f>ROUND($B710*K$657,2)</f>
        <v>-0.04</v>
      </c>
      <c r="L710" s="92">
        <f>IF($C710&gt;L$658,ROUND(L$658*L$657,2),ROUND($C710*L$657,2))</f>
        <v>14150</v>
      </c>
      <c r="M710" s="92">
        <f>IF($C710&gt;L$658,ROUND(($C710-L$658)*M$657,2),0)</f>
        <v>0</v>
      </c>
      <c r="N710" s="92">
        <f>K710</f>
        <v>-0.04</v>
      </c>
      <c r="O710" s="42"/>
      <c r="P710" s="42"/>
      <c r="Q710" s="92">
        <f>SUM(L710:M710)</f>
        <v>14150</v>
      </c>
      <c r="R710" s="82" t="e">
        <f>ROUND(SUM(K710:M710)*(R709-1),2)</f>
        <v>#N/A</v>
      </c>
      <c r="S710" s="42">
        <f>ROUND($B710*S$657*S709,2)</f>
        <v>0</v>
      </c>
      <c r="T710" s="42">
        <f>ROUND($B710*T$657,2)</f>
        <v>0</v>
      </c>
      <c r="U710" s="42">
        <f>ROUND($B710*U$657,2)</f>
        <v>0</v>
      </c>
      <c r="V710" s="41">
        <f>ROUND($B710*V$650,2)</f>
        <v>0</v>
      </c>
      <c r="W710" s="42">
        <f>ROUND($B710*W$657,2)</f>
        <v>0</v>
      </c>
      <c r="X710" s="42">
        <f>ROUND($B710*X$657,2)</f>
        <v>-0.01</v>
      </c>
      <c r="Y710" s="42">
        <f>ROUND($B710*Y$657,2)</f>
        <v>0</v>
      </c>
      <c r="Z710" s="42">
        <f>ROUND($B710*Z$657,2)</f>
        <v>0</v>
      </c>
      <c r="AA710" s="42">
        <f>ROUND($B710*AA$657,2)</f>
        <v>0</v>
      </c>
      <c r="AB710" s="19">
        <f>SUM(U$657:AA$657)+(-V$657+V662)</f>
        <v>-7.7569999999999965E-3</v>
      </c>
      <c r="AC710" s="94" t="str">
        <f>+F710</f>
        <v>PL0</v>
      </c>
    </row>
    <row r="711" spans="1:29" x14ac:dyDescent="0.2">
      <c r="B711" s="97">
        <v>-1</v>
      </c>
      <c r="D711" s="41"/>
      <c r="E711" s="80"/>
      <c r="F711" s="36"/>
      <c r="G711" s="42"/>
      <c r="H711" s="19"/>
      <c r="I711" s="19"/>
      <c r="J711" s="88"/>
      <c r="K711" s="42"/>
      <c r="L711" s="42"/>
      <c r="M711" s="42"/>
      <c r="N711" s="42"/>
      <c r="O711" s="42"/>
      <c r="P711" s="42"/>
      <c r="Q711" s="42"/>
      <c r="R711" s="38" t="e">
        <f>VLOOKUP((D712),'Pwr Factor'!$A$1:$B$52,2)</f>
        <v>#N/A</v>
      </c>
      <c r="S711" s="50">
        <v>1</v>
      </c>
      <c r="T711" s="42"/>
      <c r="U711" s="42"/>
      <c r="V711" s="41"/>
      <c r="W711" s="42"/>
      <c r="X711" s="42"/>
      <c r="Y711" s="42"/>
      <c r="Z711" s="42"/>
      <c r="AA711" s="42"/>
      <c r="AB711" s="19"/>
      <c r="AC711" s="94"/>
    </row>
    <row r="712" spans="1:29" x14ac:dyDescent="0.2">
      <c r="A712" s="1" t="s">
        <v>138</v>
      </c>
      <c r="B712" s="103">
        <f>IF(AND('AES Indiana Bill Calc.'!$D$17="PL",'AES Indiana Bill Calc.'!$D$18="Yes 100%",'AES Indiana Bill Calc.'!$D$20="Yes 2021"),'AES Indiana Bill Calc.'!$D$19,-1)</f>
        <v>-1</v>
      </c>
      <c r="C712" s="103">
        <f>MAX(E712,$C$653)</f>
        <v>500</v>
      </c>
      <c r="D712" s="103" t="b">
        <f>IF(AND('AES Indiana Bill Calc.'!$D$17="PL",'AES Indiana Bill Calc.'!$D$18="Yes 100%",'AES Indiana Bill Calc.'!$D$20="Yes 2021"),'AES Indiana Bill Calc.'!$D$22)</f>
        <v>0</v>
      </c>
      <c r="E712" s="103" t="b">
        <f>IF(AND('AES Indiana Bill Calc.'!$D$17="PL",'AES Indiana Bill Calc.'!$D$18="Yes 100%",'AES Indiana Bill Calc.'!$D$20="Yes 2021"),'AES Indiana Bill Calc.'!$D$21)</f>
        <v>0</v>
      </c>
      <c r="F712" s="36" t="s">
        <v>207</v>
      </c>
      <c r="G712" s="42" t="e">
        <f>SUM(J712:M712,R712:AA712)</f>
        <v>#N/A</v>
      </c>
      <c r="H712" s="19" t="e">
        <f>IF(ISBLANK(B712),0,+#REF!/B712)</f>
        <v>#REF!</v>
      </c>
      <c r="I712" s="19"/>
      <c r="J712" s="88">
        <f>IF(ISBLANK(B712),0,+J$657)</f>
        <v>130</v>
      </c>
      <c r="K712" s="42">
        <f>ROUND($B712*K$657,2)</f>
        <v>-0.04</v>
      </c>
      <c r="L712" s="92">
        <f>IF($C712&gt;L$658,ROUND(L$658*L$657,2),ROUND($C712*L$657,2))</f>
        <v>14150</v>
      </c>
      <c r="M712" s="92">
        <f>IF($C712&gt;L$658,ROUND(($C712-L$658)*M$657,2),0)</f>
        <v>0</v>
      </c>
      <c r="N712" s="92">
        <f>K712</f>
        <v>-0.04</v>
      </c>
      <c r="O712" s="42"/>
      <c r="P712" s="42"/>
      <c r="Q712" s="92">
        <f>SUM(L712:M712)</f>
        <v>14150</v>
      </c>
      <c r="R712" s="82" t="e">
        <f>ROUND(SUM(K712:M712)*(R711-1),2)</f>
        <v>#N/A</v>
      </c>
      <c r="S712" s="42">
        <f>ROUND($B712*S$657*S711,2)</f>
        <v>0</v>
      </c>
      <c r="T712" s="42">
        <f>ROUND($B712*T$657,2)</f>
        <v>0</v>
      </c>
      <c r="U712" s="42">
        <f>ROUND($B712*U$657,2)</f>
        <v>0</v>
      </c>
      <c r="V712" s="41">
        <f>ROUND($B712*V$651,2)</f>
        <v>0</v>
      </c>
      <c r="W712" s="42">
        <f>ROUND($B712*W$657,2)</f>
        <v>0</v>
      </c>
      <c r="X712" s="42">
        <f>ROUND($B712*X$657,2)</f>
        <v>-0.01</v>
      </c>
      <c r="Y712" s="42">
        <f>ROUND($B712*Y$657,2)</f>
        <v>0</v>
      </c>
      <c r="Z712" s="42">
        <f>ROUND($B712*Z$657,2)</f>
        <v>0</v>
      </c>
      <c r="AA712" s="42">
        <f>ROUND($B712*AA$657,2)</f>
        <v>0</v>
      </c>
      <c r="AB712" s="19">
        <f>SUM(U$657:AA$657)+(-V$657+V657)</f>
        <v>2.7333E-2</v>
      </c>
      <c r="AC712" s="94" t="str">
        <f>+F712</f>
        <v>PL1</v>
      </c>
    </row>
    <row r="713" spans="1:29" x14ac:dyDescent="0.2">
      <c r="A713" s="9"/>
      <c r="B713" s="97">
        <v>-1</v>
      </c>
      <c r="D713" s="41"/>
      <c r="E713" s="80"/>
      <c r="F713" s="36"/>
      <c r="G713" s="42"/>
      <c r="H713" s="19"/>
      <c r="I713" s="19"/>
      <c r="J713" s="88"/>
      <c r="K713" s="42"/>
      <c r="L713" s="42"/>
      <c r="M713" s="42"/>
      <c r="N713" s="42"/>
      <c r="O713" s="42"/>
      <c r="P713" s="42"/>
      <c r="Q713" s="42"/>
      <c r="R713" s="38" t="e">
        <f>VLOOKUP((D714),'Pwr Factor'!$A$1:$B$52,2)</f>
        <v>#N/A</v>
      </c>
      <c r="S713" s="50">
        <v>0.5</v>
      </c>
      <c r="T713" s="42"/>
      <c r="U713" s="42"/>
      <c r="V713" s="41"/>
      <c r="W713" s="42"/>
      <c r="X713" s="42"/>
      <c r="Y713" s="42"/>
      <c r="Z713" s="42"/>
      <c r="AA713" s="42"/>
      <c r="AB713" s="19"/>
      <c r="AC713" s="94"/>
    </row>
    <row r="714" spans="1:29" x14ac:dyDescent="0.2">
      <c r="A714" s="1" t="s">
        <v>139</v>
      </c>
      <c r="B714" s="103">
        <f>IF(AND('AES Indiana Bill Calc.'!$D$17="PL",'AES Indiana Bill Calc.'!$D$18="Yes 50%",'AES Indiana Bill Calc.'!$D$20="Yes 2021"),'AES Indiana Bill Calc.'!$D$19,-1)</f>
        <v>-1</v>
      </c>
      <c r="C714" s="103">
        <f>MAX(E714,$C$653)</f>
        <v>500</v>
      </c>
      <c r="D714" s="103" t="b">
        <f>IF(AND('AES Indiana Bill Calc.'!$D$17="PL",'AES Indiana Bill Calc.'!$D$18="Yes 50%",'AES Indiana Bill Calc.'!$D$20="Yes 2021"),'AES Indiana Bill Calc.'!$D$22)</f>
        <v>0</v>
      </c>
      <c r="E714" s="103" t="b">
        <f>IF(AND('AES Indiana Bill Calc.'!$D$17="PL",'AES Indiana Bill Calc.'!$D$18="Yes 50%",'AES Indiana Bill Calc.'!$D$20="Yes 2021"),'AES Indiana Bill Calc.'!$D$21)</f>
        <v>0</v>
      </c>
      <c r="F714" s="36" t="s">
        <v>207</v>
      </c>
      <c r="G714" s="42" t="e">
        <f>SUM(J714:M714,R714:AA714)</f>
        <v>#N/A</v>
      </c>
      <c r="H714" s="19" t="e">
        <f>IF(ISBLANK(B714),0,+#REF!/B714)</f>
        <v>#REF!</v>
      </c>
      <c r="I714" s="19"/>
      <c r="J714" s="88">
        <f>IF(ISBLANK(B714),0,+J$657)</f>
        <v>130</v>
      </c>
      <c r="K714" s="42">
        <f>ROUND($B714*K$657,2)</f>
        <v>-0.04</v>
      </c>
      <c r="L714" s="92">
        <f>IF($C714&gt;L$658,ROUND(L$658*L$657,2),ROUND($C714*L$657,2))</f>
        <v>14150</v>
      </c>
      <c r="M714" s="92">
        <f>IF($C714&gt;L$658,ROUND(($C714-L$658)*M$657,2),0)</f>
        <v>0</v>
      </c>
      <c r="N714" s="92">
        <f>K714</f>
        <v>-0.04</v>
      </c>
      <c r="O714" s="42"/>
      <c r="P714" s="42"/>
      <c r="Q714" s="92">
        <f>SUM(L714:M714)</f>
        <v>14150</v>
      </c>
      <c r="R714" s="82" t="e">
        <f>ROUND(SUM(K714:M714)*(R713-1),2)</f>
        <v>#N/A</v>
      </c>
      <c r="S714" s="42">
        <f>ROUND($B714*S$657*S713,2)</f>
        <v>0</v>
      </c>
      <c r="T714" s="42">
        <f>ROUND($B714*T$657,2)</f>
        <v>0</v>
      </c>
      <c r="U714" s="42">
        <f>ROUND($B714*U$657,2)</f>
        <v>0</v>
      </c>
      <c r="V714" s="41">
        <f>ROUND($B714*V$651,2)</f>
        <v>0</v>
      </c>
      <c r="W714" s="42">
        <f>ROUND($B714*W$657,2)</f>
        <v>0</v>
      </c>
      <c r="X714" s="42">
        <f>ROUND($B714*X$657,2)</f>
        <v>-0.01</v>
      </c>
      <c r="Y714" s="42">
        <f>ROUND($B714*Y$657,2)</f>
        <v>0</v>
      </c>
      <c r="Z714" s="42">
        <f>ROUND($B714*Z$657,2)</f>
        <v>0</v>
      </c>
      <c r="AA714" s="42">
        <f>ROUND($B714*AA$657,2)</f>
        <v>0</v>
      </c>
      <c r="AB714" s="19">
        <f>SUM(U$657:AA$657)+(-V$657+V659)</f>
        <v>22.012242999999998</v>
      </c>
      <c r="AC714" s="94" t="str">
        <f>+F714</f>
        <v>PL1</v>
      </c>
    </row>
    <row r="715" spans="1:29" x14ac:dyDescent="0.2">
      <c r="A715" s="9"/>
      <c r="B715" s="97">
        <v>-1</v>
      </c>
      <c r="D715" s="41"/>
      <c r="E715" s="80"/>
      <c r="F715" s="36"/>
      <c r="G715" s="42"/>
      <c r="H715" s="19"/>
      <c r="I715" s="19"/>
      <c r="J715" s="88"/>
      <c r="K715" s="42"/>
      <c r="L715" s="42"/>
      <c r="M715" s="42"/>
      <c r="N715" s="42"/>
      <c r="O715" s="42"/>
      <c r="P715" s="42"/>
      <c r="Q715" s="42"/>
      <c r="R715" s="38" t="e">
        <f>VLOOKUP((D716),'Pwr Factor'!$A$1:$B$52,2)</f>
        <v>#N/A</v>
      </c>
      <c r="S715" s="50">
        <v>0.25</v>
      </c>
      <c r="T715" s="42"/>
      <c r="U715" s="42"/>
      <c r="V715" s="41"/>
      <c r="W715" s="42"/>
      <c r="X715" s="42"/>
      <c r="Y715" s="42"/>
      <c r="Z715" s="42"/>
      <c r="AA715" s="42"/>
      <c r="AB715" s="19"/>
      <c r="AC715" s="94"/>
    </row>
    <row r="716" spans="1:29" x14ac:dyDescent="0.2">
      <c r="A716" s="1" t="s">
        <v>140</v>
      </c>
      <c r="B716" s="103">
        <f>IF(AND('AES Indiana Bill Calc.'!$D$17="PL",'AES Indiana Bill Calc.'!$D$18="Yes 25%",'AES Indiana Bill Calc.'!$D$20="Yes 2021"),'AES Indiana Bill Calc.'!$D$19,-1)</f>
        <v>-1</v>
      </c>
      <c r="C716" s="103">
        <f>MAX(E716,$C$653)</f>
        <v>500</v>
      </c>
      <c r="D716" s="103" t="b">
        <f>IF(AND('AES Indiana Bill Calc.'!$D$17="PL",'AES Indiana Bill Calc.'!$D$18="Yes 25%",'AES Indiana Bill Calc.'!$D$20="Yes 2021"),'AES Indiana Bill Calc.'!$D$22)</f>
        <v>0</v>
      </c>
      <c r="E716" s="103" t="b">
        <f>IF(AND('AES Indiana Bill Calc.'!$D$17="PL",'AES Indiana Bill Calc.'!$D$18="Yes 25%",'AES Indiana Bill Calc.'!$D$20="Yes 2021"),'AES Indiana Bill Calc.'!$D$21)</f>
        <v>0</v>
      </c>
      <c r="F716" s="36" t="s">
        <v>207</v>
      </c>
      <c r="G716" s="42" t="e">
        <f>SUM(J716:M716,R716:AA716)</f>
        <v>#N/A</v>
      </c>
      <c r="H716" s="19" t="e">
        <f>IF(ISBLANK(B716),0,+#REF!/B716)</f>
        <v>#REF!</v>
      </c>
      <c r="I716" s="19"/>
      <c r="J716" s="88">
        <f>IF(ISBLANK(B716),0,+J$657)</f>
        <v>130</v>
      </c>
      <c r="K716" s="42">
        <f>ROUND($B716*K$657,2)</f>
        <v>-0.04</v>
      </c>
      <c r="L716" s="92">
        <f>IF($C716&gt;L$658,ROUND(L$658*L$657,2),ROUND($C716*L$657,2))</f>
        <v>14150</v>
      </c>
      <c r="M716" s="92">
        <f>IF($C716&gt;L$658,ROUND(($C716-L$658)*M$657,2),0)</f>
        <v>0</v>
      </c>
      <c r="N716" s="92">
        <f>K716</f>
        <v>-0.04</v>
      </c>
      <c r="O716" s="42"/>
      <c r="P716" s="42"/>
      <c r="Q716" s="92">
        <f>SUM(L716:M716)</f>
        <v>14150</v>
      </c>
      <c r="R716" s="82" t="e">
        <f>ROUND(SUM(K716:M716)*(R715-1),2)</f>
        <v>#N/A</v>
      </c>
      <c r="S716" s="42">
        <f>ROUND($B716*S$657*S715,2)</f>
        <v>0</v>
      </c>
      <c r="T716" s="42">
        <f>ROUND($B716*T$657,2)</f>
        <v>0</v>
      </c>
      <c r="U716" s="42">
        <f>ROUND($B716*U$657,2)</f>
        <v>0</v>
      </c>
      <c r="V716" s="41">
        <f>ROUND($B716*V$651,2)</f>
        <v>0</v>
      </c>
      <c r="W716" s="42">
        <f>ROUND($B716*W$657,2)</f>
        <v>0</v>
      </c>
      <c r="X716" s="42">
        <f>ROUND($B716*X$657,2)</f>
        <v>-0.01</v>
      </c>
      <c r="Y716" s="42">
        <f>ROUND($B716*Y$657,2)</f>
        <v>0</v>
      </c>
      <c r="Z716" s="42">
        <f>ROUND($B716*Z$657,2)</f>
        <v>0</v>
      </c>
      <c r="AA716" s="42">
        <f>ROUND($B716*AA$657,2)</f>
        <v>0</v>
      </c>
      <c r="AB716" s="19">
        <f>SUM(U$657:AA$657)+(-V$657+V661)</f>
        <v>1.2243E-2</v>
      </c>
      <c r="AC716" s="94" t="str">
        <f>+F716</f>
        <v>PL1</v>
      </c>
    </row>
    <row r="717" spans="1:29" x14ac:dyDescent="0.2">
      <c r="A717" s="9"/>
      <c r="B717" s="97">
        <v>-1</v>
      </c>
      <c r="D717" s="41"/>
      <c r="E717" s="80"/>
      <c r="F717" s="36"/>
      <c r="G717" s="42"/>
      <c r="H717" s="19"/>
      <c r="I717" s="19"/>
      <c r="J717" s="88"/>
      <c r="K717" s="42"/>
      <c r="L717" s="42"/>
      <c r="M717" s="42"/>
      <c r="N717" s="42"/>
      <c r="O717" s="42"/>
      <c r="P717" s="42"/>
      <c r="Q717" s="42"/>
      <c r="R717" s="38" t="e">
        <f>VLOOKUP((D718),'Pwr Factor'!$A$1:$B$52,2)</f>
        <v>#N/A</v>
      </c>
      <c r="S717" s="50">
        <v>0.1</v>
      </c>
      <c r="T717" s="42"/>
      <c r="U717" s="42"/>
      <c r="V717" s="41"/>
      <c r="W717" s="42"/>
      <c r="X717" s="42"/>
      <c r="Y717" s="42"/>
      <c r="Z717" s="42"/>
      <c r="AA717" s="42"/>
      <c r="AB717" s="19"/>
      <c r="AC717" s="94"/>
    </row>
    <row r="718" spans="1:29" x14ac:dyDescent="0.2">
      <c r="A718" s="1" t="s">
        <v>154</v>
      </c>
      <c r="B718" s="103">
        <f>IF(AND('AES Indiana Bill Calc.'!$D$17="PL",'AES Indiana Bill Calc.'!$D$18="Yes 10%",'AES Indiana Bill Calc.'!$D$20="Yes 2021"),'AES Indiana Bill Calc.'!$D$19,-1)</f>
        <v>-1</v>
      </c>
      <c r="C718" s="103">
        <f>MAX(E718,$C$653)</f>
        <v>500</v>
      </c>
      <c r="D718" s="103" t="b">
        <f>IF(AND('AES Indiana Bill Calc.'!$D$17="PL",'AES Indiana Bill Calc.'!$D$18="Yes 10%",'AES Indiana Bill Calc.'!$D$20="Yes 2021"),'AES Indiana Bill Calc.'!$D$22)</f>
        <v>0</v>
      </c>
      <c r="E718" s="103" t="b">
        <f>IF(AND('AES Indiana Bill Calc.'!$D$17="PL",'AES Indiana Bill Calc.'!$D$18="Yes 10%",'AES Indiana Bill Calc.'!$D$20="Yes 2021"),'AES Indiana Bill Calc.'!$D$21)</f>
        <v>0</v>
      </c>
      <c r="F718" s="36" t="s">
        <v>207</v>
      </c>
      <c r="G718" s="42" t="e">
        <f>SUM(J718:M718,R718:AA718)</f>
        <v>#N/A</v>
      </c>
      <c r="H718" s="19" t="e">
        <f>IF(ISBLANK(B718),0,+#REF!/B718)</f>
        <v>#REF!</v>
      </c>
      <c r="I718" s="19"/>
      <c r="J718" s="88">
        <f>IF(ISBLANK(B718),0,+J$657)</f>
        <v>130</v>
      </c>
      <c r="K718" s="42">
        <f>ROUND($B718*K$657,2)</f>
        <v>-0.04</v>
      </c>
      <c r="L718" s="92">
        <f>IF($C718&gt;L$658,ROUND(L$658*L$657,2),ROUND($C718*L$657,2))</f>
        <v>14150</v>
      </c>
      <c r="M718" s="92">
        <f>IF($C718&gt;L$658,ROUND(($C718-L$658)*M$657,2),0)</f>
        <v>0</v>
      </c>
      <c r="N718" s="92">
        <f>K718</f>
        <v>-0.04</v>
      </c>
      <c r="O718" s="42"/>
      <c r="P718" s="42"/>
      <c r="Q718" s="92">
        <f>SUM(L718:M718)</f>
        <v>14150</v>
      </c>
      <c r="R718" s="82" t="e">
        <f>ROUND(SUM(K718:M718)*(R717-1),2)</f>
        <v>#N/A</v>
      </c>
      <c r="S718" s="42">
        <f>ROUND($B718*S$657*S717,2)</f>
        <v>0</v>
      </c>
      <c r="T718" s="42">
        <f>ROUND($B718*T$657,2)</f>
        <v>0</v>
      </c>
      <c r="U718" s="42">
        <f>ROUND($B718*U$657,2)</f>
        <v>0</v>
      </c>
      <c r="V718" s="41">
        <f>ROUND($B718*V$651,2)</f>
        <v>0</v>
      </c>
      <c r="W718" s="42">
        <f>ROUND($B718*W$657,2)</f>
        <v>0</v>
      </c>
      <c r="X718" s="42">
        <f>ROUND($B718*X$657,2)</f>
        <v>-0.01</v>
      </c>
      <c r="Y718" s="42">
        <f>ROUND($B718*Y$657,2)</f>
        <v>0</v>
      </c>
      <c r="Z718" s="42">
        <f>ROUND($B718*Z$657,2)</f>
        <v>0</v>
      </c>
      <c r="AA718" s="42">
        <f>ROUND($B718*AA$657,2)</f>
        <v>0</v>
      </c>
      <c r="AB718" s="19">
        <f>SUM(U$657:AA$657)+(-V$657+V663)</f>
        <v>1.2243E-2</v>
      </c>
      <c r="AC718" s="94" t="str">
        <f>+F718</f>
        <v>PL1</v>
      </c>
    </row>
    <row r="719" spans="1:29" x14ac:dyDescent="0.2">
      <c r="A719" s="9"/>
      <c r="B719" s="97">
        <v>-1</v>
      </c>
      <c r="D719" s="41"/>
      <c r="E719" s="80"/>
      <c r="F719" s="36"/>
      <c r="G719" s="42"/>
      <c r="H719" s="19"/>
      <c r="I719" s="19"/>
      <c r="J719" s="88"/>
      <c r="K719" s="42"/>
      <c r="L719" s="42"/>
      <c r="M719" s="42"/>
      <c r="N719" s="42"/>
      <c r="O719" s="42"/>
      <c r="P719" s="42"/>
      <c r="Q719" s="42"/>
      <c r="R719" s="38" t="e">
        <f>VLOOKUP((D720),'Pwr Factor'!$A$1:$B$52,2)</f>
        <v>#N/A</v>
      </c>
      <c r="S719" s="50">
        <v>0</v>
      </c>
      <c r="T719" s="42"/>
      <c r="U719" s="42"/>
      <c r="V719" s="41"/>
      <c r="W719" s="42"/>
      <c r="X719" s="42"/>
      <c r="Y719" s="42"/>
      <c r="Z719" s="42"/>
      <c r="AA719" s="42"/>
      <c r="AB719" s="19"/>
      <c r="AC719" s="94"/>
    </row>
    <row r="720" spans="1:29" x14ac:dyDescent="0.2">
      <c r="A720" s="1" t="s">
        <v>137</v>
      </c>
      <c r="B720" s="103">
        <f>IF(AND('AES Indiana Bill Calc.'!$D$17="PL",'AES Indiana Bill Calc.'!$D$18="No",'AES Indiana Bill Calc.'!$D$20="Yes 2021"),'AES Indiana Bill Calc.'!$D$19,-1)</f>
        <v>-1</v>
      </c>
      <c r="C720" s="103">
        <f>MAX(E720,$C$653)</f>
        <v>500</v>
      </c>
      <c r="D720" s="103" t="b">
        <f>IF(AND('AES Indiana Bill Calc.'!$D$17="PL",'AES Indiana Bill Calc.'!$D$18="No",'AES Indiana Bill Calc.'!$D$20="Yes 2021"),'AES Indiana Bill Calc.'!$D$22)</f>
        <v>0</v>
      </c>
      <c r="E720" s="103" t="b">
        <f>IF(AND('AES Indiana Bill Calc.'!$D$17="PL",'AES Indiana Bill Calc.'!$D$18="No",'AES Indiana Bill Calc.'!$D$20="Yes 2021"),'AES Indiana Bill Calc.'!$D$21)</f>
        <v>0</v>
      </c>
      <c r="F720" s="36" t="s">
        <v>207</v>
      </c>
      <c r="G720" s="42" t="e">
        <f>SUM(J720:M720,R720:AA720)</f>
        <v>#N/A</v>
      </c>
      <c r="H720" s="19" t="e">
        <f>IF(ISBLANK(B720),0,+#REF!/B720)</f>
        <v>#REF!</v>
      </c>
      <c r="I720" s="19"/>
      <c r="J720" s="88">
        <f>IF(ISBLANK(B720),0,+J$657)</f>
        <v>130</v>
      </c>
      <c r="K720" s="42">
        <f>ROUND($B720*K$657,2)</f>
        <v>-0.04</v>
      </c>
      <c r="L720" s="92">
        <f>IF($C720&gt;L$658,ROUND(L$658*L$657,2),ROUND($C720*L$657,2))</f>
        <v>14150</v>
      </c>
      <c r="M720" s="92">
        <f>IF($C720&gt;L$658,ROUND(($C720-L$658)*M$657,2),0)</f>
        <v>0</v>
      </c>
      <c r="N720" s="92">
        <f>K720</f>
        <v>-0.04</v>
      </c>
      <c r="O720" s="42"/>
      <c r="P720" s="42"/>
      <c r="Q720" s="92">
        <f>SUM(L720:M720)</f>
        <v>14150</v>
      </c>
      <c r="R720" s="82" t="e">
        <f>ROUND(SUM(K720:M720)*(R719-1),2)</f>
        <v>#N/A</v>
      </c>
      <c r="S720" s="42">
        <f>ROUND($B720*S$657*S719,2)</f>
        <v>0</v>
      </c>
      <c r="T720" s="42">
        <f>ROUND($B720*T$657,2)</f>
        <v>0</v>
      </c>
      <c r="U720" s="42">
        <f>ROUND($B720*U$657,2)</f>
        <v>0</v>
      </c>
      <c r="V720" s="41">
        <f>ROUND($B720*V$651,2)</f>
        <v>0</v>
      </c>
      <c r="W720" s="42">
        <f>ROUND($B720*W$657,2)</f>
        <v>0</v>
      </c>
      <c r="X720" s="42">
        <f>ROUND($B720*X$657,2)</f>
        <v>-0.01</v>
      </c>
      <c r="Y720" s="42">
        <f>ROUND($B720*Y$657,2)</f>
        <v>0</v>
      </c>
      <c r="Z720" s="42">
        <f>ROUND($B720*Z$657,2)</f>
        <v>0</v>
      </c>
      <c r="AA720" s="42">
        <f>ROUND($B720*AA$657,2)</f>
        <v>0</v>
      </c>
      <c r="AB720" s="19">
        <f>SUM(U$657:AA$657)+(-V$657+V665)</f>
        <v>1.2243E-2</v>
      </c>
      <c r="AC720" s="94" t="str">
        <f>+F720</f>
        <v>PL1</v>
      </c>
    </row>
    <row r="721" spans="1:29" x14ac:dyDescent="0.2">
      <c r="B721" s="97">
        <v>-1</v>
      </c>
      <c r="D721" s="41"/>
      <c r="E721" s="80"/>
      <c r="F721" s="36"/>
      <c r="G721" s="42"/>
      <c r="H721" s="19"/>
      <c r="I721" s="19"/>
      <c r="J721" s="88"/>
      <c r="K721" s="42"/>
      <c r="L721" s="42"/>
      <c r="M721" s="42"/>
      <c r="N721" s="42"/>
      <c r="O721" s="42"/>
      <c r="P721" s="42"/>
      <c r="Q721" s="42"/>
      <c r="R721" s="38" t="e">
        <f>VLOOKUP((D722),'Pwr Factor'!$A$1:$B$52,2)</f>
        <v>#N/A</v>
      </c>
      <c r="S721" s="50">
        <v>1</v>
      </c>
      <c r="T721" s="42"/>
      <c r="U721" s="42"/>
      <c r="V721" s="41"/>
      <c r="W721" s="42"/>
      <c r="X721" s="42"/>
      <c r="Y721" s="42"/>
      <c r="Z721" s="42"/>
      <c r="AA721" s="42"/>
      <c r="AB721" s="19"/>
      <c r="AC721" s="94"/>
    </row>
    <row r="722" spans="1:29" x14ac:dyDescent="0.2">
      <c r="A722" s="1" t="s">
        <v>138</v>
      </c>
      <c r="B722" s="103">
        <f>IF(AND('AES Indiana Bill Calc.'!$D$17="PL",'AES Indiana Bill Calc.'!$D$18="Yes 100%",'AES Indiana Bill Calc.'!$D$20="Yes 2022"),'AES Indiana Bill Calc.'!$D$19,-1)</f>
        <v>-1</v>
      </c>
      <c r="C722" s="103">
        <f>MAX(E722,$C$653)</f>
        <v>500</v>
      </c>
      <c r="D722" s="103" t="b">
        <f>IF(AND('AES Indiana Bill Calc.'!$D$17="PL",'AES Indiana Bill Calc.'!$D$18="Yes 100%",'AES Indiana Bill Calc.'!$D$20="Yes 2022"),'AES Indiana Bill Calc.'!$D$22)</f>
        <v>0</v>
      </c>
      <c r="E722" s="103" t="b">
        <f>IF(AND('AES Indiana Bill Calc.'!$D$17="PL",'AES Indiana Bill Calc.'!$D$18="Yes 100%",'AES Indiana Bill Calc.'!$D$20="Yes 2022"),'AES Indiana Bill Calc.'!$D$21)</f>
        <v>0</v>
      </c>
      <c r="F722" s="36" t="s">
        <v>208</v>
      </c>
      <c r="G722" s="42" t="e">
        <f>SUM(J722:M722,R722:AA722)</f>
        <v>#N/A</v>
      </c>
      <c r="H722" s="19" t="e">
        <f>IF(ISBLANK(B722),0,+#REF!/B722)</f>
        <v>#REF!</v>
      </c>
      <c r="I722" s="19"/>
      <c r="J722" s="88">
        <f>IF(ISBLANK(B722),0,+J$657)</f>
        <v>130</v>
      </c>
      <c r="K722" s="42">
        <f>ROUND($B722*K$657,2)</f>
        <v>-0.04</v>
      </c>
      <c r="L722" s="92">
        <f>IF($C722&gt;L$658,ROUND(L$658*L$657,2),ROUND($C722*L$657,2))</f>
        <v>14150</v>
      </c>
      <c r="M722" s="92">
        <f>IF($C722&gt;L$658,ROUND(($C722-L$658)*M$657,2),0)</f>
        <v>0</v>
      </c>
      <c r="N722" s="92">
        <f>K722</f>
        <v>-0.04</v>
      </c>
      <c r="O722" s="42"/>
      <c r="P722" s="42"/>
      <c r="Q722" s="92">
        <f>SUM(L722:M722)</f>
        <v>14150</v>
      </c>
      <c r="R722" s="82" t="e">
        <f>ROUND(SUM(K722:M722)*(R721-1),2)</f>
        <v>#N/A</v>
      </c>
      <c r="S722" s="42">
        <f>ROUND($B722*S$657*S721,2)</f>
        <v>0</v>
      </c>
      <c r="T722" s="42">
        <f>ROUND($B722*T$657,2)</f>
        <v>0</v>
      </c>
      <c r="U722" s="42">
        <f>ROUND($B722*U$657,2)</f>
        <v>0</v>
      </c>
      <c r="V722" s="41">
        <f>ROUND($B722*V$652,2)</f>
        <v>0</v>
      </c>
      <c r="W722" s="42">
        <f>ROUND($B722*W$657,2)</f>
        <v>0</v>
      </c>
      <c r="X722" s="42">
        <f>ROUND($B722*X$657,2)</f>
        <v>-0.01</v>
      </c>
      <c r="Y722" s="42">
        <f>ROUND($B722*Y$657,2)</f>
        <v>0</v>
      </c>
      <c r="Z722" s="42">
        <f>ROUND($B722*Z$657,2)</f>
        <v>0</v>
      </c>
      <c r="AA722" s="42">
        <f>ROUND($B722*AA$657,2)</f>
        <v>0</v>
      </c>
      <c r="AB722" s="19">
        <f>SUM(U$657:AA$657)+(-V$657+V667)</f>
        <v>1.2243E-2</v>
      </c>
      <c r="AC722" s="94" t="str">
        <f>+F722</f>
        <v>PL2</v>
      </c>
    </row>
    <row r="723" spans="1:29" x14ac:dyDescent="0.2">
      <c r="A723" s="9"/>
      <c r="B723" s="97">
        <v>-1</v>
      </c>
      <c r="D723" s="41"/>
      <c r="E723" s="80"/>
      <c r="F723" s="36"/>
      <c r="G723" s="42"/>
      <c r="H723" s="19"/>
      <c r="I723" s="19"/>
      <c r="J723" s="88"/>
      <c r="K723" s="42"/>
      <c r="L723" s="42"/>
      <c r="M723" s="42"/>
      <c r="N723" s="42"/>
      <c r="O723" s="42"/>
      <c r="P723" s="42"/>
      <c r="Q723" s="42"/>
      <c r="R723" s="38" t="e">
        <f>VLOOKUP((D724),'Pwr Factor'!$A$1:$B$52,2)</f>
        <v>#N/A</v>
      </c>
      <c r="S723" s="50">
        <v>0.5</v>
      </c>
      <c r="T723" s="42"/>
      <c r="U723" s="42"/>
      <c r="V723" s="41"/>
      <c r="W723" s="42"/>
      <c r="X723" s="42"/>
      <c r="Y723" s="42"/>
      <c r="Z723" s="42"/>
      <c r="AA723" s="42"/>
      <c r="AB723" s="19"/>
      <c r="AC723" s="94"/>
    </row>
    <row r="724" spans="1:29" x14ac:dyDescent="0.2">
      <c r="A724" s="1" t="s">
        <v>139</v>
      </c>
      <c r="B724" s="103">
        <f>IF(AND('AES Indiana Bill Calc.'!$D$17="PL",'AES Indiana Bill Calc.'!$D$18="Yes 50%",'AES Indiana Bill Calc.'!$D$20="Yes 2022"),'AES Indiana Bill Calc.'!$D$19,-1)</f>
        <v>-1</v>
      </c>
      <c r="C724" s="103">
        <f>MAX(E724,$C$653)</f>
        <v>500</v>
      </c>
      <c r="D724" s="103" t="b">
        <f>IF(AND('AES Indiana Bill Calc.'!$D$17="PL",'AES Indiana Bill Calc.'!$D$18="Yes 50%",'AES Indiana Bill Calc.'!$D$20="Yes 2022"),'AES Indiana Bill Calc.'!$D$22)</f>
        <v>0</v>
      </c>
      <c r="E724" s="103" t="b">
        <f>IF(AND('AES Indiana Bill Calc.'!$D$17="PL",'AES Indiana Bill Calc.'!$D$18="Yes 50%",'AES Indiana Bill Calc.'!$D$20="Yes 2022"),'AES Indiana Bill Calc.'!$D$21)</f>
        <v>0</v>
      </c>
      <c r="F724" s="36" t="s">
        <v>208</v>
      </c>
      <c r="G724" s="42" t="e">
        <f>SUM(J724:M724,R724:AA724)</f>
        <v>#N/A</v>
      </c>
      <c r="H724" s="19" t="e">
        <f>IF(ISBLANK(B724),0,+#REF!/B724)</f>
        <v>#REF!</v>
      </c>
      <c r="I724" s="19"/>
      <c r="J724" s="88">
        <f>IF(ISBLANK(B724),0,+J$657)</f>
        <v>130</v>
      </c>
      <c r="K724" s="42">
        <f>ROUND($B724*K$657,2)</f>
        <v>-0.04</v>
      </c>
      <c r="L724" s="92">
        <f>IF($C724&gt;L$658,ROUND(L$658*L$657,2),ROUND($C724*L$657,2))</f>
        <v>14150</v>
      </c>
      <c r="M724" s="92">
        <f>IF($C724&gt;L$658,ROUND(($C724-L$658)*M$657,2),0)</f>
        <v>0</v>
      </c>
      <c r="N724" s="92">
        <f>K724</f>
        <v>-0.04</v>
      </c>
      <c r="O724" s="42"/>
      <c r="P724" s="42"/>
      <c r="Q724" s="92">
        <f>SUM(L724:M724)</f>
        <v>14150</v>
      </c>
      <c r="R724" s="82" t="e">
        <f>ROUND(SUM(K724:M724)*(R723-1),2)</f>
        <v>#N/A</v>
      </c>
      <c r="S724" s="42">
        <f>ROUND($B724*S$657*S723,2)</f>
        <v>0</v>
      </c>
      <c r="T724" s="42">
        <f>ROUND($B724*T$657,2)</f>
        <v>0</v>
      </c>
      <c r="U724" s="42">
        <f>ROUND($B724*U$657,2)</f>
        <v>0</v>
      </c>
      <c r="V724" s="41">
        <f>ROUND($B724*V$652,2)</f>
        <v>0</v>
      </c>
      <c r="W724" s="42">
        <f>ROUND($B724*W$657,2)</f>
        <v>0</v>
      </c>
      <c r="X724" s="42">
        <f>ROUND($B724*X$657,2)</f>
        <v>-0.01</v>
      </c>
      <c r="Y724" s="42">
        <f>ROUND($B724*Y$657,2)</f>
        <v>0</v>
      </c>
      <c r="Z724" s="42">
        <f>ROUND($B724*Z$657,2)</f>
        <v>0</v>
      </c>
      <c r="AA724" s="42">
        <f>ROUND($B724*AA$657,2)</f>
        <v>0</v>
      </c>
      <c r="AB724" s="19">
        <f>SUM(U$657:AA$657)+(-V$657+V669)</f>
        <v>1.2243E-2</v>
      </c>
      <c r="AC724" s="94" t="str">
        <f>+F724</f>
        <v>PL2</v>
      </c>
    </row>
    <row r="725" spans="1:29" x14ac:dyDescent="0.2">
      <c r="A725" s="9"/>
      <c r="B725" s="97">
        <v>-1</v>
      </c>
      <c r="D725" s="41"/>
      <c r="E725" s="80"/>
      <c r="F725" s="36"/>
      <c r="G725" s="42"/>
      <c r="H725" s="19"/>
      <c r="I725" s="19"/>
      <c r="J725" s="88"/>
      <c r="K725" s="42"/>
      <c r="L725" s="42"/>
      <c r="M725" s="42"/>
      <c r="N725" s="42"/>
      <c r="O725" s="42"/>
      <c r="P725" s="42"/>
      <c r="Q725" s="42"/>
      <c r="R725" s="38" t="e">
        <f>VLOOKUP((D726),'Pwr Factor'!$A$1:$B$52,2)</f>
        <v>#N/A</v>
      </c>
      <c r="S725" s="50">
        <v>0.25</v>
      </c>
      <c r="T725" s="42"/>
      <c r="U725" s="42"/>
      <c r="V725" s="41"/>
      <c r="W725" s="42"/>
      <c r="X725" s="42"/>
      <c r="Y725" s="42"/>
      <c r="Z725" s="42"/>
      <c r="AA725" s="42"/>
      <c r="AB725" s="19"/>
      <c r="AC725" s="94"/>
    </row>
    <row r="726" spans="1:29" x14ac:dyDescent="0.2">
      <c r="A726" s="1" t="s">
        <v>140</v>
      </c>
      <c r="B726" s="103">
        <f>IF(AND('AES Indiana Bill Calc.'!$D$17="PL",'AES Indiana Bill Calc.'!$D$18="Yes 25%",'AES Indiana Bill Calc.'!$D$20="Yes 2022"),'AES Indiana Bill Calc.'!$D$19,-1)</f>
        <v>-1</v>
      </c>
      <c r="C726" s="103">
        <f>MAX(E726,$C$653)</f>
        <v>500</v>
      </c>
      <c r="D726" s="103" t="b">
        <f>IF(AND('AES Indiana Bill Calc.'!$D$17="PL",'AES Indiana Bill Calc.'!$D$18="Yes 25%",'AES Indiana Bill Calc.'!$D$20="Yes 2022"),'AES Indiana Bill Calc.'!$D$22)</f>
        <v>0</v>
      </c>
      <c r="E726" s="103" t="b">
        <f>IF(AND('AES Indiana Bill Calc.'!$D$17="PL",'AES Indiana Bill Calc.'!$D$18="Yes 25%",'AES Indiana Bill Calc.'!$D$20="Yes 2022"),'AES Indiana Bill Calc.'!$D$21)</f>
        <v>0</v>
      </c>
      <c r="F726" s="36" t="s">
        <v>208</v>
      </c>
      <c r="G726" s="42" t="e">
        <f>SUM(J726:M726,R726:AA726)</f>
        <v>#N/A</v>
      </c>
      <c r="H726" s="19" t="e">
        <f>IF(ISBLANK(B726),0,+#REF!/B726)</f>
        <v>#REF!</v>
      </c>
      <c r="I726" s="19"/>
      <c r="J726" s="88">
        <f>IF(ISBLANK(B726),0,+J$657)</f>
        <v>130</v>
      </c>
      <c r="K726" s="42">
        <f>ROUND($B726*K$657,2)</f>
        <v>-0.04</v>
      </c>
      <c r="L726" s="92">
        <f>IF($C726&gt;L$658,ROUND(L$658*L$657,2),ROUND($C726*L$657,2))</f>
        <v>14150</v>
      </c>
      <c r="M726" s="92">
        <f>IF($C726&gt;L$658,ROUND(($C726-L$658)*M$657,2),0)</f>
        <v>0</v>
      </c>
      <c r="N726" s="92">
        <f>K726</f>
        <v>-0.04</v>
      </c>
      <c r="O726" s="42"/>
      <c r="P726" s="42"/>
      <c r="Q726" s="92">
        <f>SUM(L726:M726)</f>
        <v>14150</v>
      </c>
      <c r="R726" s="82" t="e">
        <f>ROUND(SUM(K726:M726)*(R725-1),2)</f>
        <v>#N/A</v>
      </c>
      <c r="S726" s="42">
        <f>ROUND($B726*S$657*S725,2)</f>
        <v>0</v>
      </c>
      <c r="T726" s="42">
        <f>ROUND($B726*T$657,2)</f>
        <v>0</v>
      </c>
      <c r="U726" s="42">
        <f>ROUND($B726*U$657,2)</f>
        <v>0</v>
      </c>
      <c r="V726" s="41">
        <f>ROUND($B726*V$652,2)</f>
        <v>0</v>
      </c>
      <c r="W726" s="42">
        <f>ROUND($B726*W$657,2)</f>
        <v>0</v>
      </c>
      <c r="X726" s="42">
        <f>ROUND($B726*X$657,2)</f>
        <v>-0.01</v>
      </c>
      <c r="Y726" s="42">
        <f>ROUND($B726*Y$657,2)</f>
        <v>0</v>
      </c>
      <c r="Z726" s="42">
        <f>ROUND($B726*Z$657,2)</f>
        <v>0</v>
      </c>
      <c r="AA726" s="42">
        <f>ROUND($B726*AA$657,2)</f>
        <v>0</v>
      </c>
      <c r="AB726" s="19">
        <f>SUM(U$657:AA$657)+(-V$657+V671)</f>
        <v>1.2243E-2</v>
      </c>
      <c r="AC726" s="94" t="str">
        <f>+F726</f>
        <v>PL2</v>
      </c>
    </row>
    <row r="727" spans="1:29" x14ac:dyDescent="0.2">
      <c r="A727" s="9"/>
      <c r="B727" s="97">
        <v>-1</v>
      </c>
      <c r="D727" s="41"/>
      <c r="E727" s="80"/>
      <c r="F727" s="36"/>
      <c r="G727" s="42"/>
      <c r="H727" s="19"/>
      <c r="I727" s="19"/>
      <c r="J727" s="88"/>
      <c r="K727" s="42"/>
      <c r="L727" s="42"/>
      <c r="M727" s="42"/>
      <c r="N727" s="42"/>
      <c r="O727" s="42"/>
      <c r="P727" s="42"/>
      <c r="Q727" s="42"/>
      <c r="R727" s="38" t="e">
        <f>VLOOKUP((D728),'Pwr Factor'!$A$1:$B$52,2)</f>
        <v>#N/A</v>
      </c>
      <c r="S727" s="50">
        <v>0.1</v>
      </c>
      <c r="T727" s="42"/>
      <c r="U727" s="42"/>
      <c r="V727" s="41"/>
      <c r="W727" s="42"/>
      <c r="X727" s="42"/>
      <c r="Y727" s="42"/>
      <c r="Z727" s="42"/>
      <c r="AA727" s="42"/>
      <c r="AB727" s="19"/>
      <c r="AC727" s="94"/>
    </row>
    <row r="728" spans="1:29" x14ac:dyDescent="0.2">
      <c r="A728" s="1" t="s">
        <v>154</v>
      </c>
      <c r="B728" s="103">
        <f>IF(AND('AES Indiana Bill Calc.'!$D$17="PL",'AES Indiana Bill Calc.'!$D$18="Yes 10%",'AES Indiana Bill Calc.'!$D$20="Yes 2022"),'AES Indiana Bill Calc.'!$D$19,-1)</f>
        <v>-1</v>
      </c>
      <c r="C728" s="103">
        <f>MAX(E728,$C$653)</f>
        <v>500</v>
      </c>
      <c r="D728" s="103" t="b">
        <f>IF(AND('AES Indiana Bill Calc.'!$D$17="PL",'AES Indiana Bill Calc.'!$D$18="Yes 10%",'AES Indiana Bill Calc.'!$D$20="Yes 2022"),'AES Indiana Bill Calc.'!$D$22)</f>
        <v>0</v>
      </c>
      <c r="E728" s="103" t="b">
        <f>IF(AND('AES Indiana Bill Calc.'!$D$17="PL",'AES Indiana Bill Calc.'!$D$18="Yes 10%",'AES Indiana Bill Calc.'!$D$20="Yes 2022"),'AES Indiana Bill Calc.'!$D$21)</f>
        <v>0</v>
      </c>
      <c r="F728" s="36" t="s">
        <v>208</v>
      </c>
      <c r="G728" s="42" t="e">
        <f>SUM(J728:M728,R728:AA728)</f>
        <v>#N/A</v>
      </c>
      <c r="H728" s="19" t="e">
        <f>IF(ISBLANK(B728),0,+#REF!/B728)</f>
        <v>#REF!</v>
      </c>
      <c r="I728" s="19"/>
      <c r="J728" s="88">
        <f>IF(ISBLANK(B728),0,+J$657)</f>
        <v>130</v>
      </c>
      <c r="K728" s="42">
        <f>ROUND($B728*K$657,2)</f>
        <v>-0.04</v>
      </c>
      <c r="L728" s="92">
        <f>IF($C728&gt;L$658,ROUND(L$658*L$657,2),ROUND($C728*L$657,2))</f>
        <v>14150</v>
      </c>
      <c r="M728" s="92">
        <f>IF($C728&gt;L$658,ROUND(($C728-L$658)*M$657,2),0)</f>
        <v>0</v>
      </c>
      <c r="N728" s="92">
        <f>K728</f>
        <v>-0.04</v>
      </c>
      <c r="O728" s="42"/>
      <c r="P728" s="42"/>
      <c r="Q728" s="92">
        <f>SUM(L728:M728)</f>
        <v>14150</v>
      </c>
      <c r="R728" s="82" t="e">
        <f>ROUND(SUM(K728:M728)*(R727-1),2)</f>
        <v>#N/A</v>
      </c>
      <c r="S728" s="42">
        <f>ROUND($B728*S$657*S727,2)</f>
        <v>0</v>
      </c>
      <c r="T728" s="42">
        <f>ROUND($B728*T$657,2)</f>
        <v>0</v>
      </c>
      <c r="U728" s="42">
        <f>ROUND($B728*U$657,2)</f>
        <v>0</v>
      </c>
      <c r="V728" s="41">
        <f>ROUND($B728*V$652,2)</f>
        <v>0</v>
      </c>
      <c r="W728" s="42">
        <f>ROUND($B728*W$657,2)</f>
        <v>0</v>
      </c>
      <c r="X728" s="42">
        <f>ROUND($B728*X$657,2)</f>
        <v>-0.01</v>
      </c>
      <c r="Y728" s="42">
        <f>ROUND($B728*Y$657,2)</f>
        <v>0</v>
      </c>
      <c r="Z728" s="42">
        <f>ROUND($B728*Z$657,2)</f>
        <v>0</v>
      </c>
      <c r="AA728" s="42">
        <f>ROUND($B728*AA$657,2)</f>
        <v>0</v>
      </c>
      <c r="AB728" s="19">
        <f>SUM(U$657:AA$657)+(-V$657+V673)</f>
        <v>1.2243E-2</v>
      </c>
      <c r="AC728" s="94" t="str">
        <f>+F728</f>
        <v>PL2</v>
      </c>
    </row>
    <row r="729" spans="1:29" ht="15" customHeight="1" x14ac:dyDescent="0.2">
      <c r="A729" s="9"/>
      <c r="B729" s="97">
        <v>-1</v>
      </c>
      <c r="D729" s="41"/>
      <c r="E729" s="80"/>
      <c r="F729" s="36"/>
      <c r="G729" s="42"/>
      <c r="H729" s="19"/>
      <c r="I729" s="19"/>
      <c r="J729" s="88"/>
      <c r="K729" s="42"/>
      <c r="L729" s="42"/>
      <c r="M729" s="42"/>
      <c r="N729" s="42"/>
      <c r="O729" s="42"/>
      <c r="P729" s="42"/>
      <c r="Q729" s="42"/>
      <c r="R729" s="38" t="e">
        <f>VLOOKUP((D730),'Pwr Factor'!$A$1:$B$52,2)</f>
        <v>#N/A</v>
      </c>
      <c r="S729" s="50">
        <v>0</v>
      </c>
      <c r="T729" s="42"/>
      <c r="U729" s="42"/>
      <c r="V729" s="41"/>
      <c r="W729" s="42"/>
      <c r="X729" s="42"/>
      <c r="Y729" s="42"/>
      <c r="Z729" s="42"/>
      <c r="AA729" s="42"/>
      <c r="AB729" s="19"/>
      <c r="AC729" s="94"/>
    </row>
    <row r="730" spans="1:29" ht="15" customHeight="1" x14ac:dyDescent="0.2">
      <c r="A730" s="1" t="s">
        <v>137</v>
      </c>
      <c r="B730" s="103">
        <f>IF(AND('AES Indiana Bill Calc.'!$D$17="PL",'AES Indiana Bill Calc.'!$D$18="No",'AES Indiana Bill Calc.'!$D$20="Yes 2022"),'AES Indiana Bill Calc.'!$D$19,-1)</f>
        <v>-1</v>
      </c>
      <c r="C730" s="103">
        <f>MAX(E730,$C$653)</f>
        <v>500</v>
      </c>
      <c r="D730" s="103" t="b">
        <f>IF(AND('AES Indiana Bill Calc.'!$D$17="PL",'AES Indiana Bill Calc.'!$D$18="No",'AES Indiana Bill Calc.'!$D$20="Yes 2022"),'AES Indiana Bill Calc.'!$D$22)</f>
        <v>0</v>
      </c>
      <c r="E730" s="103" t="b">
        <f>IF(AND('AES Indiana Bill Calc.'!$D$17="PL",'AES Indiana Bill Calc.'!$D$18="No",'AES Indiana Bill Calc.'!$D$20="Yes 2022"),'AES Indiana Bill Calc.'!$D$21)</f>
        <v>0</v>
      </c>
      <c r="F730" s="36" t="s">
        <v>208</v>
      </c>
      <c r="G730" s="42" t="e">
        <f>SUM(J730:M730,R730:AA730)</f>
        <v>#N/A</v>
      </c>
      <c r="H730" s="19" t="e">
        <f>IF(ISBLANK(B730),0,+#REF!/B730)</f>
        <v>#REF!</v>
      </c>
      <c r="I730" s="19"/>
      <c r="J730" s="88">
        <f>IF(ISBLANK(B730),0,+J$657)</f>
        <v>130</v>
      </c>
      <c r="K730" s="42">
        <f>ROUND($B730*K$657,2)</f>
        <v>-0.04</v>
      </c>
      <c r="L730" s="92">
        <f>IF($C730&gt;L$658,ROUND(L$658*L$657,2),ROUND($C730*L$657,2))</f>
        <v>14150</v>
      </c>
      <c r="M730" s="92">
        <f>IF($C730&gt;L$658,ROUND(($C730-L$658)*M$657,2),0)</f>
        <v>0</v>
      </c>
      <c r="N730" s="92">
        <f>K730</f>
        <v>-0.04</v>
      </c>
      <c r="O730" s="42"/>
      <c r="P730" s="42"/>
      <c r="Q730" s="92">
        <f>SUM(L730:M730)</f>
        <v>14150</v>
      </c>
      <c r="R730" s="82" t="e">
        <f>ROUND(SUM(K730:M730)*(R729-1),2)</f>
        <v>#N/A</v>
      </c>
      <c r="S730" s="42">
        <f>ROUND($B730*S$657*S729,2)</f>
        <v>0</v>
      </c>
      <c r="T730" s="42">
        <f>ROUND($B730*T$657,2)</f>
        <v>0</v>
      </c>
      <c r="U730" s="42">
        <f>ROUND($B730*U$657,2)</f>
        <v>0</v>
      </c>
      <c r="V730" s="41">
        <f>ROUND($B730*V$652,2)</f>
        <v>0</v>
      </c>
      <c r="W730" s="42">
        <f>ROUND($B730*W$657,2)</f>
        <v>0</v>
      </c>
      <c r="X730" s="42">
        <f>ROUND($B730*X$657,2)</f>
        <v>-0.01</v>
      </c>
      <c r="Y730" s="42">
        <f>ROUND($B730*Y$657,2)</f>
        <v>0</v>
      </c>
      <c r="Z730" s="42">
        <f>ROUND($B730*Z$657,2)</f>
        <v>0</v>
      </c>
      <c r="AA730" s="42">
        <f>ROUND($B730*AA$657,2)</f>
        <v>0</v>
      </c>
      <c r="AB730" s="19">
        <f>SUM(U$657:AA$657)+(-V$657+V675)</f>
        <v>1.2243E-2</v>
      </c>
      <c r="AC730" s="94" t="str">
        <f>+F730</f>
        <v>PL2</v>
      </c>
    </row>
    <row r="731" spans="1:29" ht="15" customHeight="1" x14ac:dyDescent="0.2">
      <c r="B731" s="97">
        <v>-1</v>
      </c>
      <c r="D731" s="41"/>
      <c r="E731" s="80"/>
      <c r="F731" s="36"/>
      <c r="G731" s="42"/>
      <c r="H731" s="19"/>
      <c r="I731" s="19"/>
      <c r="J731" s="88"/>
      <c r="K731" s="42"/>
      <c r="L731" s="42"/>
      <c r="M731" s="42"/>
      <c r="N731" s="42"/>
      <c r="O731" s="42"/>
      <c r="P731" s="42"/>
      <c r="Q731" s="42"/>
      <c r="R731" s="38" t="e">
        <f>VLOOKUP((D732),'Pwr Factor'!$A$1:$B$52,2)</f>
        <v>#N/A</v>
      </c>
      <c r="S731" s="50">
        <v>1</v>
      </c>
      <c r="T731" s="42"/>
      <c r="U731" s="42"/>
      <c r="V731" s="41"/>
      <c r="W731" s="42"/>
      <c r="X731" s="42"/>
      <c r="Y731" s="42"/>
      <c r="Z731" s="42"/>
      <c r="AA731" s="42"/>
      <c r="AB731" s="19"/>
      <c r="AC731" s="94"/>
    </row>
    <row r="732" spans="1:29" x14ac:dyDescent="0.2">
      <c r="A732" s="1" t="s">
        <v>138</v>
      </c>
      <c r="B732" s="103">
        <f>IF(AND('AES Indiana Bill Calc.'!$D$17="PL",'AES Indiana Bill Calc.'!$D$18="Yes 100%",'AES Indiana Bill Calc.'!$D$20="Yes 2023"),'AES Indiana Bill Calc.'!$D$19,-1)</f>
        <v>-1</v>
      </c>
      <c r="C732" s="103">
        <f>MAX(E732,$C$653)</f>
        <v>500</v>
      </c>
      <c r="D732" s="103" t="b">
        <f>IF(AND('AES Indiana Bill Calc.'!$D$17="PL",'AES Indiana Bill Calc.'!$D$18="Yes 100%",'AES Indiana Bill Calc.'!$D$20="Yes 2023"),'AES Indiana Bill Calc.'!$D$22)</f>
        <v>0</v>
      </c>
      <c r="E732" s="103" t="b">
        <f>IF(AND('AES Indiana Bill Calc.'!$D$17="PL",'AES Indiana Bill Calc.'!$D$18="Yes 100%",'AES Indiana Bill Calc.'!$D$20="Yes 2023"),'AES Indiana Bill Calc.'!$D$21)</f>
        <v>0</v>
      </c>
      <c r="F732" s="36" t="s">
        <v>209</v>
      </c>
      <c r="G732" s="42" t="e">
        <f>SUM(J732:M732,R732:AA732)</f>
        <v>#N/A</v>
      </c>
      <c r="H732" s="19" t="e">
        <f>IF(ISBLANK(B732),0,+#REF!/B732)</f>
        <v>#REF!</v>
      </c>
      <c r="I732" s="19"/>
      <c r="J732" s="88">
        <f>IF(ISBLANK(B732),0,+J$657)</f>
        <v>130</v>
      </c>
      <c r="K732" s="42">
        <f>ROUND($B732*K$657,2)</f>
        <v>-0.04</v>
      </c>
      <c r="L732" s="92">
        <f>IF($C732&gt;L$658,ROUND(L$658*L$657,2),ROUND($C732*L$657,2))</f>
        <v>14150</v>
      </c>
      <c r="M732" s="92">
        <f>IF($C732&gt;L$658,ROUND(($C732-L$658)*M$657,2),0)</f>
        <v>0</v>
      </c>
      <c r="N732" s="92">
        <f>K732</f>
        <v>-0.04</v>
      </c>
      <c r="O732" s="42"/>
      <c r="P732" s="42"/>
      <c r="Q732" s="92">
        <f>SUM(L732:M732)</f>
        <v>14150</v>
      </c>
      <c r="R732" s="82" t="e">
        <f>ROUND(SUM(K732:M732)*(R731-1),2)</f>
        <v>#N/A</v>
      </c>
      <c r="S732" s="42">
        <f>ROUND($B732*S$657*S731,2)</f>
        <v>0</v>
      </c>
      <c r="T732" s="42">
        <f>ROUND($B732*T$657,2)</f>
        <v>0</v>
      </c>
      <c r="U732" s="42">
        <f>ROUND($B732*U$657,2)</f>
        <v>0</v>
      </c>
      <c r="V732" s="41">
        <f>ROUND($B732*V$653,2)</f>
        <v>0</v>
      </c>
      <c r="W732" s="42">
        <f>ROUND($B732*W$657,2)</f>
        <v>0</v>
      </c>
      <c r="X732" s="42">
        <f>ROUND($B732*X$657,2)</f>
        <v>-0.01</v>
      </c>
      <c r="Y732" s="42">
        <f>ROUND($B732*Y$657,2)</f>
        <v>0</v>
      </c>
      <c r="Z732" s="42">
        <f>ROUND($B732*Z$657,2)</f>
        <v>0</v>
      </c>
      <c r="AA732" s="42">
        <f>ROUND($B732*AA$657,2)</f>
        <v>0</v>
      </c>
      <c r="AB732" s="19">
        <f>SUM(U$657:AA$657)+(-V$657+V677)</f>
        <v>1.2243E-2</v>
      </c>
      <c r="AC732" s="94" t="str">
        <f>+F732</f>
        <v>PL3</v>
      </c>
    </row>
    <row r="733" spans="1:29" x14ac:dyDescent="0.2">
      <c r="A733" s="9"/>
      <c r="B733" s="97">
        <v>-1</v>
      </c>
      <c r="D733" s="41"/>
      <c r="E733" s="80"/>
      <c r="F733" s="36"/>
      <c r="G733" s="42"/>
      <c r="H733" s="19"/>
      <c r="I733" s="19"/>
      <c r="J733" s="88"/>
      <c r="K733" s="42"/>
      <c r="L733" s="42"/>
      <c r="M733" s="42"/>
      <c r="N733" s="42"/>
      <c r="O733" s="42"/>
      <c r="P733" s="42"/>
      <c r="Q733" s="42"/>
      <c r="R733" s="38" t="e">
        <f>VLOOKUP((D734),'Pwr Factor'!$A$1:$B$52,2)</f>
        <v>#N/A</v>
      </c>
      <c r="S733" s="50">
        <v>0.5</v>
      </c>
      <c r="T733" s="42"/>
      <c r="U733" s="42"/>
      <c r="V733" s="41"/>
      <c r="W733" s="42"/>
      <c r="X733" s="42"/>
      <c r="Y733" s="42"/>
      <c r="Z733" s="42"/>
      <c r="AA733" s="42"/>
      <c r="AB733" s="19"/>
      <c r="AC733" s="94"/>
    </row>
    <row r="734" spans="1:29" x14ac:dyDescent="0.2">
      <c r="A734" s="1" t="s">
        <v>139</v>
      </c>
      <c r="B734" s="103">
        <f>IF(AND('AES Indiana Bill Calc.'!$D$17="PL",'AES Indiana Bill Calc.'!$D$18="Yes 50%",'AES Indiana Bill Calc.'!$D$20="Yes 2023"),'AES Indiana Bill Calc.'!$D$19,-1)</f>
        <v>-1</v>
      </c>
      <c r="C734" s="103">
        <f>MAX(E734,$C$653)</f>
        <v>500</v>
      </c>
      <c r="D734" s="103" t="b">
        <f>IF(AND('AES Indiana Bill Calc.'!$D$17="PL",'AES Indiana Bill Calc.'!$D$18="Yes 50%",'AES Indiana Bill Calc.'!$D$20="Yes 2023"),'AES Indiana Bill Calc.'!$D$22)</f>
        <v>0</v>
      </c>
      <c r="E734" s="103" t="b">
        <f>IF(AND('AES Indiana Bill Calc.'!$D$17="PL",'AES Indiana Bill Calc.'!$D$18="Yes 50%",'AES Indiana Bill Calc.'!$D$20="Yes 2023"),'AES Indiana Bill Calc.'!$D$21)</f>
        <v>0</v>
      </c>
      <c r="F734" s="36" t="s">
        <v>209</v>
      </c>
      <c r="G734" s="42" t="e">
        <f>SUM(J734:M734,R734:AA734)</f>
        <v>#N/A</v>
      </c>
      <c r="H734" s="19" t="e">
        <f>IF(ISBLANK(B734),0,+#REF!/B734)</f>
        <v>#REF!</v>
      </c>
      <c r="I734" s="19"/>
      <c r="J734" s="88">
        <f>IF(ISBLANK(B734),0,+J$657)</f>
        <v>130</v>
      </c>
      <c r="K734" s="42">
        <f>ROUND($B734*K$657,2)</f>
        <v>-0.04</v>
      </c>
      <c r="L734" s="92">
        <f>IF($C734&gt;L$658,ROUND(L$658*L$657,2),ROUND($C734*L$657,2))</f>
        <v>14150</v>
      </c>
      <c r="M734" s="92">
        <f>IF($C734&gt;L$658,ROUND(($C734-L$658)*M$657,2),0)</f>
        <v>0</v>
      </c>
      <c r="N734" s="92">
        <f>K734</f>
        <v>-0.04</v>
      </c>
      <c r="O734" s="42"/>
      <c r="P734" s="42"/>
      <c r="Q734" s="92">
        <f>SUM(L734:M734)</f>
        <v>14150</v>
      </c>
      <c r="R734" s="82" t="e">
        <f>ROUND(SUM(K734:M734)*(R733-1),2)</f>
        <v>#N/A</v>
      </c>
      <c r="S734" s="42">
        <f>ROUND($B734*S$657*S733,2)</f>
        <v>0</v>
      </c>
      <c r="T734" s="42">
        <f>ROUND($B734*T$657,2)</f>
        <v>0</v>
      </c>
      <c r="U734" s="42">
        <f>ROUND($B734*U$657,2)</f>
        <v>0</v>
      </c>
      <c r="V734" s="41">
        <f>ROUND($B734*V$653,2)</f>
        <v>0</v>
      </c>
      <c r="W734" s="42">
        <f>ROUND($B734*W$657,2)</f>
        <v>0</v>
      </c>
      <c r="X734" s="42">
        <f>ROUND($B734*X$657,2)</f>
        <v>-0.01</v>
      </c>
      <c r="Y734" s="42">
        <f>ROUND($B734*Y$657,2)</f>
        <v>0</v>
      </c>
      <c r="Z734" s="42">
        <f>ROUND($B734*Z$657,2)</f>
        <v>0</v>
      </c>
      <c r="AA734" s="42">
        <f>ROUND($B734*AA$657,2)</f>
        <v>0</v>
      </c>
      <c r="AB734" s="19">
        <f>SUM(U$657:AA$657)+(-V$657+V679)</f>
        <v>1.2243E-2</v>
      </c>
      <c r="AC734" s="94" t="str">
        <f>+F734</f>
        <v>PL3</v>
      </c>
    </row>
    <row r="735" spans="1:29" x14ac:dyDescent="0.2">
      <c r="A735" s="9"/>
      <c r="B735" s="97">
        <v>-1</v>
      </c>
      <c r="D735" s="41"/>
      <c r="E735" s="80"/>
      <c r="F735" s="36"/>
      <c r="G735" s="42"/>
      <c r="H735" s="19"/>
      <c r="I735" s="19"/>
      <c r="J735" s="88"/>
      <c r="K735" s="42"/>
      <c r="L735" s="42"/>
      <c r="M735" s="42"/>
      <c r="N735" s="42"/>
      <c r="O735" s="42"/>
      <c r="P735" s="42"/>
      <c r="Q735" s="42"/>
      <c r="R735" s="38" t="e">
        <f>VLOOKUP((D736),'Pwr Factor'!$A$1:$B$52,2)</f>
        <v>#N/A</v>
      </c>
      <c r="S735" s="50">
        <v>0.25</v>
      </c>
      <c r="T735" s="42"/>
      <c r="U735" s="42"/>
      <c r="V735" s="41"/>
      <c r="W735" s="42"/>
      <c r="X735" s="42"/>
      <c r="Y735" s="42"/>
      <c r="Z735" s="42"/>
      <c r="AA735" s="42"/>
      <c r="AB735" s="19"/>
      <c r="AC735" s="94"/>
    </row>
    <row r="736" spans="1:29" x14ac:dyDescent="0.2">
      <c r="A736" s="1" t="s">
        <v>140</v>
      </c>
      <c r="B736" s="103">
        <f>IF(AND('AES Indiana Bill Calc.'!$D$17="PL",'AES Indiana Bill Calc.'!$D$18="Yes 25%",'AES Indiana Bill Calc.'!$D$20="Yes 2023"),'AES Indiana Bill Calc.'!$D$19,-1)</f>
        <v>-1</v>
      </c>
      <c r="C736" s="103">
        <f>MAX(E736,$C$653)</f>
        <v>500</v>
      </c>
      <c r="D736" s="103" t="b">
        <f>IF(AND('AES Indiana Bill Calc.'!$D$17="PL",'AES Indiana Bill Calc.'!$D$18="Yes 25%",'AES Indiana Bill Calc.'!$D$20="Yes 2023"),'AES Indiana Bill Calc.'!$D$22)</f>
        <v>0</v>
      </c>
      <c r="E736" s="103" t="b">
        <f>IF(AND('AES Indiana Bill Calc.'!$D$17="PL",'AES Indiana Bill Calc.'!$D$18="Yes 25%",'AES Indiana Bill Calc.'!$D$20="Yes 2023"),'AES Indiana Bill Calc.'!$D$21)</f>
        <v>0</v>
      </c>
      <c r="F736" s="36" t="s">
        <v>209</v>
      </c>
      <c r="G736" s="42" t="e">
        <f>SUM(J736:M736,R736:AA736)</f>
        <v>#N/A</v>
      </c>
      <c r="H736" s="19" t="e">
        <f>IF(ISBLANK(B736),0,+#REF!/B736)</f>
        <v>#REF!</v>
      </c>
      <c r="I736" s="19"/>
      <c r="J736" s="88">
        <f>IF(ISBLANK(B736),0,+J$657)</f>
        <v>130</v>
      </c>
      <c r="K736" s="42">
        <f>ROUND($B736*K$657,2)</f>
        <v>-0.04</v>
      </c>
      <c r="L736" s="92">
        <f>IF($C736&gt;L$658,ROUND(L$658*L$657,2),ROUND($C736*L$657,2))</f>
        <v>14150</v>
      </c>
      <c r="M736" s="92">
        <f>IF($C736&gt;L$658,ROUND(($C736-L$658)*M$657,2),0)</f>
        <v>0</v>
      </c>
      <c r="N736" s="92">
        <f>K736</f>
        <v>-0.04</v>
      </c>
      <c r="O736" s="42"/>
      <c r="P736" s="42"/>
      <c r="Q736" s="92">
        <f>SUM(L736:M736)</f>
        <v>14150</v>
      </c>
      <c r="R736" s="82" t="e">
        <f>ROUND(SUM(K736:M736)*(R735-1),2)</f>
        <v>#N/A</v>
      </c>
      <c r="S736" s="42">
        <f>ROUND($B736*S$657*S735,2)</f>
        <v>0</v>
      </c>
      <c r="T736" s="42">
        <f>ROUND($B736*T$657,2)</f>
        <v>0</v>
      </c>
      <c r="U736" s="42">
        <f>ROUND($B736*U$657,2)</f>
        <v>0</v>
      </c>
      <c r="V736" s="41">
        <f>ROUND($B736*V$653,2)</f>
        <v>0</v>
      </c>
      <c r="W736" s="42">
        <f>ROUND($B736*W$657,2)</f>
        <v>0</v>
      </c>
      <c r="X736" s="42">
        <f>ROUND($B736*X$657,2)</f>
        <v>-0.01</v>
      </c>
      <c r="Y736" s="42">
        <f>ROUND($B736*Y$657,2)</f>
        <v>0</v>
      </c>
      <c r="Z736" s="42">
        <f>ROUND($B736*Z$657,2)</f>
        <v>0</v>
      </c>
      <c r="AA736" s="42">
        <f>ROUND($B736*AA$657,2)</f>
        <v>0</v>
      </c>
      <c r="AB736" s="19">
        <f>SUM(U$657:AA$657)+(-V$657+V681)</f>
        <v>1.2243E-2</v>
      </c>
      <c r="AC736" s="94" t="str">
        <f>+F736</f>
        <v>PL3</v>
      </c>
    </row>
    <row r="737" spans="1:29" x14ac:dyDescent="0.2">
      <c r="A737" s="9"/>
      <c r="B737" s="97">
        <v>-1</v>
      </c>
      <c r="D737" s="41"/>
      <c r="E737" s="80"/>
      <c r="F737" s="36"/>
      <c r="G737" s="42"/>
      <c r="H737" s="19"/>
      <c r="I737" s="19"/>
      <c r="J737" s="88"/>
      <c r="K737" s="42"/>
      <c r="L737" s="42"/>
      <c r="M737" s="42"/>
      <c r="N737" s="42"/>
      <c r="O737" s="42"/>
      <c r="P737" s="42"/>
      <c r="Q737" s="42"/>
      <c r="R737" s="38" t="e">
        <f>VLOOKUP((D738),'Pwr Factor'!$A$1:$B$52,2)</f>
        <v>#N/A</v>
      </c>
      <c r="S737" s="50">
        <v>0.1</v>
      </c>
      <c r="T737" s="42"/>
      <c r="U737" s="42"/>
      <c r="V737" s="41"/>
      <c r="W737" s="42"/>
      <c r="X737" s="42"/>
      <c r="Y737" s="42"/>
      <c r="Z737" s="42"/>
      <c r="AA737" s="42"/>
      <c r="AB737" s="19"/>
      <c r="AC737" s="94"/>
    </row>
    <row r="738" spans="1:29" x14ac:dyDescent="0.2">
      <c r="A738" s="1" t="s">
        <v>154</v>
      </c>
      <c r="B738" s="103">
        <f>IF(AND('AES Indiana Bill Calc.'!$D$17="PL",'AES Indiana Bill Calc.'!$D$18="Yes 10%",'AES Indiana Bill Calc.'!$D$20="Yes 2023"),'AES Indiana Bill Calc.'!$D$19,-1)</f>
        <v>-1</v>
      </c>
      <c r="C738" s="103">
        <f>MAX(E738,$C$653)</f>
        <v>500</v>
      </c>
      <c r="D738" s="103" t="b">
        <f>IF(AND('AES Indiana Bill Calc.'!$D$17="PL",'AES Indiana Bill Calc.'!$D$18="Yes 10%",'AES Indiana Bill Calc.'!$D$20="Yes 2023"),'AES Indiana Bill Calc.'!$D$22)</f>
        <v>0</v>
      </c>
      <c r="E738" s="103" t="b">
        <f>IF(AND('AES Indiana Bill Calc.'!$D$17="PL",'AES Indiana Bill Calc.'!$D$18="Yes 10%",'AES Indiana Bill Calc.'!$D$20="Yes 2023"),'AES Indiana Bill Calc.'!$D$21)</f>
        <v>0</v>
      </c>
      <c r="F738" s="36" t="s">
        <v>209</v>
      </c>
      <c r="G738" s="42" t="e">
        <f>SUM(J738:M738,R738:AA738)</f>
        <v>#N/A</v>
      </c>
      <c r="H738" s="19" t="e">
        <f>IF(ISBLANK(B738),0,+#REF!/B738)</f>
        <v>#REF!</v>
      </c>
      <c r="I738" s="19"/>
      <c r="J738" s="88">
        <f>IF(ISBLANK(B738),0,+J$657)</f>
        <v>130</v>
      </c>
      <c r="K738" s="42">
        <f>ROUND($B738*K$657,2)</f>
        <v>-0.04</v>
      </c>
      <c r="L738" s="92">
        <f>IF($C738&gt;L$658,ROUND(L$658*L$657,2),ROUND($C738*L$657,2))</f>
        <v>14150</v>
      </c>
      <c r="M738" s="92">
        <f>IF($C738&gt;L$658,ROUND(($C738-L$658)*M$657,2),0)</f>
        <v>0</v>
      </c>
      <c r="N738" s="92">
        <f>K738</f>
        <v>-0.04</v>
      </c>
      <c r="O738" s="42"/>
      <c r="P738" s="42"/>
      <c r="Q738" s="92">
        <f>SUM(L738:M738)</f>
        <v>14150</v>
      </c>
      <c r="R738" s="82" t="e">
        <f>ROUND(SUM(K738:M738)*(R737-1),2)</f>
        <v>#N/A</v>
      </c>
      <c r="S738" s="42">
        <f>ROUND($B738*S$657*S737,2)</f>
        <v>0</v>
      </c>
      <c r="T738" s="42">
        <f>ROUND($B738*T$657,2)</f>
        <v>0</v>
      </c>
      <c r="U738" s="42">
        <f>ROUND($B738*U$657,2)</f>
        <v>0</v>
      </c>
      <c r="V738" s="41">
        <f>ROUND($B738*V$653,2)</f>
        <v>0</v>
      </c>
      <c r="W738" s="42">
        <f>ROUND($B738*W$657,2)</f>
        <v>0</v>
      </c>
      <c r="X738" s="42">
        <f>ROUND($B738*X$657,2)</f>
        <v>-0.01</v>
      </c>
      <c r="Y738" s="42">
        <f>ROUND($B738*Y$657,2)</f>
        <v>0</v>
      </c>
      <c r="Z738" s="42">
        <f>ROUND($B738*Z$657,2)</f>
        <v>0</v>
      </c>
      <c r="AA738" s="42">
        <f>ROUND($B738*AA$657,2)</f>
        <v>0</v>
      </c>
      <c r="AB738" s="19">
        <f>SUM(U$657:AA$657)+(-V$657+V683)</f>
        <v>1.2243E-2</v>
      </c>
      <c r="AC738" s="94" t="str">
        <f>+F738</f>
        <v>PL3</v>
      </c>
    </row>
    <row r="739" spans="1:29" x14ac:dyDescent="0.2">
      <c r="A739" s="9"/>
      <c r="B739" s="97">
        <v>-1</v>
      </c>
      <c r="D739" s="41"/>
      <c r="E739" s="80"/>
      <c r="F739" s="36"/>
      <c r="G739" s="42"/>
      <c r="H739" s="19"/>
      <c r="I739" s="19"/>
      <c r="J739" s="88"/>
      <c r="K739" s="42"/>
      <c r="L739" s="42"/>
      <c r="M739" s="42"/>
      <c r="N739" s="42"/>
      <c r="O739" s="42"/>
      <c r="P739" s="42"/>
      <c r="Q739" s="42"/>
      <c r="R739" s="38" t="e">
        <f>VLOOKUP((D740),'Pwr Factor'!$A$1:$B$52,2)</f>
        <v>#N/A</v>
      </c>
      <c r="S739" s="50">
        <v>0</v>
      </c>
      <c r="T739" s="42"/>
      <c r="U739" s="42"/>
      <c r="V739" s="41"/>
      <c r="W739" s="42"/>
      <c r="X739" s="42"/>
      <c r="Y739" s="42"/>
      <c r="Z739" s="42"/>
      <c r="AA739" s="42"/>
      <c r="AB739" s="19"/>
      <c r="AC739" s="94"/>
    </row>
    <row r="740" spans="1:29" x14ac:dyDescent="0.2">
      <c r="A740" s="1" t="s">
        <v>137</v>
      </c>
      <c r="B740" s="103">
        <f>IF(AND('AES Indiana Bill Calc.'!$D$17="PL",'AES Indiana Bill Calc.'!$D$18="No",'AES Indiana Bill Calc.'!$D$20="Yes 2023"),'AES Indiana Bill Calc.'!$D$19,-1)</f>
        <v>-1</v>
      </c>
      <c r="C740" s="103">
        <f>MAX(E740,$C$653)</f>
        <v>500</v>
      </c>
      <c r="D740" s="103" t="b">
        <f>IF(AND('AES Indiana Bill Calc.'!$D$17="PL",'AES Indiana Bill Calc.'!$D$18="No",'AES Indiana Bill Calc.'!$D$20="Yes 2023"),'AES Indiana Bill Calc.'!$D$22)</f>
        <v>0</v>
      </c>
      <c r="E740" s="103" t="b">
        <f>IF(AND('AES Indiana Bill Calc.'!$D$17="PL",'AES Indiana Bill Calc.'!$D$18="No",'AES Indiana Bill Calc.'!$D$20="Yes 2023"),'AES Indiana Bill Calc.'!$D$21)</f>
        <v>0</v>
      </c>
      <c r="F740" s="36" t="s">
        <v>209</v>
      </c>
      <c r="G740" s="42" t="e">
        <f>SUM(J740:M740,R740:AA740)</f>
        <v>#N/A</v>
      </c>
      <c r="H740" s="19" t="e">
        <f>IF(ISBLANK(B740),0,+#REF!/B740)</f>
        <v>#REF!</v>
      </c>
      <c r="I740" s="19"/>
      <c r="J740" s="88">
        <f>IF(ISBLANK(B740),0,+J$657)</f>
        <v>130</v>
      </c>
      <c r="K740" s="42">
        <f>ROUND($B740*K$657,2)</f>
        <v>-0.04</v>
      </c>
      <c r="L740" s="92">
        <f>IF($C740&gt;L$658,ROUND(L$658*L$657,2),ROUND($C740*L$657,2))</f>
        <v>14150</v>
      </c>
      <c r="M740" s="92">
        <f>IF($C740&gt;L$658,ROUND(($C740-L$658)*M$657,2),0)</f>
        <v>0</v>
      </c>
      <c r="N740" s="92">
        <f>K740</f>
        <v>-0.04</v>
      </c>
      <c r="O740" s="42"/>
      <c r="P740" s="42"/>
      <c r="Q740" s="92">
        <f>SUM(L740:M740)</f>
        <v>14150</v>
      </c>
      <c r="R740" s="82" t="e">
        <f>ROUND(SUM(K740:M740)*(R739-1),2)</f>
        <v>#N/A</v>
      </c>
      <c r="S740" s="42">
        <f>ROUND($B740*S$657*S739,2)</f>
        <v>0</v>
      </c>
      <c r="T740" s="42">
        <f>ROUND($B740*T$657,2)</f>
        <v>0</v>
      </c>
      <c r="U740" s="42">
        <f>ROUND($B740*U$657,2)</f>
        <v>0</v>
      </c>
      <c r="V740" s="41">
        <f>ROUND($B740*V$653,2)</f>
        <v>0</v>
      </c>
      <c r="W740" s="42">
        <f>ROUND($B740*W$657,2)</f>
        <v>0</v>
      </c>
      <c r="X740" s="42">
        <f>ROUND($B740*X$657,2)</f>
        <v>-0.01</v>
      </c>
      <c r="Y740" s="42">
        <f>ROUND($B740*Y$657,2)</f>
        <v>0</v>
      </c>
      <c r="Z740" s="42">
        <f>ROUND($B740*Z$657,2)</f>
        <v>0</v>
      </c>
      <c r="AA740" s="42">
        <f>ROUND($B740*AA$657,2)</f>
        <v>0</v>
      </c>
      <c r="AB740" s="19">
        <f>SUM(U$657:AA$657)+(-V$657+V685)</f>
        <v>1.2243E-2</v>
      </c>
      <c r="AC740" s="94" t="str">
        <f>+F740</f>
        <v>PL3</v>
      </c>
    </row>
    <row r="741" spans="1:29" ht="15" customHeight="1" x14ac:dyDescent="0.2">
      <c r="B741" s="97">
        <v>-1</v>
      </c>
      <c r="D741" s="41"/>
      <c r="E741" s="80"/>
      <c r="F741" s="36"/>
      <c r="G741" s="42"/>
      <c r="H741" s="19"/>
      <c r="I741" s="19"/>
      <c r="J741" s="88"/>
      <c r="K741" s="42"/>
      <c r="L741" s="42"/>
      <c r="M741" s="42"/>
      <c r="N741" s="42"/>
      <c r="O741" s="42"/>
      <c r="P741" s="42"/>
      <c r="Q741" s="42"/>
      <c r="R741" s="38" t="e">
        <f>VLOOKUP((D742),'Pwr Factor'!$A$1:$B$52,2)</f>
        <v>#N/A</v>
      </c>
      <c r="S741" s="50">
        <v>1</v>
      </c>
      <c r="T741" s="42"/>
      <c r="U741" s="42"/>
      <c r="V741" s="41"/>
      <c r="W741" s="42"/>
      <c r="X741" s="42"/>
      <c r="Y741" s="42"/>
      <c r="Z741" s="42"/>
      <c r="AA741" s="42"/>
      <c r="AB741" s="19"/>
      <c r="AC741" s="94"/>
    </row>
    <row r="742" spans="1:29" x14ac:dyDescent="0.2">
      <c r="A742" s="1" t="s">
        <v>138</v>
      </c>
      <c r="B742" s="103">
        <f>IF(AND('AES Indiana Bill Calc.'!$D$17="PL",'AES Indiana Bill Calc.'!$D$18="Yes 100%",'AES Indiana Bill Calc.'!$D$20="Yes 2024"),'AES Indiana Bill Calc.'!$D$19,-1)</f>
        <v>-1</v>
      </c>
      <c r="C742" s="103">
        <f>MAX(E742,$C$653)</f>
        <v>500</v>
      </c>
      <c r="D742" s="103" t="b">
        <f>IF(AND('AES Indiana Bill Calc.'!$D$17="PL",'AES Indiana Bill Calc.'!$D$18="Yes 100%",'AES Indiana Bill Calc.'!$D$20="Yes 2024"),'AES Indiana Bill Calc.'!$D$22)</f>
        <v>0</v>
      </c>
      <c r="E742" s="103" t="b">
        <f>IF(AND('AES Indiana Bill Calc.'!$D$17="PL",'AES Indiana Bill Calc.'!$D$18="Yes 100%",'AES Indiana Bill Calc.'!$D$20="Yes 2024"),'AES Indiana Bill Calc.'!$D$21)</f>
        <v>0</v>
      </c>
      <c r="F742" s="36" t="s">
        <v>289</v>
      </c>
      <c r="G742" s="42" t="e">
        <f>SUM(J742:M742,R742:AA742)</f>
        <v>#N/A</v>
      </c>
      <c r="H742" s="19" t="e">
        <f>IF(ISBLANK(B742),0,+#REF!/B742)</f>
        <v>#REF!</v>
      </c>
      <c r="I742" s="19"/>
      <c r="J742" s="88">
        <f>IF(ISBLANK(B742),0,+J$657)</f>
        <v>130</v>
      </c>
      <c r="K742" s="42">
        <f>ROUND($B742*K$657,2)</f>
        <v>-0.04</v>
      </c>
      <c r="L742" s="92">
        <f>IF($C742&gt;L$658,ROUND(L$658*L$657,2),ROUND($C742*L$657,2))</f>
        <v>14150</v>
      </c>
      <c r="M742" s="92">
        <f>IF($C742&gt;L$658,ROUND(($C742-L$658)*M$657,2),0)</f>
        <v>0</v>
      </c>
      <c r="N742" s="92">
        <f>K742</f>
        <v>-0.04</v>
      </c>
      <c r="O742" s="42"/>
      <c r="P742" s="42"/>
      <c r="Q742" s="92">
        <f>SUM(L742:M742)</f>
        <v>14150</v>
      </c>
      <c r="R742" s="82" t="e">
        <f>ROUND(SUM(K742:M742)*(R741-1),2)</f>
        <v>#N/A</v>
      </c>
      <c r="S742" s="42">
        <f>ROUND($B742*S$657*S741,2)</f>
        <v>0</v>
      </c>
      <c r="T742" s="42">
        <f>ROUND($B742*T$657,2)</f>
        <v>0</v>
      </c>
      <c r="U742" s="42">
        <f>ROUND($B742*U$657,2)</f>
        <v>0</v>
      </c>
      <c r="V742" s="41">
        <f>ROUND($B742*V$654,2)</f>
        <v>0</v>
      </c>
      <c r="W742" s="42">
        <f>ROUND($B742*W$657,2)</f>
        <v>0</v>
      </c>
      <c r="X742" s="42">
        <f>ROUND($B742*X$657,2)</f>
        <v>-0.01</v>
      </c>
      <c r="Y742" s="42">
        <f>ROUND($B742*Y$657,2)</f>
        <v>0</v>
      </c>
      <c r="Z742" s="42">
        <f>ROUND($B742*Z$657,2)</f>
        <v>0</v>
      </c>
      <c r="AA742" s="42">
        <f>ROUND($B742*AA$657,2)</f>
        <v>0</v>
      </c>
      <c r="AB742" s="19">
        <f>SUM(U$657:AA$657)+(-V$657+V687)</f>
        <v>1.2243E-2</v>
      </c>
      <c r="AC742" s="94" t="str">
        <f>+F742</f>
        <v>PL4</v>
      </c>
    </row>
    <row r="743" spans="1:29" x14ac:dyDescent="0.2">
      <c r="A743" s="9"/>
      <c r="B743" s="97">
        <v>-1</v>
      </c>
      <c r="D743" s="41"/>
      <c r="E743" s="80"/>
      <c r="F743" s="36"/>
      <c r="G743" s="42"/>
      <c r="H743" s="19"/>
      <c r="I743" s="19"/>
      <c r="J743" s="88"/>
      <c r="K743" s="42"/>
      <c r="L743" s="42"/>
      <c r="M743" s="42"/>
      <c r="N743" s="42"/>
      <c r="O743" s="42"/>
      <c r="P743" s="42"/>
      <c r="Q743" s="42"/>
      <c r="R743" s="38" t="e">
        <f>VLOOKUP((D744),'Pwr Factor'!$A$1:$B$52,2)</f>
        <v>#N/A</v>
      </c>
      <c r="S743" s="50">
        <v>0.5</v>
      </c>
      <c r="T743" s="42"/>
      <c r="U743" s="42"/>
      <c r="V743" s="41"/>
      <c r="W743" s="42"/>
      <c r="X743" s="42"/>
      <c r="Y743" s="42"/>
      <c r="Z743" s="42"/>
      <c r="AA743" s="42"/>
      <c r="AB743" s="19"/>
      <c r="AC743" s="94"/>
    </row>
    <row r="744" spans="1:29" x14ac:dyDescent="0.2">
      <c r="A744" s="1" t="s">
        <v>139</v>
      </c>
      <c r="B744" s="103">
        <f>IF(AND('AES Indiana Bill Calc.'!$D$17="PL",'AES Indiana Bill Calc.'!$D$18="Yes 50%",'AES Indiana Bill Calc.'!$D$20="Yes 2024"),'AES Indiana Bill Calc.'!$D$19,-1)</f>
        <v>-1</v>
      </c>
      <c r="C744" s="103">
        <f>MAX(E744,$C$653)</f>
        <v>500</v>
      </c>
      <c r="D744" s="103" t="b">
        <f>IF(AND('AES Indiana Bill Calc.'!$D$17="PL",'AES Indiana Bill Calc.'!$D$18="Yes 50%",'AES Indiana Bill Calc.'!$D$20="Yes 2024"),'AES Indiana Bill Calc.'!$D$22)</f>
        <v>0</v>
      </c>
      <c r="E744" s="103" t="b">
        <f>IF(AND('AES Indiana Bill Calc.'!$D$17="PL",'AES Indiana Bill Calc.'!$D$18="Yes 50%",'AES Indiana Bill Calc.'!$D$20="Yes 2024"),'AES Indiana Bill Calc.'!$D$21)</f>
        <v>0</v>
      </c>
      <c r="F744" s="36" t="s">
        <v>289</v>
      </c>
      <c r="G744" s="42" t="e">
        <f>SUM(J744:M744,R744:AA744)</f>
        <v>#N/A</v>
      </c>
      <c r="H744" s="19" t="e">
        <f>IF(ISBLANK(B744),0,+#REF!/B744)</f>
        <v>#REF!</v>
      </c>
      <c r="I744" s="19"/>
      <c r="J744" s="88">
        <f>IF(ISBLANK(B744),0,+J$657)</f>
        <v>130</v>
      </c>
      <c r="K744" s="42">
        <f>ROUND($B744*K$657,2)</f>
        <v>-0.04</v>
      </c>
      <c r="L744" s="92">
        <f>IF($C744&gt;L$658,ROUND(L$658*L$657,2),ROUND($C744*L$657,2))</f>
        <v>14150</v>
      </c>
      <c r="M744" s="92">
        <f>IF($C744&gt;L$658,ROUND(($C744-L$658)*M$657,2),0)</f>
        <v>0</v>
      </c>
      <c r="N744" s="92">
        <f>K744</f>
        <v>-0.04</v>
      </c>
      <c r="O744" s="42"/>
      <c r="P744" s="42"/>
      <c r="Q744" s="92">
        <f>SUM(L744:M744)</f>
        <v>14150</v>
      </c>
      <c r="R744" s="82" t="e">
        <f>ROUND(SUM(K744:M744)*(R743-1),2)</f>
        <v>#N/A</v>
      </c>
      <c r="S744" s="42">
        <f>ROUND($B744*S$657*S743,2)</f>
        <v>0</v>
      </c>
      <c r="T744" s="42">
        <f>ROUND($B744*T$657,2)</f>
        <v>0</v>
      </c>
      <c r="U744" s="42">
        <f>ROUND($B744*U$657,2)</f>
        <v>0</v>
      </c>
      <c r="V744" s="41">
        <f>ROUND($B744*V$654,2)</f>
        <v>0</v>
      </c>
      <c r="W744" s="42">
        <f>ROUND($B744*W$657,2)</f>
        <v>0</v>
      </c>
      <c r="X744" s="42">
        <f>ROUND($B744*X$657,2)</f>
        <v>-0.01</v>
      </c>
      <c r="Y744" s="42">
        <f>ROUND($B744*Y$657,2)</f>
        <v>0</v>
      </c>
      <c r="Z744" s="42">
        <f>ROUND($B744*Z$657,2)</f>
        <v>0</v>
      </c>
      <c r="AA744" s="42">
        <f>ROUND($B744*AA$657,2)</f>
        <v>0</v>
      </c>
      <c r="AB744" s="19">
        <f>SUM(U$657:AA$657)+(-V$657+V689)</f>
        <v>1.2243E-2</v>
      </c>
      <c r="AC744" s="94" t="str">
        <f>+F744</f>
        <v>PL4</v>
      </c>
    </row>
    <row r="745" spans="1:29" x14ac:dyDescent="0.2">
      <c r="A745" s="9"/>
      <c r="B745" s="97">
        <v>-1</v>
      </c>
      <c r="D745" s="41"/>
      <c r="E745" s="80"/>
      <c r="F745" s="36"/>
      <c r="G745" s="42"/>
      <c r="H745" s="19"/>
      <c r="I745" s="19"/>
      <c r="J745" s="88"/>
      <c r="K745" s="42"/>
      <c r="L745" s="42"/>
      <c r="M745" s="42"/>
      <c r="N745" s="42"/>
      <c r="O745" s="42"/>
      <c r="P745" s="42"/>
      <c r="Q745" s="42"/>
      <c r="R745" s="38" t="e">
        <f>VLOOKUP((D746),'Pwr Factor'!$A$1:$B$52,2)</f>
        <v>#N/A</v>
      </c>
      <c r="S745" s="50">
        <v>0.25</v>
      </c>
      <c r="T745" s="42"/>
      <c r="U745" s="42"/>
      <c r="V745" s="41"/>
      <c r="W745" s="42"/>
      <c r="X745" s="42"/>
      <c r="Y745" s="42"/>
      <c r="Z745" s="42"/>
      <c r="AA745" s="42"/>
      <c r="AB745" s="19"/>
      <c r="AC745" s="94"/>
    </row>
    <row r="746" spans="1:29" x14ac:dyDescent="0.2">
      <c r="A746" s="1" t="s">
        <v>140</v>
      </c>
      <c r="B746" s="103">
        <f>IF(AND('AES Indiana Bill Calc.'!$D$17="PL",'AES Indiana Bill Calc.'!$D$18="Yes 25%",'AES Indiana Bill Calc.'!$D$20="Yes 2024"),'AES Indiana Bill Calc.'!$D$19,-1)</f>
        <v>-1</v>
      </c>
      <c r="C746" s="103">
        <f>MAX(E746,$C$653)</f>
        <v>500</v>
      </c>
      <c r="D746" s="103" t="b">
        <f>IF(AND('AES Indiana Bill Calc.'!$D$17="PL",'AES Indiana Bill Calc.'!$D$18="Yes 25%",'AES Indiana Bill Calc.'!$D$20="Yes 2024"),'AES Indiana Bill Calc.'!$D$22)</f>
        <v>0</v>
      </c>
      <c r="E746" s="103" t="b">
        <f>IF(AND('AES Indiana Bill Calc.'!$D$17="PL",'AES Indiana Bill Calc.'!$D$18="Yes 25%",'AES Indiana Bill Calc.'!$D$20="Yes 2024"),'AES Indiana Bill Calc.'!$D$21)</f>
        <v>0</v>
      </c>
      <c r="F746" s="36" t="s">
        <v>289</v>
      </c>
      <c r="G746" s="42" t="e">
        <f>SUM(J746:M746,R746:AA746)</f>
        <v>#N/A</v>
      </c>
      <c r="H746" s="19" t="e">
        <f>IF(ISBLANK(B746),0,+#REF!/B746)</f>
        <v>#REF!</v>
      </c>
      <c r="I746" s="19"/>
      <c r="J746" s="88">
        <f>IF(ISBLANK(B746),0,+J$657)</f>
        <v>130</v>
      </c>
      <c r="K746" s="42">
        <f>ROUND($B746*K$657,2)</f>
        <v>-0.04</v>
      </c>
      <c r="L746" s="92">
        <f>IF($C746&gt;L$658,ROUND(L$658*L$657,2),ROUND($C746*L$657,2))</f>
        <v>14150</v>
      </c>
      <c r="M746" s="92">
        <f>IF($C746&gt;L$658,ROUND(($C746-L$658)*M$657,2),0)</f>
        <v>0</v>
      </c>
      <c r="N746" s="92">
        <f>K746</f>
        <v>-0.04</v>
      </c>
      <c r="O746" s="42"/>
      <c r="P746" s="42"/>
      <c r="Q746" s="92">
        <f>SUM(L746:M746)</f>
        <v>14150</v>
      </c>
      <c r="R746" s="82" t="e">
        <f>ROUND(SUM(K746:M746)*(R745-1),2)</f>
        <v>#N/A</v>
      </c>
      <c r="S746" s="42">
        <f>ROUND($B746*S$657*S745,2)</f>
        <v>0</v>
      </c>
      <c r="T746" s="42">
        <f>ROUND($B746*T$657,2)</f>
        <v>0</v>
      </c>
      <c r="U746" s="42">
        <f>ROUND($B746*U$657,2)</f>
        <v>0</v>
      </c>
      <c r="V746" s="41">
        <f>ROUND($B746*V$654,2)</f>
        <v>0</v>
      </c>
      <c r="W746" s="42">
        <f>ROUND($B746*W$657,2)</f>
        <v>0</v>
      </c>
      <c r="X746" s="42">
        <f>ROUND($B746*X$657,2)</f>
        <v>-0.01</v>
      </c>
      <c r="Y746" s="42">
        <f>ROUND($B746*Y$657,2)</f>
        <v>0</v>
      </c>
      <c r="Z746" s="42">
        <f>ROUND($B746*Z$657,2)</f>
        <v>0</v>
      </c>
      <c r="AA746" s="42">
        <f>ROUND($B746*AA$657,2)</f>
        <v>0</v>
      </c>
      <c r="AB746" s="19">
        <f>SUM(U$657:AA$657)+(-V$657+V691)</f>
        <v>1.2243E-2</v>
      </c>
      <c r="AC746" s="94" t="str">
        <f>+F746</f>
        <v>PL4</v>
      </c>
    </row>
    <row r="747" spans="1:29" x14ac:dyDescent="0.2">
      <c r="A747" s="9"/>
      <c r="B747" s="97">
        <v>-1</v>
      </c>
      <c r="D747" s="41"/>
      <c r="E747" s="80"/>
      <c r="F747" s="36"/>
      <c r="G747" s="42"/>
      <c r="H747" s="19"/>
      <c r="I747" s="19"/>
      <c r="J747" s="88"/>
      <c r="K747" s="42"/>
      <c r="L747" s="42"/>
      <c r="M747" s="42"/>
      <c r="N747" s="42"/>
      <c r="O747" s="42"/>
      <c r="P747" s="42"/>
      <c r="Q747" s="42"/>
      <c r="R747" s="38" t="e">
        <f>VLOOKUP((D748),'Pwr Factor'!$A$1:$B$52,2)</f>
        <v>#N/A</v>
      </c>
      <c r="S747" s="50">
        <v>0.1</v>
      </c>
      <c r="T747" s="42"/>
      <c r="U747" s="42"/>
      <c r="V747" s="41"/>
      <c r="W747" s="42"/>
      <c r="X747" s="42"/>
      <c r="Y747" s="42"/>
      <c r="Z747" s="42"/>
      <c r="AA747" s="42"/>
      <c r="AB747" s="19"/>
      <c r="AC747" s="94"/>
    </row>
    <row r="748" spans="1:29" x14ac:dyDescent="0.2">
      <c r="A748" s="1" t="s">
        <v>154</v>
      </c>
      <c r="B748" s="103">
        <f>IF(AND('AES Indiana Bill Calc.'!$D$17="PL",'AES Indiana Bill Calc.'!$D$18="Yes 10%",'AES Indiana Bill Calc.'!$D$20="Yes 2024"),'AES Indiana Bill Calc.'!$D$19,-1)</f>
        <v>-1</v>
      </c>
      <c r="C748" s="103">
        <f>MAX(E748,$C$653)</f>
        <v>500</v>
      </c>
      <c r="D748" s="103" t="b">
        <f>IF(AND('AES Indiana Bill Calc.'!$D$17="PL",'AES Indiana Bill Calc.'!$D$18="Yes 10%",'AES Indiana Bill Calc.'!$D$20="Yes 2024"),'AES Indiana Bill Calc.'!$D$22)</f>
        <v>0</v>
      </c>
      <c r="E748" s="103" t="b">
        <f>IF(AND('AES Indiana Bill Calc.'!$D$17="PL",'AES Indiana Bill Calc.'!$D$18="Yes 10%",'AES Indiana Bill Calc.'!$D$20="Yes 2024"),'AES Indiana Bill Calc.'!$D$21)</f>
        <v>0</v>
      </c>
      <c r="F748" s="36" t="s">
        <v>289</v>
      </c>
      <c r="G748" s="42" t="e">
        <f>SUM(J748:M748,R748:AA748)</f>
        <v>#N/A</v>
      </c>
      <c r="H748" s="19" t="e">
        <f>IF(ISBLANK(B748),0,+#REF!/B748)</f>
        <v>#REF!</v>
      </c>
      <c r="I748" s="19"/>
      <c r="J748" s="88">
        <f>IF(ISBLANK(B748),0,+J$657)</f>
        <v>130</v>
      </c>
      <c r="K748" s="42">
        <f>ROUND($B748*K$657,2)</f>
        <v>-0.04</v>
      </c>
      <c r="L748" s="92">
        <f>IF($C748&gt;L$658,ROUND(L$658*L$657,2),ROUND($C748*L$657,2))</f>
        <v>14150</v>
      </c>
      <c r="M748" s="92">
        <f>IF($C748&gt;L$658,ROUND(($C748-L$658)*M$657,2),0)</f>
        <v>0</v>
      </c>
      <c r="N748" s="92">
        <f>K748</f>
        <v>-0.04</v>
      </c>
      <c r="O748" s="42"/>
      <c r="P748" s="42"/>
      <c r="Q748" s="92">
        <f>SUM(L748:M748)</f>
        <v>14150</v>
      </c>
      <c r="R748" s="82" t="e">
        <f>ROUND(SUM(K748:M748)*(R747-1),2)</f>
        <v>#N/A</v>
      </c>
      <c r="S748" s="42">
        <f>ROUND($B748*S$657*S747,2)</f>
        <v>0</v>
      </c>
      <c r="T748" s="42">
        <f>ROUND($B748*T$657,2)</f>
        <v>0</v>
      </c>
      <c r="U748" s="42">
        <f>ROUND($B748*U$657,2)</f>
        <v>0</v>
      </c>
      <c r="V748" s="41">
        <f>ROUND($B748*V$654,2)</f>
        <v>0</v>
      </c>
      <c r="W748" s="42">
        <f>ROUND($B748*W$657,2)</f>
        <v>0</v>
      </c>
      <c r="X748" s="42">
        <f>ROUND($B748*X$657,2)</f>
        <v>-0.01</v>
      </c>
      <c r="Y748" s="42">
        <f>ROUND($B748*Y$657,2)</f>
        <v>0</v>
      </c>
      <c r="Z748" s="42">
        <f>ROUND($B748*Z$657,2)</f>
        <v>0</v>
      </c>
      <c r="AA748" s="42">
        <f>ROUND($B748*AA$657,2)</f>
        <v>0</v>
      </c>
      <c r="AB748" s="19">
        <f>SUM(U$657:AA$657)+(-V$657+V693)</f>
        <v>1.2243E-2</v>
      </c>
      <c r="AC748" s="94" t="str">
        <f>+F748</f>
        <v>PL4</v>
      </c>
    </row>
    <row r="749" spans="1:29" x14ac:dyDescent="0.2">
      <c r="A749" s="9"/>
      <c r="B749" s="97">
        <v>-1</v>
      </c>
      <c r="D749" s="41"/>
      <c r="E749" s="80"/>
      <c r="F749" s="36"/>
      <c r="G749" s="42"/>
      <c r="H749" s="19"/>
      <c r="I749" s="19"/>
      <c r="J749" s="88"/>
      <c r="K749" s="42"/>
      <c r="L749" s="42"/>
      <c r="M749" s="42"/>
      <c r="N749" s="42"/>
      <c r="O749" s="42"/>
      <c r="P749" s="42"/>
      <c r="Q749" s="42"/>
      <c r="R749" s="38" t="e">
        <f>VLOOKUP((D750),'Pwr Factor'!$A$1:$B$52,2)</f>
        <v>#N/A</v>
      </c>
      <c r="S749" s="50">
        <v>0</v>
      </c>
      <c r="T749" s="42"/>
      <c r="U749" s="42"/>
      <c r="V749" s="41"/>
      <c r="W749" s="42"/>
      <c r="X749" s="42"/>
      <c r="Y749" s="42"/>
      <c r="Z749" s="42"/>
      <c r="AA749" s="42"/>
      <c r="AB749" s="19"/>
      <c r="AC749" s="94"/>
    </row>
    <row r="750" spans="1:29" x14ac:dyDescent="0.2">
      <c r="A750" s="1" t="s">
        <v>137</v>
      </c>
      <c r="B750" s="103">
        <f>IF(AND('AES Indiana Bill Calc.'!$D$17="PL",'AES Indiana Bill Calc.'!$D$18="No",'AES Indiana Bill Calc.'!$D$20="Yes 2024"),'AES Indiana Bill Calc.'!$D$19,-1)</f>
        <v>-1</v>
      </c>
      <c r="C750" s="103">
        <f>MAX(E750,$C$653)</f>
        <v>500</v>
      </c>
      <c r="D750" s="103" t="b">
        <f>IF(AND('AES Indiana Bill Calc.'!$D$17="PL",'AES Indiana Bill Calc.'!$D$18="No",'AES Indiana Bill Calc.'!$D$20="Yes 2024"),'AES Indiana Bill Calc.'!$D$22)</f>
        <v>0</v>
      </c>
      <c r="E750" s="103" t="b">
        <f>IF(AND('AES Indiana Bill Calc.'!$D$17="PL",'AES Indiana Bill Calc.'!$D$18="No",'AES Indiana Bill Calc.'!$D$20="Yes 2024"),'AES Indiana Bill Calc.'!$D$21)</f>
        <v>0</v>
      </c>
      <c r="F750" s="36" t="s">
        <v>289</v>
      </c>
      <c r="G750" s="42" t="e">
        <f>SUM(J750:M750,R750:AA750)</f>
        <v>#N/A</v>
      </c>
      <c r="H750" s="19" t="e">
        <f>IF(ISBLANK(B750),0,+#REF!/B750)</f>
        <v>#REF!</v>
      </c>
      <c r="I750" s="19"/>
      <c r="J750" s="88">
        <f>IF(ISBLANK(B750),0,+J$657)</f>
        <v>130</v>
      </c>
      <c r="K750" s="42">
        <f>ROUND($B750*K$657,2)</f>
        <v>-0.04</v>
      </c>
      <c r="L750" s="92">
        <f>IF($C750&gt;L$658,ROUND(L$658*L$657,2),ROUND($C750*L$657,2))</f>
        <v>14150</v>
      </c>
      <c r="M750" s="92">
        <f>IF($C750&gt;L$658,ROUND(($C750-L$658)*M$657,2),0)</f>
        <v>0</v>
      </c>
      <c r="N750" s="92">
        <f>K750</f>
        <v>-0.04</v>
      </c>
      <c r="O750" s="42"/>
      <c r="P750" s="42"/>
      <c r="Q750" s="92">
        <f>SUM(L750:M750)</f>
        <v>14150</v>
      </c>
      <c r="R750" s="82" t="e">
        <f>ROUND(SUM(K750:M750)*(R749-1),2)</f>
        <v>#N/A</v>
      </c>
      <c r="S750" s="42">
        <f>ROUND($B750*S$657*S749,2)</f>
        <v>0</v>
      </c>
      <c r="T750" s="42">
        <f>ROUND($B750*T$657,2)</f>
        <v>0</v>
      </c>
      <c r="U750" s="42">
        <f>ROUND($B750*U$657,2)</f>
        <v>0</v>
      </c>
      <c r="V750" s="41">
        <f>ROUND($B750*V$654,2)</f>
        <v>0</v>
      </c>
      <c r="W750" s="42">
        <f>ROUND($B750*W$657,2)</f>
        <v>0</v>
      </c>
      <c r="X750" s="42">
        <f>ROUND($B750*X$657,2)</f>
        <v>-0.01</v>
      </c>
      <c r="Y750" s="42">
        <f>ROUND($B750*Y$657,2)</f>
        <v>0</v>
      </c>
      <c r="Z750" s="42">
        <f>ROUND($B750*Z$657,2)</f>
        <v>0</v>
      </c>
      <c r="AA750" s="42">
        <f>ROUND($B750*AA$657,2)</f>
        <v>0</v>
      </c>
      <c r="AB750" s="19">
        <f>SUM(U$657:AA$657)+(-V$657+V695)</f>
        <v>1.2243E-2</v>
      </c>
      <c r="AC750" s="94" t="str">
        <f>+F750</f>
        <v>PL4</v>
      </c>
    </row>
    <row r="751" spans="1:29" ht="15" customHeight="1" x14ac:dyDescent="0.2">
      <c r="B751" s="97">
        <v>-1</v>
      </c>
      <c r="D751" s="41"/>
      <c r="E751" s="80"/>
      <c r="F751" s="36"/>
      <c r="G751" s="42"/>
      <c r="H751" s="19"/>
      <c r="I751" s="19"/>
      <c r="J751" s="88"/>
      <c r="K751" s="42"/>
      <c r="L751" s="42"/>
      <c r="M751" s="42"/>
      <c r="N751" s="42"/>
      <c r="O751" s="42"/>
      <c r="P751" s="42"/>
      <c r="Q751" s="42"/>
      <c r="R751" s="38" t="e">
        <f>VLOOKUP((D752),'Pwr Factor'!$A$1:$B$52,2)</f>
        <v>#N/A</v>
      </c>
      <c r="S751" s="50">
        <v>1</v>
      </c>
      <c r="T751" s="42"/>
      <c r="U751" s="42"/>
      <c r="V751" s="41"/>
      <c r="W751" s="42"/>
      <c r="X751" s="42"/>
      <c r="Y751" s="42"/>
      <c r="Z751" s="42"/>
      <c r="AA751" s="42"/>
      <c r="AB751" s="19"/>
      <c r="AC751" s="94"/>
    </row>
    <row r="752" spans="1:29" x14ac:dyDescent="0.2">
      <c r="A752" s="1" t="s">
        <v>138</v>
      </c>
      <c r="B752" s="103">
        <f>IF(AND('AES Indiana Bill Calc.'!$D$17="PL",'AES Indiana Bill Calc.'!$D$18="Yes 100%",'AES Indiana Bill Calc.'!$D$20="Yes 2025"),'AES Indiana Bill Calc.'!$D$19,-1)</f>
        <v>-1</v>
      </c>
      <c r="C752" s="103">
        <f>MAX(E752,$C$653)</f>
        <v>500</v>
      </c>
      <c r="D752" s="103" t="b">
        <f>IF(AND('AES Indiana Bill Calc.'!$D$17="PL",'AES Indiana Bill Calc.'!$D$18="Yes 100%",'AES Indiana Bill Calc.'!$D$20="Yes 2025"),'AES Indiana Bill Calc.'!$D$22)</f>
        <v>0</v>
      </c>
      <c r="E752" s="103" t="b">
        <f>IF(AND('AES Indiana Bill Calc.'!$D$17="PL",'AES Indiana Bill Calc.'!$D$18="Yes 100%",'AES Indiana Bill Calc.'!$D$20="Yes 2025"),'AES Indiana Bill Calc.'!$D$21)</f>
        <v>0</v>
      </c>
      <c r="F752" s="36" t="s">
        <v>319</v>
      </c>
      <c r="G752" s="42" t="e">
        <f>SUM(J752:M752,R752:AA752)</f>
        <v>#N/A</v>
      </c>
      <c r="H752" s="19" t="e">
        <f>IF(ISBLANK(B752),0,+#REF!/B752)</f>
        <v>#REF!</v>
      </c>
      <c r="I752" s="19"/>
      <c r="J752" s="88">
        <f>IF(ISBLANK(B752),0,+J$657)</f>
        <v>130</v>
      </c>
      <c r="K752" s="42">
        <f>ROUND($B752*K$657,2)</f>
        <v>-0.04</v>
      </c>
      <c r="L752" s="92">
        <f>IF($C752&gt;L$658,ROUND(L$658*L$657,2),ROUND($C752*L$657,2))</f>
        <v>14150</v>
      </c>
      <c r="M752" s="92">
        <f>IF($C752&gt;L$658,ROUND(($C752-L$658)*M$657,2),0)</f>
        <v>0</v>
      </c>
      <c r="N752" s="92">
        <f>K752</f>
        <v>-0.04</v>
      </c>
      <c r="O752" s="42"/>
      <c r="P752" s="42"/>
      <c r="Q752" s="92">
        <f>SUM(L752:M752)</f>
        <v>14150</v>
      </c>
      <c r="R752" s="82" t="e">
        <f>ROUND(SUM(K752:M752)*(R751-1),2)</f>
        <v>#N/A</v>
      </c>
      <c r="S752" s="42">
        <f>ROUND($B752*S$657*S751,2)</f>
        <v>0</v>
      </c>
      <c r="T752" s="42">
        <f>ROUND($B752*T$657,2)</f>
        <v>0</v>
      </c>
      <c r="U752" s="42">
        <f>ROUND($B752*U$657,2)</f>
        <v>0</v>
      </c>
      <c r="V752" s="41">
        <f>ROUND($B752*V$655,2)</f>
        <v>-0.01</v>
      </c>
      <c r="W752" s="42">
        <f>ROUND($B752*W$657,2)</f>
        <v>0</v>
      </c>
      <c r="X752" s="42">
        <f>ROUND($B752*X$657,2)</f>
        <v>-0.01</v>
      </c>
      <c r="Y752" s="42">
        <f>ROUND($B752*Y$657,2)</f>
        <v>0</v>
      </c>
      <c r="Z752" s="42">
        <f>ROUND($B752*Z$657,2)</f>
        <v>0</v>
      </c>
      <c r="AA752" s="42">
        <f>ROUND($B752*AA$657,2)</f>
        <v>0</v>
      </c>
      <c r="AB752" s="19">
        <f>SUM(U$657:AA$657)+(-V$657+V697)</f>
        <v>1.2243E-2</v>
      </c>
      <c r="AC752" s="94" t="str">
        <f>+F752</f>
        <v>PL5</v>
      </c>
    </row>
    <row r="753" spans="1:29" x14ac:dyDescent="0.2">
      <c r="A753" s="9"/>
      <c r="B753" s="97">
        <v>-1</v>
      </c>
      <c r="D753" s="41"/>
      <c r="E753" s="80"/>
      <c r="F753" s="36"/>
      <c r="G753" s="42"/>
      <c r="H753" s="19"/>
      <c r="I753" s="19"/>
      <c r="J753" s="88"/>
      <c r="K753" s="42"/>
      <c r="L753" s="42"/>
      <c r="M753" s="42"/>
      <c r="N753" s="42"/>
      <c r="O753" s="42"/>
      <c r="P753" s="42"/>
      <c r="Q753" s="42"/>
      <c r="R753" s="38" t="e">
        <f>VLOOKUP((D754),'Pwr Factor'!$A$1:$B$52,2)</f>
        <v>#N/A</v>
      </c>
      <c r="S753" s="50">
        <v>0.5</v>
      </c>
      <c r="T753" s="42"/>
      <c r="U753" s="42"/>
      <c r="V753" s="41"/>
      <c r="W753" s="42"/>
      <c r="X753" s="42"/>
      <c r="Y753" s="42"/>
      <c r="Z753" s="42"/>
      <c r="AA753" s="42"/>
      <c r="AB753" s="19"/>
      <c r="AC753" s="94"/>
    </row>
    <row r="754" spans="1:29" x14ac:dyDescent="0.2">
      <c r="A754" s="1" t="s">
        <v>139</v>
      </c>
      <c r="B754" s="103">
        <f>IF(AND('AES Indiana Bill Calc.'!$D$17="PL",'AES Indiana Bill Calc.'!$D$18="Yes 50%",'AES Indiana Bill Calc.'!$D$20="Yes 2025"),'AES Indiana Bill Calc.'!$D$19,-1)</f>
        <v>-1</v>
      </c>
      <c r="C754" s="103">
        <f>MAX(E754,$C$653)</f>
        <v>500</v>
      </c>
      <c r="D754" s="103" t="b">
        <f>IF(AND('AES Indiana Bill Calc.'!$D$17="PL",'AES Indiana Bill Calc.'!$D$18="Yes 50%",'AES Indiana Bill Calc.'!$D$20="Yes 2025"),'AES Indiana Bill Calc.'!$D$22)</f>
        <v>0</v>
      </c>
      <c r="E754" s="103" t="b">
        <f>IF(AND('AES Indiana Bill Calc.'!$D$17="PL",'AES Indiana Bill Calc.'!$D$18="Yes 50%",'AES Indiana Bill Calc.'!$D$20="Yes 2025"),'AES Indiana Bill Calc.'!$D$21)</f>
        <v>0</v>
      </c>
      <c r="F754" s="36" t="s">
        <v>319</v>
      </c>
      <c r="G754" s="42" t="e">
        <f>SUM(J754:M754,R754:AA754)</f>
        <v>#N/A</v>
      </c>
      <c r="H754" s="19" t="e">
        <f>IF(ISBLANK(B754),0,+#REF!/B754)</f>
        <v>#REF!</v>
      </c>
      <c r="I754" s="19"/>
      <c r="J754" s="88">
        <f>IF(ISBLANK(B754),0,+J$657)</f>
        <v>130</v>
      </c>
      <c r="K754" s="42">
        <f>ROUND($B754*K$657,2)</f>
        <v>-0.04</v>
      </c>
      <c r="L754" s="92">
        <f>IF($C754&gt;L$658,ROUND(L$658*L$657,2),ROUND($C754*L$657,2))</f>
        <v>14150</v>
      </c>
      <c r="M754" s="92">
        <f>IF($C754&gt;L$658,ROUND(($C754-L$658)*M$657,2),0)</f>
        <v>0</v>
      </c>
      <c r="N754" s="92">
        <f>K754</f>
        <v>-0.04</v>
      </c>
      <c r="O754" s="42"/>
      <c r="P754" s="42"/>
      <c r="Q754" s="92">
        <f>SUM(L754:M754)</f>
        <v>14150</v>
      </c>
      <c r="R754" s="82" t="e">
        <f>ROUND(SUM(K754:M754)*(R753-1),2)</f>
        <v>#N/A</v>
      </c>
      <c r="S754" s="42">
        <f>ROUND($B754*S$657*S753,2)</f>
        <v>0</v>
      </c>
      <c r="T754" s="42">
        <f>ROUND($B754*T$657,2)</f>
        <v>0</v>
      </c>
      <c r="U754" s="42">
        <f>ROUND($B754*U$657,2)</f>
        <v>0</v>
      </c>
      <c r="V754" s="41">
        <f>ROUND($B754*V$655,2)</f>
        <v>-0.01</v>
      </c>
      <c r="W754" s="42">
        <f>ROUND($B754*W$657,2)</f>
        <v>0</v>
      </c>
      <c r="X754" s="42">
        <f>ROUND($B754*X$657,2)</f>
        <v>-0.01</v>
      </c>
      <c r="Y754" s="42">
        <f>ROUND($B754*Y$657,2)</f>
        <v>0</v>
      </c>
      <c r="Z754" s="42">
        <f>ROUND($B754*Z$657,2)</f>
        <v>0</v>
      </c>
      <c r="AA754" s="42">
        <f>ROUND($B754*AA$657,2)</f>
        <v>0</v>
      </c>
      <c r="AB754" s="19">
        <f>SUM(U$657:AA$657)+(-V$657+V699)</f>
        <v>1.2243E-2</v>
      </c>
      <c r="AC754" s="94" t="str">
        <f>+F754</f>
        <v>PL5</v>
      </c>
    </row>
    <row r="755" spans="1:29" x14ac:dyDescent="0.2">
      <c r="A755" s="9"/>
      <c r="B755" s="97">
        <v>-1</v>
      </c>
      <c r="D755" s="41"/>
      <c r="E755" s="80"/>
      <c r="F755" s="36"/>
      <c r="G755" s="42"/>
      <c r="H755" s="19"/>
      <c r="I755" s="19"/>
      <c r="J755" s="88"/>
      <c r="K755" s="42"/>
      <c r="L755" s="42"/>
      <c r="M755" s="42"/>
      <c r="N755" s="42"/>
      <c r="O755" s="42"/>
      <c r="P755" s="42"/>
      <c r="Q755" s="42"/>
      <c r="R755" s="38" t="e">
        <f>VLOOKUP((D756),'Pwr Factor'!$A$1:$B$52,2)</f>
        <v>#N/A</v>
      </c>
      <c r="S755" s="50">
        <v>0.25</v>
      </c>
      <c r="T755" s="42"/>
      <c r="U755" s="42"/>
      <c r="V755" s="41"/>
      <c r="W755" s="42"/>
      <c r="X755" s="42"/>
      <c r="Y755" s="42"/>
      <c r="Z755" s="42"/>
      <c r="AA755" s="42"/>
      <c r="AB755" s="19"/>
      <c r="AC755" s="94"/>
    </row>
    <row r="756" spans="1:29" x14ac:dyDescent="0.2">
      <c r="A756" s="1" t="s">
        <v>140</v>
      </c>
      <c r="B756" s="103">
        <f>IF(AND('AES Indiana Bill Calc.'!$D$17="PL",'AES Indiana Bill Calc.'!$D$18="Yes 25%",'AES Indiana Bill Calc.'!$D$20="Yes 2025"),'AES Indiana Bill Calc.'!$D$19,-1)</f>
        <v>-1</v>
      </c>
      <c r="C756" s="103">
        <f>MAX(E756,$C$653)</f>
        <v>500</v>
      </c>
      <c r="D756" s="103" t="b">
        <f>IF(AND('AES Indiana Bill Calc.'!$D$17="PL",'AES Indiana Bill Calc.'!$D$18="Yes 25%",'AES Indiana Bill Calc.'!$D$20="Yes 2025"),'AES Indiana Bill Calc.'!$D$22)</f>
        <v>0</v>
      </c>
      <c r="E756" s="103" t="b">
        <f>IF(AND('AES Indiana Bill Calc.'!$D$17="PL",'AES Indiana Bill Calc.'!$D$18="Yes 25%",'AES Indiana Bill Calc.'!$D$20="Yes 2025"),'AES Indiana Bill Calc.'!$D$21)</f>
        <v>0</v>
      </c>
      <c r="F756" s="36" t="s">
        <v>319</v>
      </c>
      <c r="G756" s="42" t="e">
        <f>SUM(J756:M756,R756:AA756)</f>
        <v>#N/A</v>
      </c>
      <c r="H756" s="19" t="e">
        <f>IF(ISBLANK(B756),0,+#REF!/B756)</f>
        <v>#REF!</v>
      </c>
      <c r="I756" s="19"/>
      <c r="J756" s="88">
        <f>IF(ISBLANK(B756),0,+J$657)</f>
        <v>130</v>
      </c>
      <c r="K756" s="42">
        <f>ROUND($B756*K$657,2)</f>
        <v>-0.04</v>
      </c>
      <c r="L756" s="92">
        <f>IF($C756&gt;L$658,ROUND(L$658*L$657,2),ROUND($C756*L$657,2))</f>
        <v>14150</v>
      </c>
      <c r="M756" s="92">
        <f>IF($C756&gt;L$658,ROUND(($C756-L$658)*M$657,2),0)</f>
        <v>0</v>
      </c>
      <c r="N756" s="92">
        <f>K756</f>
        <v>-0.04</v>
      </c>
      <c r="O756" s="42"/>
      <c r="P756" s="42"/>
      <c r="Q756" s="92">
        <f>SUM(L756:M756)</f>
        <v>14150</v>
      </c>
      <c r="R756" s="82" t="e">
        <f>ROUND(SUM(K756:M756)*(R755-1),2)</f>
        <v>#N/A</v>
      </c>
      <c r="S756" s="42">
        <f>ROUND($B756*S$657*S755,2)</f>
        <v>0</v>
      </c>
      <c r="T756" s="42">
        <f>ROUND($B756*T$657,2)</f>
        <v>0</v>
      </c>
      <c r="U756" s="42">
        <f>ROUND($B756*U$657,2)</f>
        <v>0</v>
      </c>
      <c r="V756" s="41">
        <f>ROUND($B756*V$655,2)</f>
        <v>-0.01</v>
      </c>
      <c r="W756" s="42">
        <f>ROUND($B756*W$657,2)</f>
        <v>0</v>
      </c>
      <c r="X756" s="42">
        <f>ROUND($B756*X$657,2)</f>
        <v>-0.01</v>
      </c>
      <c r="Y756" s="42">
        <f>ROUND($B756*Y$657,2)</f>
        <v>0</v>
      </c>
      <c r="Z756" s="42">
        <f>ROUND($B756*Z$657,2)</f>
        <v>0</v>
      </c>
      <c r="AA756" s="42">
        <f>ROUND($B756*AA$657,2)</f>
        <v>0</v>
      </c>
      <c r="AB756" s="19">
        <f>SUM(U$657:AA$657)+(-V$657+V701)</f>
        <v>1.2243E-2</v>
      </c>
      <c r="AC756" s="94" t="str">
        <f>+F756</f>
        <v>PL5</v>
      </c>
    </row>
    <row r="757" spans="1:29" x14ac:dyDescent="0.2">
      <c r="A757" s="9"/>
      <c r="B757" s="97">
        <v>-1</v>
      </c>
      <c r="D757" s="41"/>
      <c r="E757" s="80"/>
      <c r="F757" s="36"/>
      <c r="G757" s="42"/>
      <c r="H757" s="19"/>
      <c r="I757" s="19"/>
      <c r="J757" s="88"/>
      <c r="K757" s="42"/>
      <c r="L757" s="42"/>
      <c r="M757" s="42"/>
      <c r="N757" s="42"/>
      <c r="O757" s="42"/>
      <c r="P757" s="42"/>
      <c r="Q757" s="42"/>
      <c r="R757" s="38" t="e">
        <f>VLOOKUP((D758),'Pwr Factor'!$A$1:$B$52,2)</f>
        <v>#N/A</v>
      </c>
      <c r="S757" s="50">
        <v>0.1</v>
      </c>
      <c r="T757" s="42"/>
      <c r="U757" s="42"/>
      <c r="V757" s="41"/>
      <c r="W757" s="42"/>
      <c r="X757" s="42"/>
      <c r="Y757" s="42"/>
      <c r="Z757" s="42"/>
      <c r="AA757" s="42"/>
      <c r="AB757" s="19"/>
      <c r="AC757" s="94"/>
    </row>
    <row r="758" spans="1:29" x14ac:dyDescent="0.2">
      <c r="A758" s="1" t="s">
        <v>154</v>
      </c>
      <c r="B758" s="103">
        <f>IF(AND('AES Indiana Bill Calc.'!$D$17="PL",'AES Indiana Bill Calc.'!$D$18="Yes 10%",'AES Indiana Bill Calc.'!$D$20="Yes 2025"),'AES Indiana Bill Calc.'!$D$19,-1)</f>
        <v>-1</v>
      </c>
      <c r="C758" s="103">
        <f>MAX(E758,$C$653)</f>
        <v>500</v>
      </c>
      <c r="D758" s="103" t="b">
        <f>IF(AND('AES Indiana Bill Calc.'!$D$17="PL",'AES Indiana Bill Calc.'!$D$18="Yes 10%",'AES Indiana Bill Calc.'!$D$20="Yes 2025"),'AES Indiana Bill Calc.'!$D$22)</f>
        <v>0</v>
      </c>
      <c r="E758" s="103" t="b">
        <f>IF(AND('AES Indiana Bill Calc.'!$D$17="PL",'AES Indiana Bill Calc.'!$D$18="Yes 10%",'AES Indiana Bill Calc.'!$D$20="Yes 2025"),'AES Indiana Bill Calc.'!$D$21)</f>
        <v>0</v>
      </c>
      <c r="F758" s="36" t="s">
        <v>319</v>
      </c>
      <c r="G758" s="42" t="e">
        <f>SUM(J758:M758,R758:AA758)</f>
        <v>#N/A</v>
      </c>
      <c r="H758" s="19" t="e">
        <f>IF(ISBLANK(B758),0,+#REF!/B758)</f>
        <v>#REF!</v>
      </c>
      <c r="I758" s="19"/>
      <c r="J758" s="88">
        <f>IF(ISBLANK(B758),0,+J$657)</f>
        <v>130</v>
      </c>
      <c r="K758" s="42">
        <f>ROUND($B758*K$657,2)</f>
        <v>-0.04</v>
      </c>
      <c r="L758" s="92">
        <f>IF($C758&gt;L$658,ROUND(L$658*L$657,2),ROUND($C758*L$657,2))</f>
        <v>14150</v>
      </c>
      <c r="M758" s="92">
        <f>IF($C758&gt;L$658,ROUND(($C758-L$658)*M$657,2),0)</f>
        <v>0</v>
      </c>
      <c r="N758" s="92">
        <f>K758</f>
        <v>-0.04</v>
      </c>
      <c r="O758" s="42"/>
      <c r="P758" s="42"/>
      <c r="Q758" s="92">
        <f>SUM(L758:M758)</f>
        <v>14150</v>
      </c>
      <c r="R758" s="82" t="e">
        <f>ROUND(SUM(K758:M758)*(R757-1),2)</f>
        <v>#N/A</v>
      </c>
      <c r="S758" s="42">
        <f>ROUND($B758*S$657*S757,2)</f>
        <v>0</v>
      </c>
      <c r="T758" s="42">
        <f>ROUND($B758*T$657,2)</f>
        <v>0</v>
      </c>
      <c r="U758" s="42">
        <f>ROUND($B758*U$657,2)</f>
        <v>0</v>
      </c>
      <c r="V758" s="41">
        <f>ROUND($B758*V$655,2)</f>
        <v>-0.01</v>
      </c>
      <c r="W758" s="42">
        <f>ROUND($B758*W$657,2)</f>
        <v>0</v>
      </c>
      <c r="X758" s="42">
        <f>ROUND($B758*X$657,2)</f>
        <v>-0.01</v>
      </c>
      <c r="Y758" s="42">
        <f>ROUND($B758*Y$657,2)</f>
        <v>0</v>
      </c>
      <c r="Z758" s="42">
        <f>ROUND($B758*Z$657,2)</f>
        <v>0</v>
      </c>
      <c r="AA758" s="42">
        <f>ROUND($B758*AA$657,2)</f>
        <v>0</v>
      </c>
      <c r="AB758" s="19">
        <f>SUM(U$657:AA$657)+(-V$657+V703)</f>
        <v>1.2243E-2</v>
      </c>
      <c r="AC758" s="94" t="str">
        <f>+F758</f>
        <v>PL5</v>
      </c>
    </row>
    <row r="759" spans="1:29" x14ac:dyDescent="0.2">
      <c r="A759" s="9"/>
      <c r="B759" s="97">
        <v>-1</v>
      </c>
      <c r="D759" s="41"/>
      <c r="E759" s="80"/>
      <c r="F759" s="36"/>
      <c r="G759" s="42"/>
      <c r="H759" s="19"/>
      <c r="I759" s="19"/>
      <c r="J759" s="88"/>
      <c r="K759" s="42"/>
      <c r="L759" s="42"/>
      <c r="M759" s="42"/>
      <c r="N759" s="42"/>
      <c r="O759" s="42"/>
      <c r="P759" s="42"/>
      <c r="Q759" s="42"/>
      <c r="R759" s="38" t="e">
        <f>VLOOKUP((D760),'Pwr Factor'!$A$1:$B$52,2)</f>
        <v>#N/A</v>
      </c>
      <c r="S759" s="50">
        <v>0</v>
      </c>
      <c r="T759" s="42"/>
      <c r="U759" s="42"/>
      <c r="V759" s="41"/>
      <c r="W759" s="42"/>
      <c r="X759" s="42"/>
      <c r="Y759" s="42"/>
      <c r="Z759" s="42"/>
      <c r="AA759" s="42"/>
      <c r="AB759" s="19"/>
      <c r="AC759" s="94"/>
    </row>
    <row r="760" spans="1:29" x14ac:dyDescent="0.2">
      <c r="A760" s="1" t="s">
        <v>137</v>
      </c>
      <c r="B760" s="103">
        <f>IF(AND('AES Indiana Bill Calc.'!$D$17="PL",'AES Indiana Bill Calc.'!$D$18="No",'AES Indiana Bill Calc.'!$D$20="Yes 2025"),'AES Indiana Bill Calc.'!$D$19,-1)</f>
        <v>-1</v>
      </c>
      <c r="C760" s="103">
        <f>MAX(E760,$C$653)</f>
        <v>500</v>
      </c>
      <c r="D760" s="103" t="b">
        <f>IF(AND('AES Indiana Bill Calc.'!$D$17="PL",'AES Indiana Bill Calc.'!$D$18="No",'AES Indiana Bill Calc.'!$D$20="Yes 2025"),'AES Indiana Bill Calc.'!$D$22)</f>
        <v>0</v>
      </c>
      <c r="E760" s="103" t="b">
        <f>IF(AND('AES Indiana Bill Calc.'!$D$17="PL",'AES Indiana Bill Calc.'!$D$18="No",'AES Indiana Bill Calc.'!$D$20="Yes 2025"),'AES Indiana Bill Calc.'!$D$21)</f>
        <v>0</v>
      </c>
      <c r="F760" s="36" t="s">
        <v>319</v>
      </c>
      <c r="G760" s="42" t="e">
        <f>SUM(J760:M760,R760:AA760)</f>
        <v>#N/A</v>
      </c>
      <c r="H760" s="19" t="e">
        <f>IF(ISBLANK(B760),0,+#REF!/B760)</f>
        <v>#REF!</v>
      </c>
      <c r="I760" s="19"/>
      <c r="J760" s="88">
        <f>IF(ISBLANK(B760),0,+J$657)</f>
        <v>130</v>
      </c>
      <c r="K760" s="42">
        <f>ROUND($B760*K$657,2)</f>
        <v>-0.04</v>
      </c>
      <c r="L760" s="92">
        <f>IF($C760&gt;L$658,ROUND(L$658*L$657,2),ROUND($C760*L$657,2))</f>
        <v>14150</v>
      </c>
      <c r="M760" s="92">
        <f>IF($C760&gt;L$658,ROUND(($C760-L$658)*M$657,2),0)</f>
        <v>0</v>
      </c>
      <c r="N760" s="92">
        <f>K760</f>
        <v>-0.04</v>
      </c>
      <c r="O760" s="42"/>
      <c r="P760" s="42"/>
      <c r="Q760" s="92">
        <f>SUM(L760:M760)</f>
        <v>14150</v>
      </c>
      <c r="R760" s="82" t="e">
        <f>ROUND(SUM(K760:M760)*(R759-1),2)</f>
        <v>#N/A</v>
      </c>
      <c r="S760" s="42">
        <f>ROUND($B760*S$657*S759,2)</f>
        <v>0</v>
      </c>
      <c r="T760" s="42">
        <f>ROUND($B760*T$657,2)</f>
        <v>0</v>
      </c>
      <c r="U760" s="42">
        <f>ROUND($B760*U$657,2)</f>
        <v>0</v>
      </c>
      <c r="V760" s="41">
        <f>ROUND($B760*V$655,2)</f>
        <v>-0.01</v>
      </c>
      <c r="W760" s="42">
        <f>ROUND($B760*W$657,2)</f>
        <v>0</v>
      </c>
      <c r="X760" s="42">
        <f>ROUND($B760*X$657,2)</f>
        <v>-0.01</v>
      </c>
      <c r="Y760" s="42">
        <f>ROUND($B760*Y$657,2)</f>
        <v>0</v>
      </c>
      <c r="Z760" s="42">
        <f>ROUND($B760*Z$657,2)</f>
        <v>0</v>
      </c>
      <c r="AA760" s="42">
        <f>ROUND($B760*AA$657,2)</f>
        <v>0</v>
      </c>
      <c r="AB760" s="19">
        <f>SUM(U$657:AA$657)+(-V$657+V705)</f>
        <v>1.2243E-2</v>
      </c>
      <c r="AC760" s="94" t="str">
        <f>+F760</f>
        <v>PL5</v>
      </c>
    </row>
    <row r="761" spans="1:29" ht="15" customHeight="1" x14ac:dyDescent="0.2">
      <c r="B761" s="97">
        <v>-1</v>
      </c>
      <c r="D761" s="41"/>
      <c r="E761" s="80"/>
      <c r="F761" s="36"/>
      <c r="G761" s="42"/>
      <c r="H761" s="19"/>
      <c r="I761" s="19"/>
      <c r="J761" s="88"/>
      <c r="K761" s="42"/>
      <c r="L761" s="42"/>
      <c r="M761" s="42"/>
      <c r="N761" s="42"/>
      <c r="O761" s="42"/>
      <c r="P761" s="42"/>
      <c r="Q761" s="42"/>
      <c r="R761" s="38" t="e">
        <f>VLOOKUP((D762),'Pwr Factor'!$A$1:$B$52,2)</f>
        <v>#N/A</v>
      </c>
      <c r="S761" s="50">
        <v>1</v>
      </c>
      <c r="T761" s="42"/>
      <c r="U761" s="42"/>
      <c r="V761" s="41"/>
      <c r="W761" s="42"/>
      <c r="X761" s="42"/>
      <c r="Y761" s="42"/>
      <c r="Z761" s="42"/>
      <c r="AA761" s="42"/>
      <c r="AB761" s="19"/>
      <c r="AC761" s="94"/>
    </row>
    <row r="762" spans="1:29" x14ac:dyDescent="0.2">
      <c r="A762" s="1" t="s">
        <v>138</v>
      </c>
      <c r="B762" s="103">
        <f>IF(AND('AES Indiana Bill Calc.'!$D$17="PL",'AES Indiana Bill Calc.'!$D$18="Yes 100%",'AES Indiana Bill Calc.'!$D$20="Yes 2026"),'AES Indiana Bill Calc.'!$D$19,-1)</f>
        <v>-1</v>
      </c>
      <c r="C762" s="103">
        <f>MAX(E762,$C$653)</f>
        <v>500</v>
      </c>
      <c r="D762" s="103" t="b">
        <f>IF(AND('AES Indiana Bill Calc.'!$D$17="PL",'AES Indiana Bill Calc.'!$D$18="Yes 100%",'AES Indiana Bill Calc.'!$D$20="Yes 2025"),'AES Indiana Bill Calc.'!$D$22)</f>
        <v>0</v>
      </c>
      <c r="E762" s="103" t="b">
        <f>IF(AND('AES Indiana Bill Calc.'!$D$17="PL",'AES Indiana Bill Calc.'!$D$18="Yes 100%",'AES Indiana Bill Calc.'!$D$20="Yes 2025"),'AES Indiana Bill Calc.'!$D$21)</f>
        <v>0</v>
      </c>
      <c r="F762" s="36" t="s">
        <v>380</v>
      </c>
      <c r="G762" s="42" t="e">
        <f>SUM(J762:M762,R762:AA762)</f>
        <v>#N/A</v>
      </c>
      <c r="H762" s="19" t="e">
        <f>IF(ISBLANK(B762),0,+#REF!/B762)</f>
        <v>#REF!</v>
      </c>
      <c r="I762" s="19"/>
      <c r="J762" s="88">
        <f>IF(ISBLANK(B762),0,+J$657)</f>
        <v>130</v>
      </c>
      <c r="K762" s="42">
        <f>ROUND($B762*K$657,2)</f>
        <v>-0.04</v>
      </c>
      <c r="L762" s="92">
        <f>IF($C762&gt;L$658,ROUND(L$658*L$657,2),ROUND($C762*L$657,2))</f>
        <v>14150</v>
      </c>
      <c r="M762" s="92">
        <f>IF($C762&gt;L$658,ROUND(($C762-L$658)*M$657,2),0)</f>
        <v>0</v>
      </c>
      <c r="N762" s="92">
        <f>K762</f>
        <v>-0.04</v>
      </c>
      <c r="O762" s="42"/>
      <c r="P762" s="42"/>
      <c r="Q762" s="92">
        <f>SUM(L762:M762)</f>
        <v>14150</v>
      </c>
      <c r="R762" s="82" t="e">
        <f>ROUND(SUM(K762:M762)*(R761-1),2)</f>
        <v>#N/A</v>
      </c>
      <c r="S762" s="42">
        <f>ROUND($B762*S$657*S761,2)</f>
        <v>0</v>
      </c>
      <c r="T762" s="42">
        <f>ROUND($B762*T$657,2)</f>
        <v>0</v>
      </c>
      <c r="U762" s="42">
        <f>ROUND($B762*U$657,2)</f>
        <v>0</v>
      </c>
      <c r="V762" s="41">
        <f>ROUND($B762*V$656,2)</f>
        <v>-0.01</v>
      </c>
      <c r="W762" s="42">
        <f>ROUND($B762*W$657,2)</f>
        <v>0</v>
      </c>
      <c r="X762" s="42">
        <f>ROUND($B762*X$657,2)</f>
        <v>-0.01</v>
      </c>
      <c r="Y762" s="42">
        <f>ROUND($B762*Y$657,2)</f>
        <v>0</v>
      </c>
      <c r="Z762" s="42">
        <f>ROUND($B762*Z$657,2)</f>
        <v>0</v>
      </c>
      <c r="AA762" s="42">
        <f>ROUND($B762*AA$657,2)</f>
        <v>0</v>
      </c>
      <c r="AB762" s="19">
        <f>SUM(U$657:AA$657)+(-V$657+V707)</f>
        <v>1.2243E-2</v>
      </c>
      <c r="AC762" s="94" t="str">
        <f>+F762</f>
        <v>PL6</v>
      </c>
    </row>
    <row r="763" spans="1:29" x14ac:dyDescent="0.2">
      <c r="A763" s="9"/>
      <c r="B763" s="97">
        <v>-1</v>
      </c>
      <c r="D763" s="41"/>
      <c r="E763" s="80"/>
      <c r="F763" s="36"/>
      <c r="G763" s="42"/>
      <c r="H763" s="19"/>
      <c r="I763" s="19"/>
      <c r="J763" s="88"/>
      <c r="K763" s="42"/>
      <c r="L763" s="42"/>
      <c r="M763" s="42"/>
      <c r="N763" s="42"/>
      <c r="O763" s="42"/>
      <c r="P763" s="42"/>
      <c r="Q763" s="42"/>
      <c r="R763" s="38" t="e">
        <f>VLOOKUP((D764),'Pwr Factor'!$A$1:$B$52,2)</f>
        <v>#N/A</v>
      </c>
      <c r="S763" s="50">
        <v>0.5</v>
      </c>
      <c r="T763" s="42"/>
      <c r="U763" s="42"/>
      <c r="V763" s="41"/>
      <c r="W763" s="42"/>
      <c r="X763" s="42"/>
      <c r="Y763" s="42"/>
      <c r="Z763" s="42"/>
      <c r="AA763" s="42"/>
      <c r="AB763" s="19"/>
      <c r="AC763" s="94"/>
    </row>
    <row r="764" spans="1:29" x14ac:dyDescent="0.2">
      <c r="A764" s="1" t="s">
        <v>139</v>
      </c>
      <c r="B764" s="103">
        <f>IF(AND('AES Indiana Bill Calc.'!$D$17="PL",'AES Indiana Bill Calc.'!$D$18="Yes 50%",'AES Indiana Bill Calc.'!$D$20="Yes 2026"),'AES Indiana Bill Calc.'!$D$19,-1)</f>
        <v>-1</v>
      </c>
      <c r="C764" s="103">
        <f>MAX(E764,$C$653)</f>
        <v>500</v>
      </c>
      <c r="D764" s="103" t="b">
        <f>IF(AND('AES Indiana Bill Calc.'!$D$17="PL",'AES Indiana Bill Calc.'!$D$18="Yes 50%",'AES Indiana Bill Calc.'!$D$20="Yes 2025"),'AES Indiana Bill Calc.'!$D$22)</f>
        <v>0</v>
      </c>
      <c r="E764" s="103" t="b">
        <f>IF(AND('AES Indiana Bill Calc.'!$D$17="PL",'AES Indiana Bill Calc.'!$D$18="Yes 50%",'AES Indiana Bill Calc.'!$D$20="Yes 2025"),'AES Indiana Bill Calc.'!$D$21)</f>
        <v>0</v>
      </c>
      <c r="F764" s="36" t="s">
        <v>380</v>
      </c>
      <c r="G764" s="42" t="e">
        <f>SUM(J764:M764,R764:AA764)</f>
        <v>#N/A</v>
      </c>
      <c r="H764" s="19" t="e">
        <f>IF(ISBLANK(B764),0,+#REF!/B764)</f>
        <v>#REF!</v>
      </c>
      <c r="I764" s="19"/>
      <c r="J764" s="88">
        <f>IF(ISBLANK(B764),0,+J$657)</f>
        <v>130</v>
      </c>
      <c r="K764" s="42">
        <f>ROUND($B764*K$657,2)</f>
        <v>-0.04</v>
      </c>
      <c r="L764" s="92">
        <f>IF($C764&gt;L$658,ROUND(L$658*L$657,2),ROUND($C764*L$657,2))</f>
        <v>14150</v>
      </c>
      <c r="M764" s="92">
        <f>IF($C764&gt;L$658,ROUND(($C764-L$658)*M$657,2),0)</f>
        <v>0</v>
      </c>
      <c r="N764" s="92">
        <f>K764</f>
        <v>-0.04</v>
      </c>
      <c r="O764" s="42"/>
      <c r="P764" s="42"/>
      <c r="Q764" s="92">
        <f>SUM(L764:M764)</f>
        <v>14150</v>
      </c>
      <c r="R764" s="82" t="e">
        <f>ROUND(SUM(K764:M764)*(R763-1),2)</f>
        <v>#N/A</v>
      </c>
      <c r="S764" s="42">
        <f>ROUND($B764*S$657*S763,2)</f>
        <v>0</v>
      </c>
      <c r="T764" s="42">
        <f>ROUND($B764*T$657,2)</f>
        <v>0</v>
      </c>
      <c r="U764" s="42">
        <f>ROUND($B764*U$657,2)</f>
        <v>0</v>
      </c>
      <c r="V764" s="41">
        <f>ROUND($B764*V$656,2)</f>
        <v>-0.01</v>
      </c>
      <c r="W764" s="42">
        <f>ROUND($B764*W$657,2)</f>
        <v>0</v>
      </c>
      <c r="X764" s="42">
        <f>ROUND($B764*X$657,2)</f>
        <v>-0.01</v>
      </c>
      <c r="Y764" s="42">
        <f>ROUND($B764*Y$657,2)</f>
        <v>0</v>
      </c>
      <c r="Z764" s="42">
        <f>ROUND($B764*Z$657,2)</f>
        <v>0</v>
      </c>
      <c r="AA764" s="42">
        <f>ROUND($B764*AA$657,2)</f>
        <v>0</v>
      </c>
      <c r="AB764" s="19">
        <f>SUM(U$657:AA$657)+(-V$657+V709)</f>
        <v>1.2243E-2</v>
      </c>
      <c r="AC764" s="94" t="str">
        <f>+F764</f>
        <v>PL6</v>
      </c>
    </row>
    <row r="765" spans="1:29" x14ac:dyDescent="0.2">
      <c r="A765" s="9"/>
      <c r="B765" s="97">
        <v>-1</v>
      </c>
      <c r="D765" s="41"/>
      <c r="E765" s="80"/>
      <c r="F765" s="36"/>
      <c r="G765" s="42"/>
      <c r="H765" s="19"/>
      <c r="I765" s="19"/>
      <c r="J765" s="88"/>
      <c r="K765" s="42"/>
      <c r="L765" s="42"/>
      <c r="M765" s="42"/>
      <c r="N765" s="42"/>
      <c r="O765" s="42"/>
      <c r="P765" s="42"/>
      <c r="Q765" s="42"/>
      <c r="R765" s="38" t="e">
        <f>VLOOKUP((D766),'Pwr Factor'!$A$1:$B$52,2)</f>
        <v>#N/A</v>
      </c>
      <c r="S765" s="50">
        <v>0.25</v>
      </c>
      <c r="T765" s="42"/>
      <c r="U765" s="42"/>
      <c r="V765" s="41"/>
      <c r="W765" s="42"/>
      <c r="X765" s="42"/>
      <c r="Y765" s="42"/>
      <c r="Z765" s="42"/>
      <c r="AA765" s="42"/>
      <c r="AB765" s="19"/>
      <c r="AC765" s="94"/>
    </row>
    <row r="766" spans="1:29" x14ac:dyDescent="0.2">
      <c r="A766" s="1" t="s">
        <v>140</v>
      </c>
      <c r="B766" s="103">
        <f>IF(AND('AES Indiana Bill Calc.'!$D$17="PL",'AES Indiana Bill Calc.'!$D$18="Yes 25%",'AES Indiana Bill Calc.'!$D$20="Yes 2026"),'AES Indiana Bill Calc.'!$D$19,-1)</f>
        <v>-1</v>
      </c>
      <c r="C766" s="103">
        <f>MAX(E766,$C$653)</f>
        <v>500</v>
      </c>
      <c r="D766" s="103" t="b">
        <f>IF(AND('AES Indiana Bill Calc.'!$D$17="PL",'AES Indiana Bill Calc.'!$D$18="Yes 25%",'AES Indiana Bill Calc.'!$D$20="Yes 2025"),'AES Indiana Bill Calc.'!$D$22)</f>
        <v>0</v>
      </c>
      <c r="E766" s="103" t="b">
        <f>IF(AND('AES Indiana Bill Calc.'!$D$17="PL",'AES Indiana Bill Calc.'!$D$18="Yes 25%",'AES Indiana Bill Calc.'!$D$20="Yes 2025"),'AES Indiana Bill Calc.'!$D$21)</f>
        <v>0</v>
      </c>
      <c r="F766" s="36" t="s">
        <v>380</v>
      </c>
      <c r="G766" s="42" t="e">
        <f>SUM(J766:M766,R766:AA766)</f>
        <v>#N/A</v>
      </c>
      <c r="H766" s="19" t="e">
        <f>IF(ISBLANK(B766),0,+#REF!/B766)</f>
        <v>#REF!</v>
      </c>
      <c r="I766" s="19"/>
      <c r="J766" s="88">
        <f>IF(ISBLANK(B766),0,+J$657)</f>
        <v>130</v>
      </c>
      <c r="K766" s="42">
        <f>ROUND($B766*K$657,2)</f>
        <v>-0.04</v>
      </c>
      <c r="L766" s="92">
        <f>IF($C766&gt;L$658,ROUND(L$658*L$657,2),ROUND($C766*L$657,2))</f>
        <v>14150</v>
      </c>
      <c r="M766" s="92">
        <f>IF($C766&gt;L$658,ROUND(($C766-L$658)*M$657,2),0)</f>
        <v>0</v>
      </c>
      <c r="N766" s="92">
        <f>K766</f>
        <v>-0.04</v>
      </c>
      <c r="O766" s="42"/>
      <c r="P766" s="42"/>
      <c r="Q766" s="92">
        <f>SUM(L766:M766)</f>
        <v>14150</v>
      </c>
      <c r="R766" s="82" t="e">
        <f>ROUND(SUM(K766:M766)*(R765-1),2)</f>
        <v>#N/A</v>
      </c>
      <c r="S766" s="42">
        <f>ROUND($B766*S$657*S765,2)</f>
        <v>0</v>
      </c>
      <c r="T766" s="42">
        <f>ROUND($B766*T$657,2)</f>
        <v>0</v>
      </c>
      <c r="U766" s="42">
        <f>ROUND($B766*U$657,2)</f>
        <v>0</v>
      </c>
      <c r="V766" s="41">
        <f>ROUND($B766*V$656,2)</f>
        <v>-0.01</v>
      </c>
      <c r="W766" s="42">
        <f>ROUND($B766*W$657,2)</f>
        <v>0</v>
      </c>
      <c r="X766" s="42">
        <f>ROUND($B766*X$657,2)</f>
        <v>-0.01</v>
      </c>
      <c r="Y766" s="42">
        <f>ROUND($B766*Y$657,2)</f>
        <v>0</v>
      </c>
      <c r="Z766" s="42">
        <f>ROUND($B766*Z$657,2)</f>
        <v>0</v>
      </c>
      <c r="AA766" s="42">
        <f>ROUND($B766*AA$657,2)</f>
        <v>0</v>
      </c>
      <c r="AB766" s="19">
        <f>SUM(U$657:AA$657)+(-V$657+V711)</f>
        <v>1.2243E-2</v>
      </c>
      <c r="AC766" s="94" t="str">
        <f>+F766</f>
        <v>PL6</v>
      </c>
    </row>
    <row r="767" spans="1:29" x14ac:dyDescent="0.2">
      <c r="A767" s="9"/>
      <c r="B767" s="97">
        <v>-1</v>
      </c>
      <c r="D767" s="41"/>
      <c r="E767" s="80"/>
      <c r="F767" s="36"/>
      <c r="G767" s="42"/>
      <c r="H767" s="19"/>
      <c r="I767" s="19"/>
      <c r="J767" s="88"/>
      <c r="K767" s="42"/>
      <c r="L767" s="42"/>
      <c r="M767" s="42"/>
      <c r="N767" s="42"/>
      <c r="O767" s="42"/>
      <c r="P767" s="42"/>
      <c r="Q767" s="42"/>
      <c r="R767" s="38" t="e">
        <f>VLOOKUP((D768),'Pwr Factor'!$A$1:$B$52,2)</f>
        <v>#N/A</v>
      </c>
      <c r="S767" s="50">
        <v>0.1</v>
      </c>
      <c r="T767" s="42"/>
      <c r="U767" s="42"/>
      <c r="V767" s="41"/>
      <c r="W767" s="42"/>
      <c r="X767" s="42"/>
      <c r="Y767" s="42"/>
      <c r="Z767" s="42"/>
      <c r="AA767" s="42"/>
      <c r="AB767" s="19"/>
      <c r="AC767" s="94"/>
    </row>
    <row r="768" spans="1:29" x14ac:dyDescent="0.2">
      <c r="A768" s="1" t="s">
        <v>154</v>
      </c>
      <c r="B768" s="103">
        <f>IF(AND('AES Indiana Bill Calc.'!$D$17="PL",'AES Indiana Bill Calc.'!$D$18="Yes 10%",'AES Indiana Bill Calc.'!$D$20="Yes 2026"),'AES Indiana Bill Calc.'!$D$19,-1)</f>
        <v>-1</v>
      </c>
      <c r="C768" s="103">
        <f>MAX(E768,$C$653)</f>
        <v>500</v>
      </c>
      <c r="D768" s="103" t="b">
        <f>IF(AND('AES Indiana Bill Calc.'!$D$17="PL",'AES Indiana Bill Calc.'!$D$18="Yes 10%",'AES Indiana Bill Calc.'!$D$20="Yes 2025"),'AES Indiana Bill Calc.'!$D$22)</f>
        <v>0</v>
      </c>
      <c r="E768" s="103" t="b">
        <f>IF(AND('AES Indiana Bill Calc.'!$D$17="PL",'AES Indiana Bill Calc.'!$D$18="Yes 10%",'AES Indiana Bill Calc.'!$D$20="Yes 2025"),'AES Indiana Bill Calc.'!$D$21)</f>
        <v>0</v>
      </c>
      <c r="F768" s="36" t="s">
        <v>380</v>
      </c>
      <c r="G768" s="42" t="e">
        <f>SUM(J768:M768,R768:AA768)</f>
        <v>#N/A</v>
      </c>
      <c r="H768" s="19" t="e">
        <f>IF(ISBLANK(B768),0,+#REF!/B768)</f>
        <v>#REF!</v>
      </c>
      <c r="I768" s="19"/>
      <c r="J768" s="88">
        <f>IF(ISBLANK(B768),0,+J$657)</f>
        <v>130</v>
      </c>
      <c r="K768" s="42">
        <f>ROUND($B768*K$657,2)</f>
        <v>-0.04</v>
      </c>
      <c r="L768" s="92">
        <f>IF($C768&gt;L$658,ROUND(L$658*L$657,2),ROUND($C768*L$657,2))</f>
        <v>14150</v>
      </c>
      <c r="M768" s="92">
        <f>IF($C768&gt;L$658,ROUND(($C768-L$658)*M$657,2),0)</f>
        <v>0</v>
      </c>
      <c r="N768" s="92">
        <f>K768</f>
        <v>-0.04</v>
      </c>
      <c r="O768" s="42"/>
      <c r="P768" s="42"/>
      <c r="Q768" s="92">
        <f>SUM(L768:M768)</f>
        <v>14150</v>
      </c>
      <c r="R768" s="82" t="e">
        <f>ROUND(SUM(K768:M768)*(R767-1),2)</f>
        <v>#N/A</v>
      </c>
      <c r="S768" s="42">
        <f>ROUND($B768*S$657*S767,2)</f>
        <v>0</v>
      </c>
      <c r="T768" s="42">
        <f>ROUND($B768*T$657,2)</f>
        <v>0</v>
      </c>
      <c r="U768" s="42">
        <f>ROUND($B768*U$657,2)</f>
        <v>0</v>
      </c>
      <c r="V768" s="41">
        <f>ROUND($B768*V$656,2)</f>
        <v>-0.01</v>
      </c>
      <c r="W768" s="42">
        <f>ROUND($B768*W$657,2)</f>
        <v>0</v>
      </c>
      <c r="X768" s="42">
        <f>ROUND($B768*X$657,2)</f>
        <v>-0.01</v>
      </c>
      <c r="Y768" s="42">
        <f>ROUND($B768*Y$657,2)</f>
        <v>0</v>
      </c>
      <c r="Z768" s="42">
        <f>ROUND($B768*Z$657,2)</f>
        <v>0</v>
      </c>
      <c r="AA768" s="42">
        <f>ROUND($B768*AA$657,2)</f>
        <v>0</v>
      </c>
      <c r="AB768" s="19">
        <f>SUM(U$657:AA$657)+(-V$657+V713)</f>
        <v>1.2243E-2</v>
      </c>
      <c r="AC768" s="94" t="str">
        <f>+F768</f>
        <v>PL6</v>
      </c>
    </row>
    <row r="769" spans="1:29" x14ac:dyDescent="0.2">
      <c r="A769" s="9"/>
      <c r="B769" s="97">
        <v>-1</v>
      </c>
      <c r="D769" s="41"/>
      <c r="E769" s="80"/>
      <c r="F769" s="36"/>
      <c r="G769" s="42"/>
      <c r="H769" s="19"/>
      <c r="I769" s="19"/>
      <c r="J769" s="88"/>
      <c r="K769" s="42"/>
      <c r="L769" s="42"/>
      <c r="M769" s="42"/>
      <c r="N769" s="42"/>
      <c r="O769" s="42"/>
      <c r="P769" s="42"/>
      <c r="Q769" s="42"/>
      <c r="R769" s="38" t="e">
        <f>VLOOKUP((D770),'Pwr Factor'!$A$1:$B$52,2)</f>
        <v>#N/A</v>
      </c>
      <c r="S769" s="50">
        <v>0</v>
      </c>
      <c r="T769" s="42"/>
      <c r="U769" s="42"/>
      <c r="V769" s="41"/>
      <c r="W769" s="42"/>
      <c r="X769" s="42"/>
      <c r="Y769" s="42"/>
      <c r="Z769" s="42"/>
      <c r="AA769" s="42"/>
      <c r="AB769" s="19"/>
      <c r="AC769" s="94"/>
    </row>
    <row r="770" spans="1:29" x14ac:dyDescent="0.2">
      <c r="A770" s="1" t="s">
        <v>137</v>
      </c>
      <c r="B770" s="103">
        <f>IF(AND('AES Indiana Bill Calc.'!$D$17="PL",'AES Indiana Bill Calc.'!$D$18="No",'AES Indiana Bill Calc.'!$D$20="Yes 2026"),'AES Indiana Bill Calc.'!$D$19,-1)</f>
        <v>-1</v>
      </c>
      <c r="C770" s="103">
        <f>MAX(E770,$C$653)</f>
        <v>500</v>
      </c>
      <c r="D770" s="103" t="b">
        <f>IF(AND('AES Indiana Bill Calc.'!$D$17="PL",'AES Indiana Bill Calc.'!$D$18="No",'AES Indiana Bill Calc.'!$D$20="Yes 2025"),'AES Indiana Bill Calc.'!$D$22)</f>
        <v>0</v>
      </c>
      <c r="E770" s="103" t="b">
        <f>IF(AND('AES Indiana Bill Calc.'!$D$17="PL",'AES Indiana Bill Calc.'!$D$18="No",'AES Indiana Bill Calc.'!$D$20="Yes 2025"),'AES Indiana Bill Calc.'!$D$21)</f>
        <v>0</v>
      </c>
      <c r="F770" s="36" t="s">
        <v>380</v>
      </c>
      <c r="G770" s="42" t="e">
        <f>SUM(J770:M770,R770:AA770)</f>
        <v>#N/A</v>
      </c>
      <c r="H770" s="19" t="e">
        <f>IF(ISBLANK(B770),0,+#REF!/B770)</f>
        <v>#REF!</v>
      </c>
      <c r="I770" s="19"/>
      <c r="J770" s="88">
        <f>IF(ISBLANK(B770),0,+J$657)</f>
        <v>130</v>
      </c>
      <c r="K770" s="42">
        <f>ROUND($B770*K$657,2)</f>
        <v>-0.04</v>
      </c>
      <c r="L770" s="92">
        <f>IF($C770&gt;L$658,ROUND(L$658*L$657,2),ROUND($C770*L$657,2))</f>
        <v>14150</v>
      </c>
      <c r="M770" s="92">
        <f>IF($C770&gt;L$658,ROUND(($C770-L$658)*M$657,2),0)</f>
        <v>0</v>
      </c>
      <c r="N770" s="92">
        <f>K770</f>
        <v>-0.04</v>
      </c>
      <c r="O770" s="42"/>
      <c r="P770" s="42"/>
      <c r="Q770" s="92">
        <f>SUM(L770:M770)</f>
        <v>14150</v>
      </c>
      <c r="R770" s="82" t="e">
        <f>ROUND(SUM(K770:M770)*(R769-1),2)</f>
        <v>#N/A</v>
      </c>
      <c r="S770" s="42">
        <f>ROUND($B770*S$657*S769,2)</f>
        <v>0</v>
      </c>
      <c r="T770" s="42">
        <f>ROUND($B770*T$657,2)</f>
        <v>0</v>
      </c>
      <c r="U770" s="42">
        <f>ROUND($B770*U$657,2)</f>
        <v>0</v>
      </c>
      <c r="V770" s="41">
        <f>ROUND($B770*V$656,2)</f>
        <v>-0.01</v>
      </c>
      <c r="W770" s="42">
        <f>ROUND($B770*W$657,2)</f>
        <v>0</v>
      </c>
      <c r="X770" s="42">
        <f>ROUND($B770*X$657,2)</f>
        <v>-0.01</v>
      </c>
      <c r="Y770" s="42">
        <f>ROUND($B770*Y$657,2)</f>
        <v>0</v>
      </c>
      <c r="Z770" s="42">
        <f>ROUND($B770*Z$657,2)</f>
        <v>0</v>
      </c>
      <c r="AA770" s="42">
        <f>ROUND($B770*AA$657,2)</f>
        <v>0</v>
      </c>
      <c r="AB770" s="19">
        <f>SUM(U$657:AA$657)+(-V$657+V715)</f>
        <v>1.2243E-2</v>
      </c>
      <c r="AC770" s="94" t="str">
        <f>+F770</f>
        <v>PL6</v>
      </c>
    </row>
    <row r="771" spans="1:29" x14ac:dyDescent="0.2">
      <c r="A771" s="1"/>
      <c r="B771" s="103">
        <v>-1</v>
      </c>
      <c r="C771" s="103"/>
      <c r="D771" s="103"/>
      <c r="E771" s="103"/>
      <c r="F771" s="36"/>
      <c r="G771" s="42"/>
      <c r="H771" s="19"/>
      <c r="I771" s="19"/>
      <c r="J771" s="88"/>
      <c r="K771" s="42"/>
      <c r="L771" s="92"/>
      <c r="M771" s="92"/>
      <c r="N771" s="92"/>
      <c r="O771" s="42"/>
      <c r="P771" s="42"/>
      <c r="Q771" s="92"/>
      <c r="R771" s="82"/>
      <c r="S771" s="42"/>
      <c r="T771" s="42"/>
      <c r="U771" s="42"/>
      <c r="V771" s="41"/>
      <c r="W771" s="42"/>
      <c r="X771" s="42"/>
      <c r="Y771" s="42"/>
      <c r="Z771" s="42"/>
      <c r="AA771" s="42"/>
      <c r="AB771" s="19"/>
      <c r="AC771" s="94"/>
    </row>
    <row r="772" spans="1:29" x14ac:dyDescent="0.2">
      <c r="A772" s="1"/>
      <c r="B772" s="103">
        <v>-1</v>
      </c>
      <c r="C772" s="103"/>
      <c r="D772" s="103"/>
      <c r="E772" s="103"/>
      <c r="F772" s="36"/>
      <c r="G772" s="42"/>
      <c r="H772" s="19"/>
      <c r="I772" s="19"/>
      <c r="J772" s="88"/>
      <c r="K772" s="42"/>
      <c r="L772" s="92"/>
      <c r="M772" s="92"/>
      <c r="N772" s="92"/>
      <c r="O772" s="42"/>
      <c r="P772" s="42"/>
      <c r="Q772" s="92"/>
      <c r="R772" s="82"/>
      <c r="S772" s="42"/>
      <c r="T772" s="42"/>
      <c r="U772" s="42"/>
      <c r="V772" s="27">
        <f>+T13</f>
        <v>0</v>
      </c>
      <c r="W772" s="6" t="s">
        <v>145</v>
      </c>
      <c r="X772" s="42"/>
      <c r="Y772" s="42"/>
      <c r="Z772" s="42"/>
      <c r="AA772" s="42"/>
      <c r="AB772" s="19"/>
      <c r="AC772" s="94"/>
    </row>
    <row r="773" spans="1:29" x14ac:dyDescent="0.2">
      <c r="B773" s="103">
        <v>-1</v>
      </c>
      <c r="C773" s="9"/>
      <c r="D773" s="8"/>
      <c r="I773" s="19"/>
      <c r="S773" s="6"/>
      <c r="T773" s="6"/>
      <c r="U773" s="6"/>
      <c r="V773" s="27">
        <f>T16</f>
        <v>0</v>
      </c>
      <c r="W773" s="6" t="s">
        <v>146</v>
      </c>
      <c r="X773" s="6"/>
      <c r="Y773" s="6"/>
      <c r="Z773" s="6"/>
      <c r="AA773" s="6"/>
      <c r="AB773" s="19"/>
    </row>
    <row r="774" spans="1:29" x14ac:dyDescent="0.2">
      <c r="B774" s="103">
        <v>-1</v>
      </c>
      <c r="C774" s="9"/>
      <c r="D774" s="8"/>
      <c r="I774" s="19"/>
      <c r="S774" s="6"/>
      <c r="T774" s="6"/>
      <c r="U774" s="6"/>
      <c r="V774" s="27">
        <f>$T$19</f>
        <v>0</v>
      </c>
      <c r="W774" s="6" t="s">
        <v>147</v>
      </c>
      <c r="X774" s="6"/>
      <c r="Y774" s="6"/>
      <c r="Z774" s="6"/>
      <c r="AA774" s="6"/>
      <c r="AB774" s="19"/>
    </row>
    <row r="775" spans="1:29" x14ac:dyDescent="0.2">
      <c r="B775" s="103">
        <v>-1</v>
      </c>
      <c r="C775" s="9"/>
      <c r="D775" s="8"/>
      <c r="I775" s="19"/>
      <c r="S775" s="6"/>
      <c r="T775" s="6"/>
      <c r="U775" s="6"/>
      <c r="V775" s="27">
        <f>$T$21</f>
        <v>0</v>
      </c>
      <c r="W775" s="6" t="s">
        <v>148</v>
      </c>
      <c r="X775" s="6"/>
      <c r="Y775" s="6"/>
      <c r="Z775" s="6"/>
      <c r="AA775" s="6"/>
      <c r="AB775" s="19"/>
    </row>
    <row r="776" spans="1:29" x14ac:dyDescent="0.2">
      <c r="B776" s="103">
        <v>-1</v>
      </c>
      <c r="C776" s="9"/>
      <c r="D776" s="8"/>
      <c r="I776" s="19"/>
      <c r="S776" s="6"/>
      <c r="T776" s="6"/>
      <c r="U776" s="6"/>
      <c r="V776" s="27">
        <f>$T$23</f>
        <v>-4.0299999999999998E-4</v>
      </c>
      <c r="W776" s="6" t="s">
        <v>149</v>
      </c>
      <c r="X776" s="6"/>
      <c r="Y776" s="6"/>
      <c r="Z776" s="6"/>
      <c r="AA776" s="6"/>
      <c r="AB776" s="19"/>
    </row>
    <row r="777" spans="1:29" x14ac:dyDescent="0.2">
      <c r="B777" s="103">
        <v>-1</v>
      </c>
      <c r="C777" s="9"/>
      <c r="D777" s="8"/>
      <c r="I777" s="19"/>
      <c r="S777" s="6"/>
      <c r="T777" s="6"/>
      <c r="U777" s="6"/>
      <c r="V777" s="27">
        <f>$T$25</f>
        <v>0</v>
      </c>
      <c r="W777" s="6" t="s">
        <v>150</v>
      </c>
      <c r="X777" s="6"/>
      <c r="Y777" s="6"/>
      <c r="Z777" s="6"/>
      <c r="AA777" s="6"/>
      <c r="AB777" s="19"/>
    </row>
    <row r="778" spans="1:29" x14ac:dyDescent="0.2">
      <c r="B778" s="103">
        <v>-1</v>
      </c>
      <c r="C778" s="9"/>
      <c r="D778" s="8"/>
      <c r="I778" s="19"/>
      <c r="S778" s="6"/>
      <c r="T778" s="6"/>
      <c r="U778" s="6"/>
      <c r="V778" s="19">
        <f>T27</f>
        <v>0</v>
      </c>
      <c r="W778" s="6" t="s">
        <v>151</v>
      </c>
      <c r="X778" s="6"/>
      <c r="Y778" s="6"/>
      <c r="Z778" s="6"/>
      <c r="AA778" s="6"/>
      <c r="AB778" s="19"/>
    </row>
    <row r="779" spans="1:29" x14ac:dyDescent="0.2">
      <c r="B779" s="103">
        <v>-1</v>
      </c>
      <c r="C779" s="9"/>
      <c r="D779" s="8"/>
      <c r="I779" s="19"/>
      <c r="S779" s="6"/>
      <c r="T779" s="6"/>
      <c r="U779" s="6"/>
      <c r="V779" s="19">
        <f>T29</f>
        <v>3.3769999999999998E-3</v>
      </c>
      <c r="W779" s="6" t="s">
        <v>285</v>
      </c>
      <c r="X779" s="6"/>
      <c r="Y779" s="6"/>
      <c r="Z779" s="6"/>
      <c r="AA779" s="6"/>
      <c r="AB779" s="19"/>
    </row>
    <row r="780" spans="1:29" x14ac:dyDescent="0.2">
      <c r="B780" s="103">
        <v>-1</v>
      </c>
      <c r="C780" s="9"/>
      <c r="D780" s="8"/>
      <c r="I780" s="19"/>
      <c r="S780" s="6"/>
      <c r="T780" s="6"/>
      <c r="U780" s="6"/>
      <c r="V780" s="19">
        <f>T31</f>
        <v>7.6290000000000004E-3</v>
      </c>
      <c r="W780" s="6" t="s">
        <v>162</v>
      </c>
      <c r="X780" s="6"/>
      <c r="Y780" s="6"/>
      <c r="Z780" s="6"/>
      <c r="AA780" s="6"/>
      <c r="AB780" s="19"/>
    </row>
    <row r="781" spans="1:29" x14ac:dyDescent="0.2">
      <c r="B781" s="103">
        <v>-1</v>
      </c>
      <c r="C781" s="9"/>
      <c r="D781" s="8"/>
      <c r="I781" s="19"/>
      <c r="S781" s="6"/>
      <c r="T781" s="6"/>
      <c r="U781" s="6"/>
      <c r="V781" s="19">
        <f>T33</f>
        <v>9.0039999999999999E-3</v>
      </c>
      <c r="W781" s="6" t="s">
        <v>144</v>
      </c>
      <c r="X781" s="6"/>
      <c r="Y781" s="6"/>
      <c r="Z781" s="6"/>
      <c r="AA781" s="6"/>
      <c r="AB781" s="19"/>
    </row>
    <row r="782" spans="1:29" x14ac:dyDescent="0.2">
      <c r="A782" s="1"/>
      <c r="B782" s="103">
        <v>-1</v>
      </c>
      <c r="C782" s="33" t="s">
        <v>184</v>
      </c>
      <c r="D782" s="8"/>
      <c r="F782" s="70"/>
      <c r="G782" s="70"/>
      <c r="H782" s="70"/>
      <c r="I782" s="75"/>
      <c r="J782" s="157">
        <v>1250</v>
      </c>
      <c r="K782" s="158">
        <v>9.7390000000000004E-2</v>
      </c>
      <c r="L782" s="158">
        <v>8.2614000000000007E-2</v>
      </c>
      <c r="M782" s="8">
        <v>0</v>
      </c>
      <c r="N782" s="8"/>
      <c r="O782" s="8"/>
      <c r="P782" s="8"/>
      <c r="Q782" s="8"/>
      <c r="R782" s="5"/>
      <c r="S782" s="27">
        <f>+M$5</f>
        <v>1.8E-3</v>
      </c>
      <c r="T782" s="27">
        <f t="shared" ref="T782:AA782" si="41">+R$5</f>
        <v>2.3900000000000001E-4</v>
      </c>
      <c r="U782" s="27">
        <f>S5</f>
        <v>2.098E-3</v>
      </c>
      <c r="V782" s="27">
        <f>+T$5</f>
        <v>1.5089999999999999E-2</v>
      </c>
      <c r="W782" s="27">
        <f t="shared" si="41"/>
        <v>0</v>
      </c>
      <c r="X782" s="27">
        <f t="shared" si="41"/>
        <v>8.1969999999999994E-3</v>
      </c>
      <c r="Y782" s="27">
        <f>+W$5</f>
        <v>-4.8200000000000001E-4</v>
      </c>
      <c r="Z782" s="27">
        <f t="shared" si="41"/>
        <v>3.9439999999999996E-3</v>
      </c>
      <c r="AA782" s="27">
        <f t="shared" si="41"/>
        <v>6.6600000000000003E-4</v>
      </c>
      <c r="AB782" s="19">
        <f>SUM(U782:Z782)</f>
        <v>2.8846999999999998E-2</v>
      </c>
    </row>
    <row r="783" spans="1:29" x14ac:dyDescent="0.2">
      <c r="B783" s="103">
        <v>-1</v>
      </c>
      <c r="C783" s="9">
        <v>100</v>
      </c>
      <c r="D783" s="8"/>
      <c r="F783" s="70"/>
      <c r="G783" s="70"/>
      <c r="H783" s="70"/>
      <c r="I783" s="75"/>
      <c r="J783" s="70"/>
      <c r="K783" s="73">
        <v>250</v>
      </c>
      <c r="L783" s="73"/>
    </row>
    <row r="784" spans="1:29" x14ac:dyDescent="0.2">
      <c r="B784" s="103">
        <v>-1</v>
      </c>
      <c r="C784" s="9"/>
      <c r="D784" s="8"/>
      <c r="F784" s="12"/>
      <c r="I784" s="19"/>
      <c r="J784" s="12" t="s">
        <v>127</v>
      </c>
      <c r="K784" s="254" t="s">
        <v>28</v>
      </c>
      <c r="L784" s="254"/>
      <c r="M784" s="13" t="s">
        <v>210</v>
      </c>
      <c r="N784" s="12"/>
      <c r="O784" s="12"/>
      <c r="P784" s="136" t="s">
        <v>211</v>
      </c>
      <c r="Q784" s="140" t="s">
        <v>163</v>
      </c>
      <c r="R784" s="12" t="s">
        <v>186</v>
      </c>
      <c r="S784" s="12">
        <v>21</v>
      </c>
      <c r="T784" s="12">
        <v>6</v>
      </c>
      <c r="U784" s="12">
        <v>3</v>
      </c>
      <c r="V784" s="12">
        <v>22</v>
      </c>
      <c r="W784" s="12">
        <v>13</v>
      </c>
      <c r="X784" s="12">
        <v>20</v>
      </c>
      <c r="Y784" s="12">
        <v>24</v>
      </c>
      <c r="Z784" s="12">
        <v>25</v>
      </c>
      <c r="AA784" s="12">
        <v>26</v>
      </c>
    </row>
    <row r="785" spans="1:29" x14ac:dyDescent="0.2">
      <c r="A785" s="13"/>
      <c r="B785" s="103">
        <v>-1</v>
      </c>
      <c r="C785" s="99" t="s">
        <v>199</v>
      </c>
      <c r="D785" s="100" t="s">
        <v>200</v>
      </c>
      <c r="E785" s="130" t="s">
        <v>189</v>
      </c>
      <c r="F785" s="13" t="s">
        <v>131</v>
      </c>
      <c r="G785" s="130" t="s">
        <v>132</v>
      </c>
      <c r="H785" s="13" t="s">
        <v>133</v>
      </c>
      <c r="I785" s="148" t="s">
        <v>212</v>
      </c>
      <c r="J785" s="13" t="s">
        <v>134</v>
      </c>
      <c r="K785" s="13" t="s">
        <v>213</v>
      </c>
      <c r="L785" s="13" t="s">
        <v>214</v>
      </c>
      <c r="M785" s="13" t="s">
        <v>134</v>
      </c>
      <c r="N785" s="140" t="s">
        <v>128</v>
      </c>
      <c r="O785" s="13"/>
      <c r="P785" s="12"/>
      <c r="Q785" s="13"/>
      <c r="R785" s="13" t="s">
        <v>191</v>
      </c>
      <c r="S785" s="13" t="s">
        <v>96</v>
      </c>
      <c r="T785" s="13" t="s">
        <v>36</v>
      </c>
      <c r="U785" s="136" t="s">
        <v>38</v>
      </c>
      <c r="V785" s="13" t="s">
        <v>97</v>
      </c>
      <c r="W785" s="13" t="s">
        <v>98</v>
      </c>
      <c r="X785" s="13" t="s">
        <v>99</v>
      </c>
      <c r="Y785" s="136" t="s">
        <v>44</v>
      </c>
      <c r="Z785" s="136" t="s">
        <v>46</v>
      </c>
      <c r="AA785" s="136" t="s">
        <v>48</v>
      </c>
      <c r="AB785" s="66" t="s">
        <v>100</v>
      </c>
    </row>
    <row r="786" spans="1:29" x14ac:dyDescent="0.2">
      <c r="A786" s="48"/>
      <c r="B786" s="103">
        <v>-1</v>
      </c>
      <c r="D786" s="8"/>
      <c r="E786" s="9"/>
      <c r="F786" s="36"/>
      <c r="H786" s="12"/>
      <c r="I786" s="19"/>
      <c r="J786" s="12"/>
      <c r="K786" s="43">
        <f>ROUND(C787*K$783,0)</f>
        <v>25000</v>
      </c>
      <c r="L786" s="35">
        <f>+B787-K786</f>
        <v>-25001</v>
      </c>
      <c r="M786" s="12"/>
      <c r="N786" s="12"/>
      <c r="O786" s="12"/>
      <c r="P786" s="17" t="e">
        <f>SUM(J787:M787,R787:AA787)</f>
        <v>#N/A</v>
      </c>
      <c r="Q786" s="12"/>
      <c r="R786" s="38" t="e">
        <f>VLOOKUP((D787),'Pwr Factor'!$A$1:$B$52,2)</f>
        <v>#N/A</v>
      </c>
      <c r="S786" s="50">
        <v>1</v>
      </c>
      <c r="T786" s="12"/>
      <c r="U786" s="12"/>
      <c r="V786" s="12"/>
      <c r="W786" s="12"/>
      <c r="X786" s="12"/>
      <c r="Y786" s="12"/>
      <c r="Z786" s="12"/>
      <c r="AA786" s="12"/>
    </row>
    <row r="787" spans="1:29" x14ac:dyDescent="0.2">
      <c r="A787" s="1" t="s">
        <v>138</v>
      </c>
      <c r="B787" s="103">
        <f>IF(AND('AES Indiana Bill Calc.'!$D$17="PH",'AES Indiana Bill Calc.'!$D$18="Yes 100%",'AES Indiana Bill Calc.'!$D$20="No"),'AES Indiana Bill Calc.'!$D$19,-1)</f>
        <v>-1</v>
      </c>
      <c r="C787" s="103">
        <f>MAX(E787,$C$783)</f>
        <v>100</v>
      </c>
      <c r="D787" s="103" t="b">
        <f>IF(AND('AES Indiana Bill Calc.'!$D$17="PH",'AES Indiana Bill Calc.'!$D$18="Yes 100%",'AES Indiana Bill Calc.'!$D$20="No"),'AES Indiana Bill Calc.'!$D$22)</f>
        <v>0</v>
      </c>
      <c r="E787" s="103" t="b">
        <f>IF(AND('AES Indiana Bill Calc.'!$D$17="PH",'AES Indiana Bill Calc.'!$D$18="Yes 100%",'AES Indiana Bill Calc.'!$D$20="No"),'AES Indiana Bill Calc.'!$D$21)</f>
        <v>0</v>
      </c>
      <c r="F787" s="36" t="s">
        <v>63</v>
      </c>
      <c r="G787" s="135" t="e">
        <f>MAX(I787,P786)</f>
        <v>#N/A</v>
      </c>
      <c r="H787" s="19" t="e">
        <f>IF(ISBLANK(B787),0,+#REF!/B787)</f>
        <v>#REF!</v>
      </c>
      <c r="I787" s="115">
        <f>(E787*120*$K$782)+$J$782</f>
        <v>1250</v>
      </c>
      <c r="J787" s="51">
        <f>IF(ISBLANK(B787),0,+J$782)</f>
        <v>1250</v>
      </c>
      <c r="K787" s="16">
        <f>IF($B787&gt;K786,ROUND(K786*K$782,2),ROUND($B787*K$782,2))</f>
        <v>-0.1</v>
      </c>
      <c r="L787" s="17">
        <f>IF($B787&gt;K786,ROUND((B787-K786)*L$782,2),0)</f>
        <v>0</v>
      </c>
      <c r="M787" s="17">
        <f>IF($C787&gt;L$658,ROUND(($C787-L$658)*M$657,2),0)</f>
        <v>0</v>
      </c>
      <c r="N787" s="17">
        <f>SUM(K787:L787)</f>
        <v>-0.1</v>
      </c>
      <c r="O787" s="17"/>
      <c r="P787" s="12"/>
      <c r="Q787" s="17">
        <f>M787</f>
        <v>0</v>
      </c>
      <c r="R787" s="16" t="e">
        <f>ROUND(SUM(K787:M787)*(R786-1),2)</f>
        <v>#N/A</v>
      </c>
      <c r="S787" s="17">
        <f>ROUND($B787*S$782*S786,2)</f>
        <v>0</v>
      </c>
      <c r="T787" s="17">
        <f t="shared" ref="T787:AA787" si="42">ROUND($B787*T$782,2)</f>
        <v>0</v>
      </c>
      <c r="U787" s="17">
        <f t="shared" si="42"/>
        <v>0</v>
      </c>
      <c r="V787" s="17">
        <f t="shared" si="42"/>
        <v>-0.02</v>
      </c>
      <c r="W787" s="17">
        <f t="shared" si="42"/>
        <v>0</v>
      </c>
      <c r="X787" s="17">
        <f t="shared" si="42"/>
        <v>-0.01</v>
      </c>
      <c r="Y787" s="17">
        <f t="shared" si="42"/>
        <v>0</v>
      </c>
      <c r="Z787" s="17">
        <f t="shared" si="42"/>
        <v>0</v>
      </c>
      <c r="AA787" s="17">
        <f t="shared" si="42"/>
        <v>0</v>
      </c>
      <c r="AB787" s="19">
        <f>SUM(U782:AA782)</f>
        <v>2.9512999999999998E-2</v>
      </c>
      <c r="AC787" s="67" t="str">
        <f>+F787</f>
        <v>PH</v>
      </c>
    </row>
    <row r="788" spans="1:29" x14ac:dyDescent="0.2">
      <c r="A788" s="9"/>
      <c r="B788" s="103">
        <v>-1</v>
      </c>
      <c r="D788" s="8"/>
      <c r="E788" s="9"/>
      <c r="F788" s="36"/>
      <c r="H788" s="12"/>
      <c r="I788" s="19"/>
      <c r="J788" s="12"/>
      <c r="K788" s="43">
        <f>ROUND(C789*K$783,0)</f>
        <v>25000</v>
      </c>
      <c r="L788" s="35">
        <f>+B789-K788</f>
        <v>-25001</v>
      </c>
      <c r="M788" s="12"/>
      <c r="N788" s="12"/>
      <c r="O788" s="12"/>
      <c r="P788" s="17" t="e">
        <f>SUM(J789:M789,R789:AA789)</f>
        <v>#N/A</v>
      </c>
      <c r="Q788" s="17">
        <f t="shared" ref="Q788:Q851" si="43">M788</f>
        <v>0</v>
      </c>
      <c r="R788" s="38" t="e">
        <f>VLOOKUP((D789),'Pwr Factor'!$A$1:$B$52,2)</f>
        <v>#N/A</v>
      </c>
      <c r="S788" s="50">
        <v>0.5</v>
      </c>
      <c r="T788" s="12"/>
      <c r="U788" s="12"/>
      <c r="V788" s="12"/>
      <c r="W788" s="12"/>
      <c r="X788" s="12"/>
      <c r="Y788" s="12"/>
      <c r="Z788" s="12"/>
      <c r="AA788" s="12"/>
    </row>
    <row r="789" spans="1:29" x14ac:dyDescent="0.2">
      <c r="A789" s="1" t="s">
        <v>139</v>
      </c>
      <c r="B789" s="103">
        <f>IF(AND('AES Indiana Bill Calc.'!$D$17="PH",'AES Indiana Bill Calc.'!$D$18="Yes 50%",'AES Indiana Bill Calc.'!$D$20="No"),'AES Indiana Bill Calc.'!$D$19,-1)</f>
        <v>-1</v>
      </c>
      <c r="C789" s="103">
        <f>MAX(E789,$C$783)</f>
        <v>100</v>
      </c>
      <c r="D789" s="103" t="b">
        <f>IF(AND('AES Indiana Bill Calc.'!$D$17="PH",'AES Indiana Bill Calc.'!$D$18="Yes 50%",'AES Indiana Bill Calc.'!$D$20="No"),'AES Indiana Bill Calc.'!$D$22)</f>
        <v>0</v>
      </c>
      <c r="E789" s="103" t="b">
        <f>IF(AND('AES Indiana Bill Calc.'!$D$17="PH",'AES Indiana Bill Calc.'!$D$18="Yes 50%",'AES Indiana Bill Calc.'!$D$20="No"),'AES Indiana Bill Calc.'!$D$21)</f>
        <v>0</v>
      </c>
      <c r="F789" s="36" t="s">
        <v>63</v>
      </c>
      <c r="G789" s="135" t="e">
        <f>MAX(I789,P788)</f>
        <v>#N/A</v>
      </c>
      <c r="H789" s="19" t="e">
        <f>IF(ISBLANK(B789),0,+#REF!/B789)</f>
        <v>#REF!</v>
      </c>
      <c r="I789" s="115">
        <f>(E789*120*$K$782)+$J$782</f>
        <v>1250</v>
      </c>
      <c r="J789" s="51">
        <f>IF(ISBLANK(B789),0,+J$782)</f>
        <v>1250</v>
      </c>
      <c r="K789" s="16">
        <f>IF($B789&gt;K788,ROUND(K788*K$782,2),ROUND($B789*K$782,2))</f>
        <v>-0.1</v>
      </c>
      <c r="L789" s="17">
        <f>IF($B789&gt;K788,ROUND((B789-K788)*L$782,2),0)</f>
        <v>0</v>
      </c>
      <c r="M789" s="17">
        <f>IF($C789&gt;L$658,ROUND(($C789-L$658)*M$657,2),0)</f>
        <v>0</v>
      </c>
      <c r="N789" s="17">
        <f>SUM(K789:L789)</f>
        <v>-0.1</v>
      </c>
      <c r="O789" s="17"/>
      <c r="P789" s="12"/>
      <c r="Q789" s="17">
        <f>M789</f>
        <v>0</v>
      </c>
      <c r="R789" s="16" t="e">
        <f>ROUND(SUM(K789:M789)*(R788-1),2)</f>
        <v>#N/A</v>
      </c>
      <c r="S789" s="17">
        <f>ROUND($B789*S$782*S788,2)</f>
        <v>0</v>
      </c>
      <c r="T789" s="17">
        <f t="shared" ref="T789:AA789" si="44">ROUND($B789*T$782,2)</f>
        <v>0</v>
      </c>
      <c r="U789" s="17">
        <f t="shared" si="44"/>
        <v>0</v>
      </c>
      <c r="V789" s="17">
        <f t="shared" si="44"/>
        <v>-0.02</v>
      </c>
      <c r="W789" s="17">
        <f t="shared" si="44"/>
        <v>0</v>
      </c>
      <c r="X789" s="17">
        <f t="shared" si="44"/>
        <v>-0.01</v>
      </c>
      <c r="Y789" s="17">
        <f t="shared" si="44"/>
        <v>0</v>
      </c>
      <c r="Z789" s="17">
        <f t="shared" si="44"/>
        <v>0</v>
      </c>
      <c r="AA789" s="17">
        <f t="shared" si="44"/>
        <v>0</v>
      </c>
      <c r="AB789" s="19">
        <f>SUM(U784:AA784)</f>
        <v>133</v>
      </c>
      <c r="AC789" s="67" t="str">
        <f>+F789</f>
        <v>PH</v>
      </c>
    </row>
    <row r="790" spans="1:29" x14ac:dyDescent="0.2">
      <c r="A790" s="9"/>
      <c r="B790" s="103">
        <v>-1</v>
      </c>
      <c r="D790" s="8"/>
      <c r="E790" s="9"/>
      <c r="F790" s="36"/>
      <c r="H790" s="12"/>
      <c r="I790" s="19"/>
      <c r="J790" s="12"/>
      <c r="K790" s="43">
        <f>ROUND(C791*K$783,0)</f>
        <v>25000</v>
      </c>
      <c r="L790" s="35">
        <f>+B791-K790</f>
        <v>-25001</v>
      </c>
      <c r="M790" s="12"/>
      <c r="N790" s="12"/>
      <c r="O790" s="12"/>
      <c r="P790" s="17" t="e">
        <f>SUM(J791:M791,R791:AA791)</f>
        <v>#N/A</v>
      </c>
      <c r="Q790" s="17">
        <f t="shared" si="43"/>
        <v>0</v>
      </c>
      <c r="R790" s="38" t="e">
        <f>VLOOKUP((D791),'Pwr Factor'!$A$1:$B$52,2)</f>
        <v>#N/A</v>
      </c>
      <c r="S790" s="50">
        <v>0.25</v>
      </c>
      <c r="T790" s="12"/>
      <c r="U790" s="12"/>
      <c r="V790" s="12"/>
      <c r="W790" s="12"/>
      <c r="X790" s="12"/>
      <c r="Y790" s="12"/>
      <c r="Z790" s="12"/>
      <c r="AA790" s="12"/>
    </row>
    <row r="791" spans="1:29" x14ac:dyDescent="0.2">
      <c r="A791" s="1" t="s">
        <v>140</v>
      </c>
      <c r="B791" s="103">
        <f>IF(AND('AES Indiana Bill Calc.'!$D$17="PH",'AES Indiana Bill Calc.'!$D$18="Yes 25%",'AES Indiana Bill Calc.'!$D$20="No"),'AES Indiana Bill Calc.'!$D$19,-1)</f>
        <v>-1</v>
      </c>
      <c r="C791" s="103">
        <f>MAX(E791,$C$783)</f>
        <v>100</v>
      </c>
      <c r="D791" s="103" t="b">
        <f>IF(AND('AES Indiana Bill Calc.'!$D$17="PH",'AES Indiana Bill Calc.'!$D$18="Yes 25%",'AES Indiana Bill Calc.'!$D$20="No"),'AES Indiana Bill Calc.'!$D$22)</f>
        <v>0</v>
      </c>
      <c r="E791" s="103" t="b">
        <f>IF(AND('AES Indiana Bill Calc.'!$D$17="PH",'AES Indiana Bill Calc.'!$D$18="Yes 25%",'AES Indiana Bill Calc.'!$D$20="No"),'AES Indiana Bill Calc.'!$D$21)</f>
        <v>0</v>
      </c>
      <c r="F791" s="36" t="s">
        <v>63</v>
      </c>
      <c r="G791" s="135" t="e">
        <f>MAX(I791,P790)</f>
        <v>#N/A</v>
      </c>
      <c r="H791" s="19" t="e">
        <f>IF(ISBLANK(B791),0,+#REF!/B791)</f>
        <v>#REF!</v>
      </c>
      <c r="I791" s="115">
        <f>(E791*120*$K$782)+$J$782</f>
        <v>1250</v>
      </c>
      <c r="J791" s="51">
        <f>IF(ISBLANK(B791),0,+J$782)</f>
        <v>1250</v>
      </c>
      <c r="K791" s="16">
        <f>IF($B791&gt;K790,ROUND(K790*K$782,2),ROUND($B791*K$782,2))</f>
        <v>-0.1</v>
      </c>
      <c r="L791" s="17">
        <f>IF($B791&gt;K790,ROUND((B791-K790)*L$782,2),0)</f>
        <v>0</v>
      </c>
      <c r="M791" s="17">
        <f>IF($C791&gt;L$658,ROUND(($C791-L$658)*M$657,2),0)</f>
        <v>0</v>
      </c>
      <c r="N791" s="17">
        <f>SUM(K791:L791)</f>
        <v>-0.1</v>
      </c>
      <c r="O791" s="17"/>
      <c r="P791" s="12"/>
      <c r="Q791" s="17">
        <f t="shared" si="43"/>
        <v>0</v>
      </c>
      <c r="R791" s="16" t="e">
        <f>ROUND(SUM(K791:M791)*(R790-1),2)</f>
        <v>#N/A</v>
      </c>
      <c r="S791" s="17">
        <f>ROUND($B791*S$782*S790,2)</f>
        <v>0</v>
      </c>
      <c r="T791" s="17">
        <f t="shared" ref="T791:AA791" si="45">ROUND($B791*T$782,2)</f>
        <v>0</v>
      </c>
      <c r="U791" s="17">
        <f t="shared" si="45"/>
        <v>0</v>
      </c>
      <c r="V791" s="17">
        <f t="shared" si="45"/>
        <v>-0.02</v>
      </c>
      <c r="W791" s="17">
        <f t="shared" si="45"/>
        <v>0</v>
      </c>
      <c r="X791" s="17">
        <f t="shared" si="45"/>
        <v>-0.01</v>
      </c>
      <c r="Y791" s="17">
        <f t="shared" si="45"/>
        <v>0</v>
      </c>
      <c r="Z791" s="17">
        <f t="shared" si="45"/>
        <v>0</v>
      </c>
      <c r="AA791" s="17">
        <f t="shared" si="45"/>
        <v>0</v>
      </c>
      <c r="AB791" s="19">
        <f>SUM(U786:AA786)</f>
        <v>0</v>
      </c>
      <c r="AC791" s="67" t="str">
        <f>+F791</f>
        <v>PH</v>
      </c>
    </row>
    <row r="792" spans="1:29" x14ac:dyDescent="0.2">
      <c r="A792" s="9"/>
      <c r="B792" s="103">
        <v>-1</v>
      </c>
      <c r="D792" s="8"/>
      <c r="E792" s="9"/>
      <c r="F792" s="36"/>
      <c r="H792" s="12"/>
      <c r="I792" s="19"/>
      <c r="J792" s="12"/>
      <c r="K792" s="43">
        <f>ROUND(C793*K$783,0)</f>
        <v>25000</v>
      </c>
      <c r="L792" s="35">
        <f>+B793-K792</f>
        <v>-25001</v>
      </c>
      <c r="M792" s="12"/>
      <c r="N792" s="12"/>
      <c r="O792" s="12"/>
      <c r="P792" s="17" t="e">
        <f>SUM(J793:M793,R793:AA793)</f>
        <v>#N/A</v>
      </c>
      <c r="Q792" s="17">
        <f t="shared" si="43"/>
        <v>0</v>
      </c>
      <c r="R792" s="38" t="e">
        <f>VLOOKUP((D793),'Pwr Factor'!$A$1:$B$52,2)</f>
        <v>#N/A</v>
      </c>
      <c r="S792" s="50">
        <v>0.1</v>
      </c>
      <c r="T792" s="12"/>
      <c r="U792" s="12"/>
      <c r="V792" s="12"/>
      <c r="W792" s="12"/>
      <c r="X792" s="12"/>
      <c r="Y792" s="12"/>
      <c r="Z792" s="12"/>
      <c r="AA792" s="12"/>
    </row>
    <row r="793" spans="1:29" x14ac:dyDescent="0.2">
      <c r="A793" s="1" t="s">
        <v>154</v>
      </c>
      <c r="B793" s="103">
        <f>IF(AND('AES Indiana Bill Calc.'!$D$17="PH",'AES Indiana Bill Calc.'!$D$18="Yes 10%",'AES Indiana Bill Calc.'!$D$20="No"),'AES Indiana Bill Calc.'!$D$19,-1)</f>
        <v>-1</v>
      </c>
      <c r="C793" s="103">
        <f>MAX(E793,$C$783)</f>
        <v>100</v>
      </c>
      <c r="D793" s="103" t="b">
        <f>IF(AND('AES Indiana Bill Calc.'!$D$17="PH",'AES Indiana Bill Calc.'!$D$18="Yes 10%",'AES Indiana Bill Calc.'!$D$20="No"),'AES Indiana Bill Calc.'!$D$22)</f>
        <v>0</v>
      </c>
      <c r="E793" s="103" t="b">
        <f>IF(AND('AES Indiana Bill Calc.'!$D$17="PH",'AES Indiana Bill Calc.'!$D$18="Yes 10%",'AES Indiana Bill Calc.'!$D$20="No"),'AES Indiana Bill Calc.'!$D$21)</f>
        <v>0</v>
      </c>
      <c r="F793" s="36" t="s">
        <v>63</v>
      </c>
      <c r="G793" s="135" t="e">
        <f>MAX(I793,P792)</f>
        <v>#N/A</v>
      </c>
      <c r="H793" s="19" t="e">
        <f>IF(ISBLANK(B793),0,+#REF!/B793)</f>
        <v>#REF!</v>
      </c>
      <c r="I793" s="115">
        <f>(E793*120*$K$782)+$J$782</f>
        <v>1250</v>
      </c>
      <c r="J793" s="51">
        <f>IF(ISBLANK(B793),0,+J$782)</f>
        <v>1250</v>
      </c>
      <c r="K793" s="16">
        <f>IF($B793&gt;K792,ROUND(K792*K$782,2),ROUND($B793*K$782,2))</f>
        <v>-0.1</v>
      </c>
      <c r="L793" s="17">
        <f>IF($B793&gt;K792,ROUND((B793-K792)*L$782,2),0)</f>
        <v>0</v>
      </c>
      <c r="M793" s="17">
        <f>IF($C793&gt;L$658,ROUND(($C793-L$658)*M$657,2),0)</f>
        <v>0</v>
      </c>
      <c r="N793" s="17">
        <f>SUM(K793:L793)</f>
        <v>-0.1</v>
      </c>
      <c r="O793" s="17"/>
      <c r="P793" s="12"/>
      <c r="Q793" s="17">
        <f t="shared" si="43"/>
        <v>0</v>
      </c>
      <c r="R793" s="16" t="e">
        <f>ROUND(SUM(K793:M793)*(R792-1),2)</f>
        <v>#N/A</v>
      </c>
      <c r="S793" s="17">
        <f>ROUND($B793*S$782*S792,2)</f>
        <v>0</v>
      </c>
      <c r="T793" s="17">
        <f t="shared" ref="T793:AA793" si="46">ROUND($B793*T$782,2)</f>
        <v>0</v>
      </c>
      <c r="U793" s="17">
        <f t="shared" si="46"/>
        <v>0</v>
      </c>
      <c r="V793" s="17">
        <f t="shared" si="46"/>
        <v>-0.02</v>
      </c>
      <c r="W793" s="17">
        <f t="shared" si="46"/>
        <v>0</v>
      </c>
      <c r="X793" s="17">
        <f t="shared" si="46"/>
        <v>-0.01</v>
      </c>
      <c r="Y793" s="17">
        <f t="shared" si="46"/>
        <v>0</v>
      </c>
      <c r="Z793" s="17">
        <f t="shared" si="46"/>
        <v>0</v>
      </c>
      <c r="AA793" s="17">
        <f t="shared" si="46"/>
        <v>0</v>
      </c>
      <c r="AB793" s="19">
        <f>SUM(U788:AA788)</f>
        <v>0</v>
      </c>
      <c r="AC793" s="67" t="str">
        <f>+F793</f>
        <v>PH</v>
      </c>
    </row>
    <row r="794" spans="1:29" x14ac:dyDescent="0.2">
      <c r="A794" s="9"/>
      <c r="B794" s="103">
        <v>-1</v>
      </c>
      <c r="D794" s="8"/>
      <c r="E794" s="9"/>
      <c r="F794" s="36"/>
      <c r="H794" s="12"/>
      <c r="I794" s="19"/>
      <c r="J794" s="12"/>
      <c r="K794" s="43">
        <f>ROUND(C795*K$783,0)</f>
        <v>25000</v>
      </c>
      <c r="L794" s="35">
        <f>+B795-K794</f>
        <v>-25001</v>
      </c>
      <c r="M794" s="12"/>
      <c r="N794" s="12"/>
      <c r="O794" s="12"/>
      <c r="P794" s="17" t="e">
        <f>SUM(J795:M795,R795:AA795)</f>
        <v>#N/A</v>
      </c>
      <c r="Q794" s="17">
        <f t="shared" si="43"/>
        <v>0</v>
      </c>
      <c r="R794" s="38" t="e">
        <f>VLOOKUP((D795),'Pwr Factor'!$A$1:$B$52,2)</f>
        <v>#N/A</v>
      </c>
      <c r="S794" s="50">
        <v>0</v>
      </c>
      <c r="T794" s="12"/>
      <c r="U794" s="12"/>
      <c r="V794" s="12"/>
      <c r="W794" s="12"/>
      <c r="X794" s="12"/>
      <c r="Y794" s="12"/>
      <c r="Z794" s="12"/>
      <c r="AA794" s="12"/>
    </row>
    <row r="795" spans="1:29" x14ac:dyDescent="0.2">
      <c r="A795" s="1" t="s">
        <v>137</v>
      </c>
      <c r="B795" s="103">
        <f>IF(AND('AES Indiana Bill Calc.'!$D$17="PH",'AES Indiana Bill Calc.'!$D$18="No",'AES Indiana Bill Calc.'!$D$20="No"),'AES Indiana Bill Calc.'!$D$19,-1)</f>
        <v>-1</v>
      </c>
      <c r="C795" s="103">
        <f>MAX(E795,$C$783)</f>
        <v>100</v>
      </c>
      <c r="D795" s="103" t="b">
        <f>IF(AND('AES Indiana Bill Calc.'!$D$17="PH",'AES Indiana Bill Calc.'!$D$18="No",'AES Indiana Bill Calc.'!$D$20="No"),'AES Indiana Bill Calc.'!$D$22)</f>
        <v>0</v>
      </c>
      <c r="E795" s="103" t="b">
        <f>IF(AND('AES Indiana Bill Calc.'!$D$17="PH",'AES Indiana Bill Calc.'!$D$18="No",'AES Indiana Bill Calc.'!$D$20="No"),'AES Indiana Bill Calc.'!$D$21)</f>
        <v>0</v>
      </c>
      <c r="F795" s="36" t="s">
        <v>63</v>
      </c>
      <c r="G795" s="135" t="e">
        <f>MAX(I795,P794)</f>
        <v>#N/A</v>
      </c>
      <c r="H795" s="19" t="e">
        <f>IF(ISBLANK(B795),0,+#REF!/B795)</f>
        <v>#REF!</v>
      </c>
      <c r="I795" s="115">
        <f>(E795*120*$K$782)+$J$782</f>
        <v>1250</v>
      </c>
      <c r="J795" s="51">
        <f>IF(ISBLANK(B795),0,+J$782)</f>
        <v>1250</v>
      </c>
      <c r="K795" s="16">
        <f>IF($B795&gt;K794,ROUND(K794*K$782,2),ROUND($B795*K$782,2))</f>
        <v>-0.1</v>
      </c>
      <c r="L795" s="17">
        <f>IF($B795&gt;K794,ROUND((B795-K794)*L$782,2),0)</f>
        <v>0</v>
      </c>
      <c r="M795" s="17">
        <f>IF($C795&gt;L$658,ROUND(($C795-L$658)*M$657,2),0)</f>
        <v>0</v>
      </c>
      <c r="N795" s="17">
        <f>SUM(K795:L795)</f>
        <v>-0.1</v>
      </c>
      <c r="O795" s="17"/>
      <c r="P795" s="12"/>
      <c r="Q795" s="17">
        <f t="shared" si="43"/>
        <v>0</v>
      </c>
      <c r="R795" s="16" t="e">
        <f>ROUND(SUM(K795:M795)*(R794-1),2)</f>
        <v>#N/A</v>
      </c>
      <c r="S795" s="17">
        <f>ROUND($B795*S$782*S794,2)</f>
        <v>0</v>
      </c>
      <c r="T795" s="17">
        <f t="shared" ref="T795:AA795" si="47">ROUND($B795*T$782,2)</f>
        <v>0</v>
      </c>
      <c r="U795" s="17">
        <f t="shared" si="47"/>
        <v>0</v>
      </c>
      <c r="V795" s="17">
        <f t="shared" si="47"/>
        <v>-0.02</v>
      </c>
      <c r="W795" s="17">
        <f t="shared" si="47"/>
        <v>0</v>
      </c>
      <c r="X795" s="17">
        <f t="shared" si="47"/>
        <v>-0.01</v>
      </c>
      <c r="Y795" s="17">
        <f t="shared" si="47"/>
        <v>0</v>
      </c>
      <c r="Z795" s="17">
        <f t="shared" si="47"/>
        <v>0</v>
      </c>
      <c r="AA795" s="17">
        <f t="shared" si="47"/>
        <v>0</v>
      </c>
      <c r="AB795" s="19">
        <f>SUM(U790:AA790)</f>
        <v>0</v>
      </c>
      <c r="AC795" s="67" t="str">
        <f>+F795</f>
        <v>PH</v>
      </c>
    </row>
    <row r="796" spans="1:29" x14ac:dyDescent="0.2">
      <c r="A796" s="9"/>
      <c r="B796" s="103">
        <v>-1</v>
      </c>
      <c r="D796" s="8"/>
      <c r="E796" s="9"/>
      <c r="F796" s="36"/>
      <c r="H796" s="12"/>
      <c r="I796" s="19"/>
      <c r="J796" s="12"/>
      <c r="K796" s="43">
        <f>ROUND(C797*K$783,0)</f>
        <v>25000</v>
      </c>
      <c r="L796" s="35">
        <f>+B797-K796</f>
        <v>-25001</v>
      </c>
      <c r="M796" s="12"/>
      <c r="N796" s="12"/>
      <c r="O796" s="12"/>
      <c r="P796" s="17" t="e">
        <f>SUM(J797:M797,R797:AA797)</f>
        <v>#N/A</v>
      </c>
      <c r="Q796" s="17">
        <f t="shared" si="43"/>
        <v>0</v>
      </c>
      <c r="R796" s="38" t="e">
        <f>VLOOKUP((D797),'Pwr Factor'!$A$1:$B$52,2)</f>
        <v>#N/A</v>
      </c>
      <c r="S796" s="50">
        <v>1</v>
      </c>
      <c r="T796" s="12"/>
      <c r="U796" s="12"/>
      <c r="V796" s="12"/>
      <c r="W796" s="12"/>
      <c r="X796" s="12"/>
      <c r="Y796" s="12"/>
      <c r="Z796" s="12"/>
      <c r="AA796" s="12"/>
    </row>
    <row r="797" spans="1:29" x14ac:dyDescent="0.2">
      <c r="A797" s="1" t="s">
        <v>138</v>
      </c>
      <c r="B797" s="103">
        <f>IF(AND('AES Indiana Bill Calc.'!$D$17="PH",'AES Indiana Bill Calc.'!$D$18="Yes 100%",'AES Indiana Bill Calc.'!$D$20="Yes Before 2018"),'AES Indiana Bill Calc.'!$D$19,-1)</f>
        <v>-1</v>
      </c>
      <c r="C797" s="103">
        <f>MAX(E797,$C$783)</f>
        <v>100</v>
      </c>
      <c r="D797" s="103" t="b">
        <f>IF(AND('AES Indiana Bill Calc.'!$D$17="PH",'AES Indiana Bill Calc.'!$D$18="Yes 100%",'AES Indiana Bill Calc.'!$D$20="Yes Before 2018"),'AES Indiana Bill Calc.'!$D$22)</f>
        <v>0</v>
      </c>
      <c r="E797" s="103" t="b">
        <f>IF(AND('AES Indiana Bill Calc.'!$D$17="PH",'AES Indiana Bill Calc.'!$D$18="Yes 100%",'AES Indiana Bill Calc.'!$D$20="Yes Before 2018"),'AES Indiana Bill Calc.'!$D$21)</f>
        <v>0</v>
      </c>
      <c r="F797" s="36" t="s">
        <v>215</v>
      </c>
      <c r="G797" s="135" t="e">
        <f>MAX(I797,P796)</f>
        <v>#N/A</v>
      </c>
      <c r="H797" s="19" t="e">
        <f>IF(ISBLANK(B797),0,+#REF!/B797)</f>
        <v>#REF!</v>
      </c>
      <c r="I797" s="115">
        <f>(E797*120*$K$782)+$J$782</f>
        <v>1250</v>
      </c>
      <c r="J797" s="51">
        <f>IF(ISBLANK(B797),0,+J$782)</f>
        <v>1250</v>
      </c>
      <c r="K797" s="16">
        <f>IF($B797&gt;K796,ROUND(K796*K$782,2),ROUND($B797*K$782,2))</f>
        <v>-0.1</v>
      </c>
      <c r="L797" s="17">
        <f>IF($B797&gt;K796,ROUND((B797-K796)*L$782,2),0)</f>
        <v>0</v>
      </c>
      <c r="M797" s="17">
        <f>IF($C797&gt;L$658,ROUND(($C797-L$658)*M$657,2),0)</f>
        <v>0</v>
      </c>
      <c r="N797" s="17">
        <f>SUM(K797:L797)</f>
        <v>-0.1</v>
      </c>
      <c r="O797" s="17"/>
      <c r="P797" s="12"/>
      <c r="Q797" s="17">
        <f t="shared" si="43"/>
        <v>0</v>
      </c>
      <c r="R797" s="16" t="e">
        <f>ROUND(SUM(K797:M797)*(R796-1),2)</f>
        <v>#N/A</v>
      </c>
      <c r="S797" s="17">
        <f>ROUND($B797*S$782*S796,2)</f>
        <v>0</v>
      </c>
      <c r="T797" s="17">
        <f>ROUND($B797*T$782,2)</f>
        <v>0</v>
      </c>
      <c r="U797" s="17">
        <f>ROUND($B797*U$782,2)</f>
        <v>0</v>
      </c>
      <c r="V797" s="17">
        <f>ROUND($B797*V$772,2)</f>
        <v>0</v>
      </c>
      <c r="W797" s="17">
        <f>ROUND($B797*W$782,2)</f>
        <v>0</v>
      </c>
      <c r="X797" s="17">
        <f>ROUND($B797*X$782,2)</f>
        <v>-0.01</v>
      </c>
      <c r="Y797" s="17">
        <f>ROUND($B797*Y$782,2)</f>
        <v>0</v>
      </c>
      <c r="Z797" s="17">
        <f>ROUND($B797*Z$782,2)</f>
        <v>0</v>
      </c>
      <c r="AA797" s="17">
        <f>ROUND($B797*AA$782,2)</f>
        <v>0</v>
      </c>
      <c r="AB797" s="19">
        <f>SUM(U792:AA792)</f>
        <v>0</v>
      </c>
      <c r="AC797" s="67" t="str">
        <f>+F797</f>
        <v>PH7</v>
      </c>
    </row>
    <row r="798" spans="1:29" x14ac:dyDescent="0.2">
      <c r="A798" s="9"/>
      <c r="B798" s="103">
        <v>-1</v>
      </c>
      <c r="D798" s="8"/>
      <c r="E798" s="9"/>
      <c r="F798" s="36"/>
      <c r="H798" s="12"/>
      <c r="I798" s="19"/>
      <c r="J798" s="12"/>
      <c r="K798" s="43">
        <f>ROUND(C799*K$783,0)</f>
        <v>25000</v>
      </c>
      <c r="L798" s="35">
        <f>+B799-K798</f>
        <v>-25001</v>
      </c>
      <c r="M798" s="12"/>
      <c r="N798" s="12"/>
      <c r="O798" s="12"/>
      <c r="P798" s="17" t="e">
        <f>SUM(J799:M799,R799:AA799)</f>
        <v>#N/A</v>
      </c>
      <c r="Q798" s="17">
        <f t="shared" si="43"/>
        <v>0</v>
      </c>
      <c r="R798" s="38" t="e">
        <f>VLOOKUP((D799),'Pwr Factor'!$A$1:$B$52,2)</f>
        <v>#N/A</v>
      </c>
      <c r="S798" s="50">
        <v>0.5</v>
      </c>
      <c r="T798" s="12"/>
      <c r="U798" s="12"/>
      <c r="V798" s="12"/>
      <c r="W798" s="12"/>
      <c r="X798" s="12"/>
      <c r="Y798" s="12"/>
      <c r="Z798" s="12"/>
      <c r="AA798" s="12"/>
    </row>
    <row r="799" spans="1:29" x14ac:dyDescent="0.2">
      <c r="A799" s="1" t="s">
        <v>139</v>
      </c>
      <c r="B799" s="103">
        <f>IF(AND('AES Indiana Bill Calc.'!$D$17="PH",'AES Indiana Bill Calc.'!$D$18="Yes 50%",'AES Indiana Bill Calc.'!$D$20="Yes Before 2018"),'AES Indiana Bill Calc.'!$D$19,-1)</f>
        <v>-1</v>
      </c>
      <c r="C799" s="103">
        <f>MAX(E799,$C$783)</f>
        <v>100</v>
      </c>
      <c r="D799" s="103" t="b">
        <f>IF(AND('AES Indiana Bill Calc.'!$D$17="PH",'AES Indiana Bill Calc.'!$D$18="Yes 50%",'AES Indiana Bill Calc.'!$D$20="Yes Before 2018"),'AES Indiana Bill Calc.'!$D$22)</f>
        <v>0</v>
      </c>
      <c r="E799" s="103" t="b">
        <f>IF(AND('AES Indiana Bill Calc.'!$D$17="PH",'AES Indiana Bill Calc.'!$D$18="Yes 50%",'AES Indiana Bill Calc.'!$D$20="Yes Before 2018"),'AES Indiana Bill Calc.'!$D$21)</f>
        <v>0</v>
      </c>
      <c r="F799" s="36" t="s">
        <v>215</v>
      </c>
      <c r="G799" s="135" t="e">
        <f>MAX(I799,P798)</f>
        <v>#N/A</v>
      </c>
      <c r="H799" s="19" t="e">
        <f>IF(ISBLANK(B799),0,+#REF!/B799)</f>
        <v>#REF!</v>
      </c>
      <c r="I799" s="115">
        <f>(E799*120*$K$782)+$J$782</f>
        <v>1250</v>
      </c>
      <c r="J799" s="51">
        <f>IF(ISBLANK(B799),0,+J$782)</f>
        <v>1250</v>
      </c>
      <c r="K799" s="16">
        <f>IF($B799&gt;K798,ROUND(K798*K$782,2),ROUND($B799*K$782,2))</f>
        <v>-0.1</v>
      </c>
      <c r="L799" s="17">
        <f>IF($B799&gt;K798,ROUND((B799-K798)*L$782,2),0)</f>
        <v>0</v>
      </c>
      <c r="M799" s="17">
        <f>IF($C799&gt;L$658,ROUND(($C799-L$658)*M$657,2),0)</f>
        <v>0</v>
      </c>
      <c r="N799" s="17">
        <f>SUM(K799:L799)</f>
        <v>-0.1</v>
      </c>
      <c r="O799" s="17"/>
      <c r="P799" s="12"/>
      <c r="Q799" s="17">
        <f t="shared" si="43"/>
        <v>0</v>
      </c>
      <c r="R799" s="16" t="e">
        <f>ROUND(SUM(K799:M799)*(R798-1),2)</f>
        <v>#N/A</v>
      </c>
      <c r="S799" s="17">
        <f>ROUND($B799*S$782*S798,2)</f>
        <v>0</v>
      </c>
      <c r="T799" s="17">
        <f>ROUND($B799*T$782,2)</f>
        <v>0</v>
      </c>
      <c r="U799" s="17">
        <f>ROUND($B799*U$782,2)</f>
        <v>0</v>
      </c>
      <c r="V799" s="17">
        <f>ROUND($B799*V$772,2)</f>
        <v>0</v>
      </c>
      <c r="W799" s="17">
        <f>ROUND($B799*W$782,2)</f>
        <v>0</v>
      </c>
      <c r="X799" s="17">
        <f>ROUND($B799*X$782,2)</f>
        <v>-0.01</v>
      </c>
      <c r="Y799" s="17">
        <f>ROUND($B799*Y$782,2)</f>
        <v>0</v>
      </c>
      <c r="Z799" s="17">
        <f>ROUND($B799*Z$782,2)</f>
        <v>0</v>
      </c>
      <c r="AA799" s="17">
        <f>ROUND($B799*AA$782,2)</f>
        <v>0</v>
      </c>
      <c r="AB799" s="19">
        <f>SUM(U794:AA794)</f>
        <v>0</v>
      </c>
      <c r="AC799" s="67" t="str">
        <f>+F799</f>
        <v>PH7</v>
      </c>
    </row>
    <row r="800" spans="1:29" x14ac:dyDescent="0.2">
      <c r="A800" s="9"/>
      <c r="B800" s="103">
        <v>-1</v>
      </c>
      <c r="D800" s="8"/>
      <c r="E800" s="9"/>
      <c r="F800" s="36"/>
      <c r="H800" s="12"/>
      <c r="I800" s="19"/>
      <c r="J800" s="12"/>
      <c r="K800" s="43">
        <f>ROUND(C801*K$783,0)</f>
        <v>25000</v>
      </c>
      <c r="L800" s="35">
        <f>+B801-K800</f>
        <v>-25001</v>
      </c>
      <c r="M800" s="12"/>
      <c r="N800" s="12"/>
      <c r="O800" s="12"/>
      <c r="P800" s="17" t="e">
        <f>SUM(J801:M801,R801:AA801)</f>
        <v>#N/A</v>
      </c>
      <c r="Q800" s="17">
        <f t="shared" si="43"/>
        <v>0</v>
      </c>
      <c r="R800" s="38" t="e">
        <f>VLOOKUP((D801),'Pwr Factor'!$A$1:$B$52,2)</f>
        <v>#N/A</v>
      </c>
      <c r="S800" s="50">
        <v>0.25</v>
      </c>
      <c r="T800" s="12"/>
      <c r="U800" s="12"/>
      <c r="V800" s="12"/>
      <c r="W800" s="12"/>
      <c r="X800" s="12"/>
      <c r="Y800" s="12"/>
      <c r="Z800" s="12"/>
      <c r="AA800" s="12"/>
    </row>
    <row r="801" spans="1:29" x14ac:dyDescent="0.2">
      <c r="A801" s="1" t="s">
        <v>140</v>
      </c>
      <c r="B801" s="103">
        <f>IF(AND('AES Indiana Bill Calc.'!$D$17="PH",'AES Indiana Bill Calc.'!$D$18="Yes 25%",'AES Indiana Bill Calc.'!$D$20="Yes Before 2018"),'AES Indiana Bill Calc.'!$D$19,-1)</f>
        <v>-1</v>
      </c>
      <c r="C801" s="103">
        <f>MAX(E801,$C$783)</f>
        <v>100</v>
      </c>
      <c r="D801" s="103" t="b">
        <f>IF(AND('AES Indiana Bill Calc.'!$D$17="PH",'AES Indiana Bill Calc.'!$D$18="Yes 25%",'AES Indiana Bill Calc.'!$D$20="Yes Before 2018"),'AES Indiana Bill Calc.'!$D$22)</f>
        <v>0</v>
      </c>
      <c r="E801" s="103" t="b">
        <f>IF(AND('AES Indiana Bill Calc.'!$D$17="PH",'AES Indiana Bill Calc.'!$D$18="Yes 25%",'AES Indiana Bill Calc.'!$D$20="Yes Before 2018"),'AES Indiana Bill Calc.'!$D$21)</f>
        <v>0</v>
      </c>
      <c r="F801" s="36" t="s">
        <v>215</v>
      </c>
      <c r="G801" s="135" t="e">
        <f>MAX(I801,P800)</f>
        <v>#N/A</v>
      </c>
      <c r="H801" s="19" t="e">
        <f>IF(ISBLANK(B801),0,+#REF!/B801)</f>
        <v>#REF!</v>
      </c>
      <c r="I801" s="115">
        <f>(E801*120*$K$782)+$J$782</f>
        <v>1250</v>
      </c>
      <c r="J801" s="51">
        <f>IF(ISBLANK(B801),0,+J$782)</f>
        <v>1250</v>
      </c>
      <c r="K801" s="16">
        <f>IF($B801&gt;K800,ROUND(K800*K$782,2),ROUND($B801*K$782,2))</f>
        <v>-0.1</v>
      </c>
      <c r="L801" s="17">
        <f>IF($B801&gt;K800,ROUND((B801-K800)*L$782,2),0)</f>
        <v>0</v>
      </c>
      <c r="M801" s="17">
        <f>IF($C801&gt;L$658,ROUND(($C801-L$658)*M$657,2),0)</f>
        <v>0</v>
      </c>
      <c r="N801" s="17">
        <f>SUM(K801:L801)</f>
        <v>-0.1</v>
      </c>
      <c r="O801" s="17"/>
      <c r="P801" s="12"/>
      <c r="Q801" s="17">
        <f t="shared" si="43"/>
        <v>0</v>
      </c>
      <c r="R801" s="16" t="e">
        <f>ROUND(SUM(K801:M801)*(R800-1),2)</f>
        <v>#N/A</v>
      </c>
      <c r="S801" s="17">
        <f>ROUND($B801*S$782*S800,2)</f>
        <v>0</v>
      </c>
      <c r="T801" s="17">
        <f>ROUND($B801*T$782,2)</f>
        <v>0</v>
      </c>
      <c r="U801" s="17">
        <f>ROUND($B801*U$782,2)</f>
        <v>0</v>
      </c>
      <c r="V801" s="17">
        <f>ROUND($B801*V$772,2)</f>
        <v>0</v>
      </c>
      <c r="W801" s="17">
        <f>ROUND($B801*W$782,2)</f>
        <v>0</v>
      </c>
      <c r="X801" s="17">
        <f>ROUND($B801*X$782,2)</f>
        <v>-0.01</v>
      </c>
      <c r="Y801" s="17">
        <f>ROUND($B801*Y$782,2)</f>
        <v>0</v>
      </c>
      <c r="Z801" s="17">
        <f>ROUND($B801*Z$782,2)</f>
        <v>0</v>
      </c>
      <c r="AA801" s="17">
        <f>ROUND($B801*AA$782,2)</f>
        <v>0</v>
      </c>
      <c r="AB801" s="19">
        <f>SUM(U796:AA796)</f>
        <v>0</v>
      </c>
      <c r="AC801" s="67" t="str">
        <f>+F801</f>
        <v>PH7</v>
      </c>
    </row>
    <row r="802" spans="1:29" x14ac:dyDescent="0.2">
      <c r="A802" s="9"/>
      <c r="B802" s="103">
        <v>-1</v>
      </c>
      <c r="D802" s="8"/>
      <c r="E802" s="9"/>
      <c r="F802" s="36"/>
      <c r="H802" s="12"/>
      <c r="I802" s="19"/>
      <c r="J802" s="12"/>
      <c r="K802" s="43">
        <f>ROUND(C803*K$783,0)</f>
        <v>25000</v>
      </c>
      <c r="L802" s="35">
        <f>+B803-K802</f>
        <v>-25001</v>
      </c>
      <c r="M802" s="12"/>
      <c r="N802" s="12"/>
      <c r="O802" s="12"/>
      <c r="P802" s="17" t="e">
        <f>SUM(J803:M803,R803:AA803)</f>
        <v>#N/A</v>
      </c>
      <c r="Q802" s="17">
        <f t="shared" si="43"/>
        <v>0</v>
      </c>
      <c r="R802" s="38" t="e">
        <f>VLOOKUP((D803),'Pwr Factor'!$A$1:$B$52,2)</f>
        <v>#N/A</v>
      </c>
      <c r="S802" s="50">
        <v>0.1</v>
      </c>
      <c r="T802" s="12"/>
      <c r="U802" s="12"/>
      <c r="V802" s="12"/>
      <c r="W802" s="12"/>
      <c r="X802" s="12"/>
      <c r="Y802" s="12"/>
      <c r="Z802" s="12"/>
      <c r="AA802" s="12"/>
    </row>
    <row r="803" spans="1:29" x14ac:dyDescent="0.2">
      <c r="A803" s="1" t="s">
        <v>154</v>
      </c>
      <c r="B803" s="103">
        <f>IF(AND('AES Indiana Bill Calc.'!$D$17="PH",'AES Indiana Bill Calc.'!$D$18="Yes 10%",'AES Indiana Bill Calc.'!$D$20="Yes Before 2018"),'AES Indiana Bill Calc.'!$D$19,-1)</f>
        <v>-1</v>
      </c>
      <c r="C803" s="103">
        <f>MAX(E803,$C$783)</f>
        <v>100</v>
      </c>
      <c r="D803" s="103" t="b">
        <f>IF(AND('AES Indiana Bill Calc.'!$D$17="PH",'AES Indiana Bill Calc.'!$D$18="Yes 10%",'AES Indiana Bill Calc.'!$D$20="Yes Before 2018"),'AES Indiana Bill Calc.'!$D$22)</f>
        <v>0</v>
      </c>
      <c r="E803" s="103" t="b">
        <f>IF(AND('AES Indiana Bill Calc.'!$D$17="PH",'AES Indiana Bill Calc.'!$D$18="Yes 10%",'AES Indiana Bill Calc.'!$D$20="Yes Before 2018"),'AES Indiana Bill Calc.'!$D$21)</f>
        <v>0</v>
      </c>
      <c r="F803" s="36" t="s">
        <v>215</v>
      </c>
      <c r="G803" s="135" t="e">
        <f>MAX(I803,P802)</f>
        <v>#N/A</v>
      </c>
      <c r="H803" s="19" t="e">
        <f>IF(ISBLANK(B803),0,+#REF!/B803)</f>
        <v>#REF!</v>
      </c>
      <c r="I803" s="115">
        <f>(E803*120*$K$782)+$J$782</f>
        <v>1250</v>
      </c>
      <c r="J803" s="51">
        <f>IF(ISBLANK(B803),0,+J$782)</f>
        <v>1250</v>
      </c>
      <c r="K803" s="16">
        <f>IF($B803&gt;K802,ROUND(K802*K$782,2),ROUND($B803*K$782,2))</f>
        <v>-0.1</v>
      </c>
      <c r="L803" s="17">
        <f>IF($B803&gt;K802,ROUND((B803-K802)*L$782,2),0)</f>
        <v>0</v>
      </c>
      <c r="M803" s="17">
        <f>IF($C803&gt;L$658,ROUND(($C803-L$658)*M$657,2),0)</f>
        <v>0</v>
      </c>
      <c r="N803" s="17">
        <f>SUM(K803:L803)</f>
        <v>-0.1</v>
      </c>
      <c r="O803" s="17"/>
      <c r="P803" s="12"/>
      <c r="Q803" s="17">
        <f t="shared" si="43"/>
        <v>0</v>
      </c>
      <c r="R803" s="16" t="e">
        <f>ROUND(SUM(K803:M803)*(R802-1),2)</f>
        <v>#N/A</v>
      </c>
      <c r="S803" s="17">
        <f>ROUND($B803*S$782*S802,2)</f>
        <v>0</v>
      </c>
      <c r="T803" s="17">
        <f>ROUND($B803*T$782,2)</f>
        <v>0</v>
      </c>
      <c r="U803" s="17">
        <f>ROUND($B803*U$782,2)</f>
        <v>0</v>
      </c>
      <c r="V803" s="17">
        <f>ROUND($B803*V$772,2)</f>
        <v>0</v>
      </c>
      <c r="W803" s="17">
        <f>ROUND($B803*W$782,2)</f>
        <v>0</v>
      </c>
      <c r="X803" s="17">
        <f>ROUND($B803*X$782,2)</f>
        <v>-0.01</v>
      </c>
      <c r="Y803" s="17">
        <f>ROUND($B803*Y$782,2)</f>
        <v>0</v>
      </c>
      <c r="Z803" s="17">
        <f>ROUND($B803*Z$782,2)</f>
        <v>0</v>
      </c>
      <c r="AA803" s="17">
        <f>ROUND($B803*AA$782,2)</f>
        <v>0</v>
      </c>
      <c r="AB803" s="19">
        <f>SUM(U798:AA798)</f>
        <v>0</v>
      </c>
      <c r="AC803" s="67" t="str">
        <f>+F803</f>
        <v>PH7</v>
      </c>
    </row>
    <row r="804" spans="1:29" x14ac:dyDescent="0.2">
      <c r="A804" s="9"/>
      <c r="B804" s="103">
        <v>-1</v>
      </c>
      <c r="D804" s="8"/>
      <c r="E804" s="9"/>
      <c r="F804" s="36"/>
      <c r="H804" s="12"/>
      <c r="I804" s="19"/>
      <c r="J804" s="12"/>
      <c r="K804" s="43">
        <f>ROUND(C805*K$783,0)</f>
        <v>25000</v>
      </c>
      <c r="L804" s="35">
        <f>+B805-K804</f>
        <v>-25001</v>
      </c>
      <c r="M804" s="12"/>
      <c r="N804" s="12"/>
      <c r="O804" s="12"/>
      <c r="P804" s="17" t="e">
        <f>SUM(J805:M805,R805:AA805)</f>
        <v>#N/A</v>
      </c>
      <c r="Q804" s="17">
        <f t="shared" si="43"/>
        <v>0</v>
      </c>
      <c r="R804" s="38" t="e">
        <f>VLOOKUP((D805),'Pwr Factor'!$A$1:$B$52,2)</f>
        <v>#N/A</v>
      </c>
      <c r="S804" s="50">
        <v>0</v>
      </c>
      <c r="T804" s="12"/>
      <c r="U804" s="12"/>
      <c r="V804" s="12"/>
      <c r="W804" s="12"/>
      <c r="X804" s="12"/>
      <c r="Y804" s="12"/>
      <c r="Z804" s="12"/>
      <c r="AA804" s="12"/>
    </row>
    <row r="805" spans="1:29" x14ac:dyDescent="0.2">
      <c r="A805" s="1" t="s">
        <v>137</v>
      </c>
      <c r="B805" s="103">
        <f>IF(AND('AES Indiana Bill Calc.'!$D$17="PH",'AES Indiana Bill Calc.'!$D$18="No",'AES Indiana Bill Calc.'!$D$20="Yes Before 2018"),'AES Indiana Bill Calc.'!$D$19,-1)</f>
        <v>-1</v>
      </c>
      <c r="C805" s="103">
        <f>MAX(E805,$C$783)</f>
        <v>100</v>
      </c>
      <c r="D805" s="103" t="b">
        <f>IF(AND('AES Indiana Bill Calc.'!$D$17="PH",'AES Indiana Bill Calc.'!$D$18="No",'AES Indiana Bill Calc.'!$D$20="Yes Before 2018"),'AES Indiana Bill Calc.'!$D$22)</f>
        <v>0</v>
      </c>
      <c r="E805" s="103" t="b">
        <f>IF(AND('AES Indiana Bill Calc.'!$D$17="PH",'AES Indiana Bill Calc.'!$D$18="No",'AES Indiana Bill Calc.'!$D$20="Yes Before 2018"),'AES Indiana Bill Calc.'!$D$21)</f>
        <v>0</v>
      </c>
      <c r="F805" s="36" t="s">
        <v>215</v>
      </c>
      <c r="G805" s="135" t="e">
        <f>MAX(I805,P804)</f>
        <v>#N/A</v>
      </c>
      <c r="H805" s="19" t="e">
        <f>IF(ISBLANK(B805),0,+#REF!/B805)</f>
        <v>#REF!</v>
      </c>
      <c r="I805" s="115">
        <f>(E805*120*$K$782)+$J$782</f>
        <v>1250</v>
      </c>
      <c r="J805" s="51">
        <f>IF(ISBLANK(B805),0,+J$782)</f>
        <v>1250</v>
      </c>
      <c r="K805" s="16">
        <f>IF($B805&gt;K804,ROUND(K804*K$782,2),ROUND($B805*K$782,2))</f>
        <v>-0.1</v>
      </c>
      <c r="L805" s="17">
        <f>IF($B805&gt;K804,ROUND((B805-K804)*L$782,2),0)</f>
        <v>0</v>
      </c>
      <c r="M805" s="17">
        <f>IF($C805&gt;L$658,ROUND(($C805-L$658)*M$657,2),0)</f>
        <v>0</v>
      </c>
      <c r="N805" s="17">
        <f>SUM(K805:L805)</f>
        <v>-0.1</v>
      </c>
      <c r="O805" s="17"/>
      <c r="P805" s="12"/>
      <c r="Q805" s="17">
        <f t="shared" si="43"/>
        <v>0</v>
      </c>
      <c r="R805" s="16" t="e">
        <f>ROUND(SUM(K805:M805)*(R804-1),2)</f>
        <v>#N/A</v>
      </c>
      <c r="S805" s="17">
        <f>ROUND($B805*S$782*S804,2)</f>
        <v>0</v>
      </c>
      <c r="T805" s="17">
        <f>ROUND($B805*T$782,2)</f>
        <v>0</v>
      </c>
      <c r="U805" s="17">
        <f>ROUND($B805*U$782,2)</f>
        <v>0</v>
      </c>
      <c r="V805" s="17">
        <f>ROUND($B805*V$772,2)</f>
        <v>0</v>
      </c>
      <c r="W805" s="17">
        <f>ROUND($B805*W$782,2)</f>
        <v>0</v>
      </c>
      <c r="X805" s="17">
        <f>ROUND($B805*X$782,2)</f>
        <v>-0.01</v>
      </c>
      <c r="Y805" s="17">
        <f>ROUND($B805*Y$782,2)</f>
        <v>0</v>
      </c>
      <c r="Z805" s="17">
        <f>ROUND($B805*Z$782,2)</f>
        <v>0</v>
      </c>
      <c r="AA805" s="17">
        <f>ROUND($B805*AA$782,2)</f>
        <v>0</v>
      </c>
      <c r="AB805" s="19">
        <f>SUM(U800:AA800)</f>
        <v>0</v>
      </c>
      <c r="AC805" s="67" t="str">
        <f>+F805</f>
        <v>PH7</v>
      </c>
    </row>
    <row r="806" spans="1:29" x14ac:dyDescent="0.2">
      <c r="A806" s="9"/>
      <c r="B806" s="103">
        <v>-1</v>
      </c>
      <c r="D806" s="8"/>
      <c r="E806" s="9"/>
      <c r="F806" s="36"/>
      <c r="H806" s="12"/>
      <c r="I806" s="19"/>
      <c r="J806" s="12"/>
      <c r="K806" s="43">
        <f>ROUND(C807*K$783,0)</f>
        <v>25000</v>
      </c>
      <c r="L806" s="35">
        <f>+B807-K806</f>
        <v>-25001</v>
      </c>
      <c r="M806" s="12"/>
      <c r="N806" s="12"/>
      <c r="O806" s="12"/>
      <c r="P806" s="17" t="e">
        <f>SUM(J807:M807,R807:AA807)</f>
        <v>#N/A</v>
      </c>
      <c r="Q806" s="17">
        <f t="shared" si="43"/>
        <v>0</v>
      </c>
      <c r="R806" s="38" t="e">
        <f>VLOOKUP((D807),'Pwr Factor'!$A$1:$B$52,2)</f>
        <v>#N/A</v>
      </c>
      <c r="S806" s="50">
        <v>1</v>
      </c>
      <c r="T806" s="12"/>
      <c r="U806" s="12"/>
      <c r="V806" s="12"/>
      <c r="W806" s="12"/>
      <c r="X806" s="12"/>
      <c r="Y806" s="12"/>
      <c r="Z806" s="12"/>
      <c r="AA806" s="12"/>
    </row>
    <row r="807" spans="1:29" x14ac:dyDescent="0.2">
      <c r="A807" s="1" t="s">
        <v>138</v>
      </c>
      <c r="B807" s="103">
        <f>IF(AND('AES Indiana Bill Calc.'!$D$17="PH",'AES Indiana Bill Calc.'!$D$18="Yes 100%",'AES Indiana Bill Calc.'!$D$20="Yes 2018"),'AES Indiana Bill Calc.'!$D$19,-1)</f>
        <v>-1</v>
      </c>
      <c r="C807" s="103">
        <f>MAX(E807,$C$783)</f>
        <v>100</v>
      </c>
      <c r="D807" s="103" t="b">
        <f>IF(AND('AES Indiana Bill Calc.'!$D$17="PH",'AES Indiana Bill Calc.'!$D$18="Yes 100%",'AES Indiana Bill Calc.'!$D$20="Yes 2018"),'AES Indiana Bill Calc.'!$D$22)</f>
        <v>0</v>
      </c>
      <c r="E807" s="103" t="b">
        <f>IF(AND('AES Indiana Bill Calc.'!$D$17="PH",'AES Indiana Bill Calc.'!$D$18="Yes 100%",'AES Indiana Bill Calc.'!$D$20="Yes 2018"),'AES Indiana Bill Calc.'!$D$21)</f>
        <v>0</v>
      </c>
      <c r="F807" s="36" t="s">
        <v>216</v>
      </c>
      <c r="G807" s="135" t="e">
        <f>MAX(I807,P806)</f>
        <v>#N/A</v>
      </c>
      <c r="H807" s="19" t="e">
        <f>IF(ISBLANK(B807),0,+#REF!/B807)</f>
        <v>#REF!</v>
      </c>
      <c r="I807" s="115">
        <f>(E807*120*$K$782)+$J$782</f>
        <v>1250</v>
      </c>
      <c r="J807" s="51">
        <f>IF(ISBLANK(B807),0,+J$782)</f>
        <v>1250</v>
      </c>
      <c r="K807" s="16">
        <f>IF($B807&gt;K806,ROUND(K806*K$782,2),ROUND($B807*K$782,2))</f>
        <v>-0.1</v>
      </c>
      <c r="L807" s="17">
        <f>IF($B807&gt;K806,ROUND((B807-K806)*L$782,2),0)</f>
        <v>0</v>
      </c>
      <c r="M807" s="17">
        <f>IF($C807&gt;L$658,ROUND(($C807-L$658)*M$657,2),0)</f>
        <v>0</v>
      </c>
      <c r="N807" s="17">
        <f>SUM(K807:L807)</f>
        <v>-0.1</v>
      </c>
      <c r="O807" s="17"/>
      <c r="P807" s="12"/>
      <c r="Q807" s="17">
        <f t="shared" si="43"/>
        <v>0</v>
      </c>
      <c r="R807" s="16" t="e">
        <f>ROUND(SUM(K807:M807)*(R806-1),2)</f>
        <v>#N/A</v>
      </c>
      <c r="S807" s="17">
        <f>ROUND($B807*S$782*S806,2)</f>
        <v>0</v>
      </c>
      <c r="T807" s="17">
        <f>ROUND($B807*T$782,2)</f>
        <v>0</v>
      </c>
      <c r="U807" s="17">
        <f>ROUND($B807*U$782,2)</f>
        <v>0</v>
      </c>
      <c r="V807" s="17">
        <f>ROUND($B807*V$773,2)</f>
        <v>0</v>
      </c>
      <c r="W807" s="17">
        <f>ROUND($B807*W$782,2)</f>
        <v>0</v>
      </c>
      <c r="X807" s="17">
        <f>ROUND($B807*X$782,2)</f>
        <v>-0.01</v>
      </c>
      <c r="Y807" s="17">
        <f>ROUND($B807*Y$782,2)</f>
        <v>0</v>
      </c>
      <c r="Z807" s="17">
        <f>ROUND($B807*Z$782,2)</f>
        <v>0</v>
      </c>
      <c r="AA807" s="17">
        <f>ROUND($B807*AA$782,2)</f>
        <v>0</v>
      </c>
      <c r="AB807" s="19">
        <f>SUM(U802:AA802)</f>
        <v>0</v>
      </c>
      <c r="AC807" s="67" t="str">
        <f>+F807</f>
        <v>PH8</v>
      </c>
    </row>
    <row r="808" spans="1:29" x14ac:dyDescent="0.2">
      <c r="A808" s="9"/>
      <c r="B808" s="103">
        <v>-1</v>
      </c>
      <c r="D808" s="8"/>
      <c r="E808" s="9"/>
      <c r="F808" s="36"/>
      <c r="H808" s="12"/>
      <c r="I808" s="19"/>
      <c r="J808" s="12"/>
      <c r="K808" s="43">
        <f>ROUND(C809*K$783,0)</f>
        <v>25000</v>
      </c>
      <c r="L808" s="35">
        <f>+B809-K808</f>
        <v>-25001</v>
      </c>
      <c r="M808" s="12"/>
      <c r="N808" s="12"/>
      <c r="O808" s="12"/>
      <c r="P808" s="17" t="e">
        <f>SUM(J809:M809,R809:AA809)</f>
        <v>#N/A</v>
      </c>
      <c r="Q808" s="17">
        <f t="shared" si="43"/>
        <v>0</v>
      </c>
      <c r="R808" s="38" t="e">
        <f>VLOOKUP((D809),'Pwr Factor'!$A$1:$B$52,2)</f>
        <v>#N/A</v>
      </c>
      <c r="S808" s="50">
        <v>0.5</v>
      </c>
      <c r="T808" s="12"/>
      <c r="U808" s="12"/>
      <c r="V808" s="12"/>
      <c r="W808" s="12"/>
      <c r="X808" s="12"/>
      <c r="Y808" s="12"/>
      <c r="Z808" s="12"/>
      <c r="AA808" s="12"/>
    </row>
    <row r="809" spans="1:29" x14ac:dyDescent="0.2">
      <c r="A809" s="1" t="s">
        <v>139</v>
      </c>
      <c r="B809" s="103">
        <f>IF(AND('AES Indiana Bill Calc.'!$D$17="PH",'AES Indiana Bill Calc.'!$D$18="Yes 50%",'AES Indiana Bill Calc.'!$D$20="Yes 2018"),'AES Indiana Bill Calc.'!$D$19,-1)</f>
        <v>-1</v>
      </c>
      <c r="C809" s="103">
        <f>MAX(E809,$C$783)</f>
        <v>100</v>
      </c>
      <c r="D809" s="103" t="b">
        <f>IF(AND('AES Indiana Bill Calc.'!$D$17="PH",'AES Indiana Bill Calc.'!$D$18="Yes 50%",'AES Indiana Bill Calc.'!$D$20="Yes 2018"),'AES Indiana Bill Calc.'!$D$22)</f>
        <v>0</v>
      </c>
      <c r="E809" s="103" t="b">
        <f>IF(AND('AES Indiana Bill Calc.'!$D$17="PH",'AES Indiana Bill Calc.'!$D$18="Yes 50%",'AES Indiana Bill Calc.'!$D$20="Yes 2018"),'AES Indiana Bill Calc.'!$D$21)</f>
        <v>0</v>
      </c>
      <c r="F809" s="36" t="s">
        <v>216</v>
      </c>
      <c r="G809" s="135" t="e">
        <f>MAX(I809,P808)</f>
        <v>#N/A</v>
      </c>
      <c r="H809" s="19" t="e">
        <f>IF(ISBLANK(B809),0,+#REF!/B809)</f>
        <v>#REF!</v>
      </c>
      <c r="I809" s="115">
        <f>(E809*120*$K$782)+$J$782</f>
        <v>1250</v>
      </c>
      <c r="J809" s="51">
        <f>IF(ISBLANK(B809),0,+J$782)</f>
        <v>1250</v>
      </c>
      <c r="K809" s="16">
        <f>IF($B809&gt;K808,ROUND(K808*K$782,2),ROUND($B809*K$782,2))</f>
        <v>-0.1</v>
      </c>
      <c r="L809" s="17">
        <f>IF($B809&gt;K808,ROUND((B809-K808)*L$782,2),0)</f>
        <v>0</v>
      </c>
      <c r="M809" s="17">
        <f>IF($C809&gt;L$658,ROUND(($C809-L$658)*M$657,2),0)</f>
        <v>0</v>
      </c>
      <c r="N809" s="17">
        <f>SUM(K809:L809)</f>
        <v>-0.1</v>
      </c>
      <c r="O809" s="17"/>
      <c r="P809" s="12"/>
      <c r="Q809" s="17">
        <f t="shared" si="43"/>
        <v>0</v>
      </c>
      <c r="R809" s="16" t="e">
        <f>ROUND(SUM(K809:M809)*(R808-1),2)</f>
        <v>#N/A</v>
      </c>
      <c r="S809" s="17">
        <f>ROUND($B809*S$782*S808,2)</f>
        <v>0</v>
      </c>
      <c r="T809" s="17">
        <f>ROUND($B809*T$782,2)</f>
        <v>0</v>
      </c>
      <c r="U809" s="17">
        <f>ROUND($B809*U$782,2)</f>
        <v>0</v>
      </c>
      <c r="V809" s="17">
        <f>ROUND($B809*V$773,2)</f>
        <v>0</v>
      </c>
      <c r="W809" s="17">
        <f>ROUND($B809*W$782,2)</f>
        <v>0</v>
      </c>
      <c r="X809" s="17">
        <f>ROUND($B809*X$782,2)</f>
        <v>-0.01</v>
      </c>
      <c r="Y809" s="17">
        <f>ROUND($B809*Y$782,2)</f>
        <v>0</v>
      </c>
      <c r="Z809" s="17">
        <f>ROUND($B809*Z$782,2)</f>
        <v>0</v>
      </c>
      <c r="AA809" s="17">
        <f>ROUND($B809*AA$782,2)</f>
        <v>0</v>
      </c>
      <c r="AB809" s="19">
        <f>SUM(U804:AA804)</f>
        <v>0</v>
      </c>
      <c r="AC809" s="67" t="str">
        <f>+F809</f>
        <v>PH8</v>
      </c>
    </row>
    <row r="810" spans="1:29" x14ac:dyDescent="0.2">
      <c r="A810" s="9"/>
      <c r="B810" s="103">
        <v>-1</v>
      </c>
      <c r="D810" s="8"/>
      <c r="E810" s="9"/>
      <c r="F810" s="36"/>
      <c r="H810" s="12"/>
      <c r="I810" s="19"/>
      <c r="J810" s="12"/>
      <c r="K810" s="43">
        <f>ROUND(C811*K$783,0)</f>
        <v>25000</v>
      </c>
      <c r="L810" s="35">
        <f>+B811-K810</f>
        <v>-25001</v>
      </c>
      <c r="M810" s="12"/>
      <c r="N810" s="12"/>
      <c r="O810" s="12"/>
      <c r="P810" s="17" t="e">
        <f>SUM(J811:M811,R811:AA811)</f>
        <v>#N/A</v>
      </c>
      <c r="Q810" s="17">
        <f t="shared" si="43"/>
        <v>0</v>
      </c>
      <c r="R810" s="38" t="e">
        <f>VLOOKUP((D811),'Pwr Factor'!$A$1:$B$52,2)</f>
        <v>#N/A</v>
      </c>
      <c r="S810" s="50">
        <v>0.25</v>
      </c>
      <c r="T810" s="12"/>
      <c r="U810" s="12"/>
      <c r="V810" s="12"/>
      <c r="W810" s="12"/>
      <c r="X810" s="12"/>
      <c r="Y810" s="12"/>
      <c r="Z810" s="12"/>
      <c r="AA810" s="12"/>
    </row>
    <row r="811" spans="1:29" x14ac:dyDescent="0.2">
      <c r="A811" s="1" t="s">
        <v>140</v>
      </c>
      <c r="B811" s="103">
        <f>IF(AND('AES Indiana Bill Calc.'!$D$17="PH",'AES Indiana Bill Calc.'!$D$18="Yes 25%",'AES Indiana Bill Calc.'!$D$20="Yes 2018"),'AES Indiana Bill Calc.'!$D$19,-1)</f>
        <v>-1</v>
      </c>
      <c r="C811" s="103">
        <f>MAX(E811,$C$783)</f>
        <v>100</v>
      </c>
      <c r="D811" s="103" t="b">
        <f>IF(AND('AES Indiana Bill Calc.'!$D$17="PH",'AES Indiana Bill Calc.'!$D$18="Yes 25%",'AES Indiana Bill Calc.'!$D$20="Yes 2018"),'AES Indiana Bill Calc.'!$D$22)</f>
        <v>0</v>
      </c>
      <c r="E811" s="103" t="b">
        <f>IF(AND('AES Indiana Bill Calc.'!$D$17="PH",'AES Indiana Bill Calc.'!$D$18="Yes 25%",'AES Indiana Bill Calc.'!$D$20="Yes 2018"),'AES Indiana Bill Calc.'!$D$21)</f>
        <v>0</v>
      </c>
      <c r="F811" s="36" t="s">
        <v>216</v>
      </c>
      <c r="G811" s="135" t="e">
        <f>MAX(I811,P810)</f>
        <v>#N/A</v>
      </c>
      <c r="H811" s="19" t="e">
        <f>IF(ISBLANK(B811),0,+#REF!/B811)</f>
        <v>#REF!</v>
      </c>
      <c r="I811" s="115">
        <f>(E811*120*$K$782)+$J$782</f>
        <v>1250</v>
      </c>
      <c r="J811" s="51">
        <f>IF(ISBLANK(B811),0,+J$782)</f>
        <v>1250</v>
      </c>
      <c r="K811" s="16">
        <f>IF($B811&gt;K810,ROUND(K810*K$782,2),ROUND($B811*K$782,2))</f>
        <v>-0.1</v>
      </c>
      <c r="L811" s="17">
        <f>IF($B811&gt;K810,ROUND((B811-K810)*L$782,2),0)</f>
        <v>0</v>
      </c>
      <c r="M811" s="17">
        <f>IF($C811&gt;L$658,ROUND(($C811-L$658)*M$657,2),0)</f>
        <v>0</v>
      </c>
      <c r="N811" s="17">
        <f>SUM(K811:L811)</f>
        <v>-0.1</v>
      </c>
      <c r="O811" s="17"/>
      <c r="P811" s="12"/>
      <c r="Q811" s="17">
        <f t="shared" si="43"/>
        <v>0</v>
      </c>
      <c r="R811" s="16" t="e">
        <f>ROUND(SUM(K811:M811)*(R810-1),2)</f>
        <v>#N/A</v>
      </c>
      <c r="S811" s="17">
        <f>ROUND($B811*S$782*S810,2)</f>
        <v>0</v>
      </c>
      <c r="T811" s="17">
        <f>ROUND($B811*T$782,2)</f>
        <v>0</v>
      </c>
      <c r="U811" s="17">
        <f>ROUND($B811*U$782,2)</f>
        <v>0</v>
      </c>
      <c r="V811" s="17">
        <f>ROUND($B811*V$773,2)</f>
        <v>0</v>
      </c>
      <c r="W811" s="17">
        <f>ROUND($B811*W$782,2)</f>
        <v>0</v>
      </c>
      <c r="X811" s="17">
        <f>ROUND($B811*X$782,2)</f>
        <v>-0.01</v>
      </c>
      <c r="Y811" s="17">
        <f>ROUND($B811*Y$782,2)</f>
        <v>0</v>
      </c>
      <c r="Z811" s="17">
        <f>ROUND($B811*Z$782,2)</f>
        <v>0</v>
      </c>
      <c r="AA811" s="17">
        <f>ROUND($B811*AA$782,2)</f>
        <v>0</v>
      </c>
      <c r="AB811" s="19">
        <f>SUM(U806:AA806)</f>
        <v>0</v>
      </c>
      <c r="AC811" s="67" t="str">
        <f>+F811</f>
        <v>PH8</v>
      </c>
    </row>
    <row r="812" spans="1:29" x14ac:dyDescent="0.2">
      <c r="A812" s="9"/>
      <c r="B812" s="103">
        <v>-1</v>
      </c>
      <c r="D812" s="8"/>
      <c r="E812" s="9"/>
      <c r="F812" s="36"/>
      <c r="H812" s="12"/>
      <c r="I812" s="19"/>
      <c r="J812" s="12"/>
      <c r="K812" s="43">
        <f>ROUND(C813*K$783,0)</f>
        <v>25000</v>
      </c>
      <c r="L812" s="35">
        <f>+B813-K812</f>
        <v>-25001</v>
      </c>
      <c r="M812" s="12"/>
      <c r="N812" s="12"/>
      <c r="O812" s="12"/>
      <c r="P812" s="17" t="e">
        <f>SUM(J813:M813,R813:AA813)</f>
        <v>#N/A</v>
      </c>
      <c r="Q812" s="17">
        <f t="shared" si="43"/>
        <v>0</v>
      </c>
      <c r="R812" s="38" t="e">
        <f>VLOOKUP((D813),'Pwr Factor'!$A$1:$B$52,2)</f>
        <v>#N/A</v>
      </c>
      <c r="S812" s="50">
        <v>0.1</v>
      </c>
      <c r="T812" s="12"/>
      <c r="U812" s="12"/>
      <c r="V812" s="12"/>
      <c r="W812" s="12"/>
      <c r="X812" s="12"/>
      <c r="Y812" s="12"/>
      <c r="Z812" s="12"/>
      <c r="AA812" s="12"/>
    </row>
    <row r="813" spans="1:29" x14ac:dyDescent="0.2">
      <c r="A813" s="1" t="s">
        <v>154</v>
      </c>
      <c r="B813" s="103">
        <f>IF(AND('AES Indiana Bill Calc.'!$D$17="PH",'AES Indiana Bill Calc.'!$D$18="Yes 10%",'AES Indiana Bill Calc.'!$D$20="Yes 2018"),'AES Indiana Bill Calc.'!$D$19,-1)</f>
        <v>-1</v>
      </c>
      <c r="C813" s="103">
        <f>MAX(E813,$C$783)</f>
        <v>100</v>
      </c>
      <c r="D813" s="103" t="b">
        <f>IF(AND('AES Indiana Bill Calc.'!$D$17="PH",'AES Indiana Bill Calc.'!$D$18="Yes 10%",'AES Indiana Bill Calc.'!$D$20="Yes 2018"),'AES Indiana Bill Calc.'!$D$22)</f>
        <v>0</v>
      </c>
      <c r="E813" s="103" t="b">
        <f>IF(AND('AES Indiana Bill Calc.'!$D$17="PH",'AES Indiana Bill Calc.'!$D$18="Yes 10%",'AES Indiana Bill Calc.'!$D$20="Yes 2018"),'AES Indiana Bill Calc.'!$D$21)</f>
        <v>0</v>
      </c>
      <c r="F813" s="36" t="s">
        <v>216</v>
      </c>
      <c r="G813" s="135" t="e">
        <f>MAX(I813,P812)</f>
        <v>#N/A</v>
      </c>
      <c r="H813" s="19" t="e">
        <f>IF(ISBLANK(B813),0,+#REF!/B813)</f>
        <v>#REF!</v>
      </c>
      <c r="I813" s="115">
        <f>(E813*120*$K$782)+$J$782</f>
        <v>1250</v>
      </c>
      <c r="J813" s="51">
        <f>IF(ISBLANK(B813),0,+J$782)</f>
        <v>1250</v>
      </c>
      <c r="K813" s="16">
        <f>IF($B813&gt;K812,ROUND(K812*K$782,2),ROUND($B813*K$782,2))</f>
        <v>-0.1</v>
      </c>
      <c r="L813" s="17">
        <f>IF($B813&gt;K812,ROUND((B813-K812)*L$782,2),0)</f>
        <v>0</v>
      </c>
      <c r="M813" s="17">
        <f>IF($C813&gt;L$658,ROUND(($C813-L$658)*M$657,2),0)</f>
        <v>0</v>
      </c>
      <c r="N813" s="17">
        <f>SUM(K813:L813)</f>
        <v>-0.1</v>
      </c>
      <c r="O813" s="17"/>
      <c r="P813" s="12"/>
      <c r="Q813" s="17">
        <f t="shared" si="43"/>
        <v>0</v>
      </c>
      <c r="R813" s="16" t="e">
        <f>ROUND(SUM(K813:M813)*(R812-1),2)</f>
        <v>#N/A</v>
      </c>
      <c r="S813" s="17">
        <f>ROUND($B813*S$782*S812,2)</f>
        <v>0</v>
      </c>
      <c r="T813" s="17">
        <f>ROUND($B813*T$782,2)</f>
        <v>0</v>
      </c>
      <c r="U813" s="17">
        <f>ROUND($B813*U$782,2)</f>
        <v>0</v>
      </c>
      <c r="V813" s="17">
        <f>ROUND($B813*V$773,2)</f>
        <v>0</v>
      </c>
      <c r="W813" s="17">
        <f>ROUND($B813*W$782,2)</f>
        <v>0</v>
      </c>
      <c r="X813" s="17">
        <f>ROUND($B813*X$782,2)</f>
        <v>-0.01</v>
      </c>
      <c r="Y813" s="17">
        <f>ROUND($B813*Y$782,2)</f>
        <v>0</v>
      </c>
      <c r="Z813" s="17">
        <f>ROUND($B813*Z$782,2)</f>
        <v>0</v>
      </c>
      <c r="AA813" s="17">
        <f>ROUND($B813*AA$782,2)</f>
        <v>0</v>
      </c>
      <c r="AB813" s="19">
        <f>SUM(U808:AA808)</f>
        <v>0</v>
      </c>
      <c r="AC813" s="67" t="str">
        <f>+F813</f>
        <v>PH8</v>
      </c>
    </row>
    <row r="814" spans="1:29" x14ac:dyDescent="0.2">
      <c r="A814" s="9"/>
      <c r="B814" s="103">
        <v>-1</v>
      </c>
      <c r="D814" s="8"/>
      <c r="E814" s="9"/>
      <c r="F814" s="36"/>
      <c r="H814" s="12"/>
      <c r="I814" s="19"/>
      <c r="J814" s="12"/>
      <c r="K814" s="43">
        <f>ROUND(C815*K$783,0)</f>
        <v>25000</v>
      </c>
      <c r="L814" s="35">
        <f>+B815-K814</f>
        <v>-25001</v>
      </c>
      <c r="M814" s="12"/>
      <c r="N814" s="12"/>
      <c r="O814" s="12"/>
      <c r="P814" s="17" t="e">
        <f>SUM(J815:M815,R815:AA815)</f>
        <v>#N/A</v>
      </c>
      <c r="Q814" s="17">
        <f t="shared" si="43"/>
        <v>0</v>
      </c>
      <c r="R814" s="38" t="e">
        <f>VLOOKUP((D815),'Pwr Factor'!$A$1:$B$52,2)</f>
        <v>#N/A</v>
      </c>
      <c r="S814" s="50">
        <v>0</v>
      </c>
      <c r="T814" s="12"/>
      <c r="U814" s="12"/>
      <c r="V814" s="12"/>
      <c r="W814" s="12"/>
      <c r="X814" s="12"/>
      <c r="Y814" s="12"/>
      <c r="Z814" s="12"/>
      <c r="AA814" s="12"/>
    </row>
    <row r="815" spans="1:29" x14ac:dyDescent="0.2">
      <c r="A815" s="1" t="s">
        <v>137</v>
      </c>
      <c r="B815" s="103">
        <f>IF(AND('AES Indiana Bill Calc.'!$D$17="PH",'AES Indiana Bill Calc.'!$D$18="No",'AES Indiana Bill Calc.'!$D$20="Yes 2018"),'AES Indiana Bill Calc.'!$D$19,-1)</f>
        <v>-1</v>
      </c>
      <c r="C815" s="103">
        <f>MAX(E815,$C$783)</f>
        <v>100</v>
      </c>
      <c r="D815" s="103" t="b">
        <f>IF(AND('AES Indiana Bill Calc.'!$D$17="PH",'AES Indiana Bill Calc.'!$D$18="No",'AES Indiana Bill Calc.'!$D$20="Yes 2018"),'AES Indiana Bill Calc.'!$D$22)</f>
        <v>0</v>
      </c>
      <c r="E815" s="103" t="b">
        <f>IF(AND('AES Indiana Bill Calc.'!$D$17="PH",'AES Indiana Bill Calc.'!$D$18="No",'AES Indiana Bill Calc.'!$D$20="Yes 2018"),'AES Indiana Bill Calc.'!$D$21)</f>
        <v>0</v>
      </c>
      <c r="F815" s="36" t="s">
        <v>216</v>
      </c>
      <c r="G815" s="135" t="e">
        <f>MAX(I815,P814)</f>
        <v>#N/A</v>
      </c>
      <c r="H815" s="19" t="e">
        <f>IF(ISBLANK(B815),0,+#REF!/B815)</f>
        <v>#REF!</v>
      </c>
      <c r="I815" s="115">
        <f>(E815*120*$K$782)+$J$782</f>
        <v>1250</v>
      </c>
      <c r="J815" s="51">
        <f>IF(ISBLANK(B815),0,+J$782)</f>
        <v>1250</v>
      </c>
      <c r="K815" s="16">
        <f>IF($B815&gt;K814,ROUND(K814*K$782,2),ROUND($B815*K$782,2))</f>
        <v>-0.1</v>
      </c>
      <c r="L815" s="17">
        <f>IF($B815&gt;K814,ROUND((B815-K814)*L$782,2),0)</f>
        <v>0</v>
      </c>
      <c r="M815" s="17">
        <f>IF($C815&gt;L$658,ROUND(($C815-L$658)*M$657,2),0)</f>
        <v>0</v>
      </c>
      <c r="N815" s="17">
        <f>SUM(K815:L815)</f>
        <v>-0.1</v>
      </c>
      <c r="O815" s="17"/>
      <c r="P815" s="12"/>
      <c r="Q815" s="17">
        <f t="shared" si="43"/>
        <v>0</v>
      </c>
      <c r="R815" s="16" t="e">
        <f>ROUND(SUM(K815:M815)*(R814-1),2)</f>
        <v>#N/A</v>
      </c>
      <c r="S815" s="17">
        <f>ROUND($B815*S$782*S814,2)</f>
        <v>0</v>
      </c>
      <c r="T815" s="17">
        <f>ROUND($B815*T$782,2)</f>
        <v>0</v>
      </c>
      <c r="U815" s="17">
        <f>ROUND($B815*U$782,2)</f>
        <v>0</v>
      </c>
      <c r="V815" s="17">
        <f>ROUND($B815*V$773,2)</f>
        <v>0</v>
      </c>
      <c r="W815" s="17">
        <f>ROUND($B815*W$782,2)</f>
        <v>0</v>
      </c>
      <c r="X815" s="17">
        <f>ROUND($B815*X$782,2)</f>
        <v>-0.01</v>
      </c>
      <c r="Y815" s="17">
        <f>ROUND($B815*Y$782,2)</f>
        <v>0</v>
      </c>
      <c r="Z815" s="17">
        <f>ROUND($B815*Z$782,2)</f>
        <v>0</v>
      </c>
      <c r="AA815" s="17">
        <f>ROUND($B815*AA$782,2)</f>
        <v>0</v>
      </c>
      <c r="AB815" s="19">
        <f>SUM(U810:AA810)</f>
        <v>0</v>
      </c>
      <c r="AC815" s="67" t="str">
        <f>+F815</f>
        <v>PH8</v>
      </c>
    </row>
    <row r="816" spans="1:29" x14ac:dyDescent="0.2">
      <c r="A816" s="9"/>
      <c r="B816" s="103">
        <v>-1</v>
      </c>
      <c r="D816" s="8"/>
      <c r="E816" s="9"/>
      <c r="F816" s="36"/>
      <c r="H816" s="12"/>
      <c r="I816" s="19"/>
      <c r="J816" s="12"/>
      <c r="K816" s="43">
        <f>ROUND(C817*K$783,0)</f>
        <v>25000</v>
      </c>
      <c r="L816" s="35">
        <f>+B817-K816</f>
        <v>-25001</v>
      </c>
      <c r="M816" s="12"/>
      <c r="N816" s="12"/>
      <c r="O816" s="12"/>
      <c r="P816" s="17" t="e">
        <f>SUM(J817:M817,R817:AA817)</f>
        <v>#N/A</v>
      </c>
      <c r="Q816" s="17">
        <f t="shared" si="43"/>
        <v>0</v>
      </c>
      <c r="R816" s="38" t="e">
        <f>VLOOKUP((D817),'Pwr Factor'!$A$1:$B$52,2)</f>
        <v>#N/A</v>
      </c>
      <c r="S816" s="50">
        <v>1</v>
      </c>
      <c r="T816" s="12"/>
      <c r="U816" s="12"/>
      <c r="V816" s="12"/>
      <c r="W816" s="12"/>
      <c r="X816" s="12"/>
      <c r="Y816" s="12"/>
      <c r="Z816" s="12"/>
      <c r="AA816" s="12"/>
    </row>
    <row r="817" spans="1:230" s="21" customFormat="1" ht="13.5" thickBot="1" x14ac:dyDescent="0.25">
      <c r="A817" s="1" t="s">
        <v>138</v>
      </c>
      <c r="B817" s="103">
        <f>IF(AND('AES Indiana Bill Calc.'!$D$17="PH",'AES Indiana Bill Calc.'!$D$18="Yes 100%",'AES Indiana Bill Calc.'!$D$20="Yes 2019"),'AES Indiana Bill Calc.'!$D$19,-1)</f>
        <v>-1</v>
      </c>
      <c r="C817" s="103">
        <f>MAX(E817,$C$783)</f>
        <v>100</v>
      </c>
      <c r="D817" s="103" t="b">
        <f>IF(AND('AES Indiana Bill Calc.'!$D$17="PH",'AES Indiana Bill Calc.'!$D$18="Yes 100%",'AES Indiana Bill Calc.'!$D$20="Yes 2019"),'AES Indiana Bill Calc.'!$D$22)</f>
        <v>0</v>
      </c>
      <c r="E817" s="103" t="b">
        <f>IF(AND('AES Indiana Bill Calc.'!$D$17="PH",'AES Indiana Bill Calc.'!$D$18="Yes 100%",'AES Indiana Bill Calc.'!$D$20="Yes 2019"),'AES Indiana Bill Calc.'!$D$21)</f>
        <v>0</v>
      </c>
      <c r="F817" s="36" t="s">
        <v>217</v>
      </c>
      <c r="G817" s="135" t="e">
        <f>MAX(I817,P816)</f>
        <v>#N/A</v>
      </c>
      <c r="H817" s="19" t="e">
        <f>IF(ISBLANK(B817),0,+#REF!/B817)</f>
        <v>#REF!</v>
      </c>
      <c r="I817" s="115">
        <f>(E817*120*$K$782)+$J$782</f>
        <v>1250</v>
      </c>
      <c r="J817" s="51">
        <f>IF(ISBLANK(B817),0,+J$782)</f>
        <v>1250</v>
      </c>
      <c r="K817" s="16">
        <f>IF($B817&gt;K816,ROUND(K816*K$782,2),ROUND($B817*K$782,2))</f>
        <v>-0.1</v>
      </c>
      <c r="L817" s="17">
        <f>IF($B817&gt;K816,ROUND((B817-K816)*L$782,2),0)</f>
        <v>0</v>
      </c>
      <c r="M817" s="17">
        <f>IF($C817&gt;L$658,ROUND(($C817-L$658)*M$657,2),0)</f>
        <v>0</v>
      </c>
      <c r="N817" s="17">
        <f>SUM(K817:L817)</f>
        <v>-0.1</v>
      </c>
      <c r="O817" s="17"/>
      <c r="P817" s="12"/>
      <c r="Q817" s="17">
        <f t="shared" si="43"/>
        <v>0</v>
      </c>
      <c r="R817" s="16" t="e">
        <f>ROUND(SUM(K817:M817)*(R816-1),2)</f>
        <v>#N/A</v>
      </c>
      <c r="S817" s="17">
        <f>ROUND($B817*S$782*S816,2)</f>
        <v>0</v>
      </c>
      <c r="T817" s="17">
        <f>ROUND($B817*T$782,2)</f>
        <v>0</v>
      </c>
      <c r="U817" s="17">
        <f>ROUND($B817*U$782,2)</f>
        <v>0</v>
      </c>
      <c r="V817" s="17">
        <f>ROUND($B817*V$774,2)</f>
        <v>0</v>
      </c>
      <c r="W817" s="17">
        <f>ROUND($B817*W$782,2)</f>
        <v>0</v>
      </c>
      <c r="X817" s="17">
        <f>ROUND($B817*X$782,2)</f>
        <v>-0.01</v>
      </c>
      <c r="Y817" s="17">
        <f>ROUND($B817*Y$782,2)</f>
        <v>0</v>
      </c>
      <c r="Z817" s="17">
        <f>ROUND($B817*Z$782,2)</f>
        <v>0</v>
      </c>
      <c r="AA817" s="17">
        <f>ROUND($B817*AA$782,2)</f>
        <v>0</v>
      </c>
      <c r="AB817" s="19">
        <f>SUM(U812:AA812)</f>
        <v>0</v>
      </c>
      <c r="AC817" s="67" t="str">
        <f>+F817</f>
        <v>PH9</v>
      </c>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row>
    <row r="818" spans="1:230" x14ac:dyDescent="0.2">
      <c r="A818" s="9"/>
      <c r="B818" s="103">
        <v>-1</v>
      </c>
      <c r="D818" s="8"/>
      <c r="E818" s="9"/>
      <c r="F818" s="36"/>
      <c r="H818" s="12"/>
      <c r="I818" s="19"/>
      <c r="J818" s="12"/>
      <c r="K818" s="43">
        <f>ROUND(C819*K$783,0)</f>
        <v>25000</v>
      </c>
      <c r="L818" s="35">
        <f>+B819-K818</f>
        <v>-25001</v>
      </c>
      <c r="M818" s="12"/>
      <c r="N818" s="12"/>
      <c r="O818" s="12"/>
      <c r="P818" s="17" t="e">
        <f>SUM(J819:M819,R819:AA819)</f>
        <v>#N/A</v>
      </c>
      <c r="Q818" s="17">
        <f t="shared" si="43"/>
        <v>0</v>
      </c>
      <c r="R818" s="38" t="e">
        <f>VLOOKUP((D819),'Pwr Factor'!$A$1:$B$52,2)</f>
        <v>#N/A</v>
      </c>
      <c r="S818" s="50">
        <v>0.5</v>
      </c>
      <c r="T818" s="12"/>
      <c r="U818" s="12"/>
      <c r="V818" s="12"/>
      <c r="W818" s="12"/>
      <c r="X818" s="12"/>
      <c r="Y818" s="12"/>
      <c r="Z818" s="12"/>
      <c r="AA818" s="12"/>
    </row>
    <row r="819" spans="1:230" x14ac:dyDescent="0.2">
      <c r="A819" s="1" t="s">
        <v>139</v>
      </c>
      <c r="B819" s="103">
        <f>IF(AND('AES Indiana Bill Calc.'!$D$17="PH",'AES Indiana Bill Calc.'!$D$18="Yes 50%",'AES Indiana Bill Calc.'!$D$20="Yes 2019"),'AES Indiana Bill Calc.'!$D$19,-1)</f>
        <v>-1</v>
      </c>
      <c r="C819" s="103">
        <f>MAX(E819,$C$783)</f>
        <v>100</v>
      </c>
      <c r="D819" s="103" t="b">
        <f>IF(AND('AES Indiana Bill Calc.'!$D$17="PH",'AES Indiana Bill Calc.'!$D$18="Yes 50%",'AES Indiana Bill Calc.'!$D$20="Yes 2019"),'AES Indiana Bill Calc.'!$D$22)</f>
        <v>0</v>
      </c>
      <c r="E819" s="103" t="b">
        <f>IF(AND('AES Indiana Bill Calc.'!$D$17="PH",'AES Indiana Bill Calc.'!$D$18="Yes 50%",'AES Indiana Bill Calc.'!$D$20="Yes 2019"),'AES Indiana Bill Calc.'!$D$21)</f>
        <v>0</v>
      </c>
      <c r="F819" s="36" t="s">
        <v>217</v>
      </c>
      <c r="G819" s="135" t="e">
        <f>MAX(I819,P818)</f>
        <v>#N/A</v>
      </c>
      <c r="H819" s="19" t="e">
        <f>IF(ISBLANK(B819),0,+#REF!/B819)</f>
        <v>#REF!</v>
      </c>
      <c r="I819" s="115">
        <f>(E819*120*$K$782)+$J$782</f>
        <v>1250</v>
      </c>
      <c r="J819" s="51">
        <f>IF(ISBLANK(B819),0,+J$782)</f>
        <v>1250</v>
      </c>
      <c r="K819" s="16">
        <f>IF($B819&gt;K818,ROUND(K818*K$782,2),ROUND($B819*K$782,2))</f>
        <v>-0.1</v>
      </c>
      <c r="L819" s="17">
        <f>IF($B819&gt;K818,ROUND((B819-K818)*L$782,2),0)</f>
        <v>0</v>
      </c>
      <c r="M819" s="17">
        <f>IF($C819&gt;L$658,ROUND(($C819-L$658)*M$657,2),0)</f>
        <v>0</v>
      </c>
      <c r="N819" s="17">
        <f>SUM(K819:L819)</f>
        <v>-0.1</v>
      </c>
      <c r="O819" s="17"/>
      <c r="P819" s="12"/>
      <c r="Q819" s="17">
        <f t="shared" si="43"/>
        <v>0</v>
      </c>
      <c r="R819" s="16" t="e">
        <f>ROUND(SUM(K819:M819)*(R818-1),2)</f>
        <v>#N/A</v>
      </c>
      <c r="S819" s="17">
        <f>ROUND($B819*S$782*S818,2)</f>
        <v>0</v>
      </c>
      <c r="T819" s="17">
        <f>ROUND($B819*T$782,2)</f>
        <v>0</v>
      </c>
      <c r="U819" s="17">
        <f>ROUND($B819*U$782,2)</f>
        <v>0</v>
      </c>
      <c r="V819" s="17">
        <f>ROUND($B819*V$774,2)</f>
        <v>0</v>
      </c>
      <c r="W819" s="17">
        <f>ROUND($B819*W$782,2)</f>
        <v>0</v>
      </c>
      <c r="X819" s="17">
        <f>ROUND($B819*X$782,2)</f>
        <v>-0.01</v>
      </c>
      <c r="Y819" s="17">
        <f>ROUND($B819*Y$782,2)</f>
        <v>0</v>
      </c>
      <c r="Z819" s="17">
        <f>ROUND($B819*Z$782,2)</f>
        <v>0</v>
      </c>
      <c r="AA819" s="17">
        <f>ROUND($B819*AA$782,2)</f>
        <v>0</v>
      </c>
      <c r="AB819" s="19">
        <f>SUM(U814:AA814)</f>
        <v>0</v>
      </c>
      <c r="AC819" s="67" t="str">
        <f>+F819</f>
        <v>PH9</v>
      </c>
    </row>
    <row r="820" spans="1:230" x14ac:dyDescent="0.2">
      <c r="A820" s="9"/>
      <c r="B820" s="103">
        <v>-1</v>
      </c>
      <c r="D820" s="8"/>
      <c r="E820" s="9"/>
      <c r="F820" s="36"/>
      <c r="H820" s="12"/>
      <c r="I820" s="19"/>
      <c r="J820" s="12"/>
      <c r="K820" s="43">
        <f>ROUND(C821*K$783,0)</f>
        <v>25000</v>
      </c>
      <c r="L820" s="35">
        <f>+B821-K820</f>
        <v>-25001</v>
      </c>
      <c r="M820" s="12"/>
      <c r="N820" s="12"/>
      <c r="O820" s="12"/>
      <c r="P820" s="17" t="e">
        <f>SUM(J821:M821,R821:AA821)</f>
        <v>#N/A</v>
      </c>
      <c r="Q820" s="17">
        <f t="shared" si="43"/>
        <v>0</v>
      </c>
      <c r="R820" s="38" t="e">
        <f>VLOOKUP((D821),'Pwr Factor'!$A$1:$B$52,2)</f>
        <v>#N/A</v>
      </c>
      <c r="S820" s="50">
        <v>0.25</v>
      </c>
      <c r="T820" s="12"/>
      <c r="U820" s="12"/>
      <c r="V820" s="12"/>
      <c r="W820" s="12"/>
      <c r="X820" s="12"/>
      <c r="Y820" s="12"/>
      <c r="Z820" s="12"/>
      <c r="AA820" s="12"/>
    </row>
    <row r="821" spans="1:230" x14ac:dyDescent="0.2">
      <c r="A821" s="1" t="s">
        <v>140</v>
      </c>
      <c r="B821" s="103">
        <f>IF(AND('AES Indiana Bill Calc.'!$D$17="PH",'AES Indiana Bill Calc.'!$D$18="Yes 25%",'AES Indiana Bill Calc.'!$D$20="Yes 2019"),'AES Indiana Bill Calc.'!$D$19,-1)</f>
        <v>-1</v>
      </c>
      <c r="C821" s="103">
        <f>MAX(E821,$C$783)</f>
        <v>100</v>
      </c>
      <c r="D821" s="103" t="b">
        <f>IF(AND('AES Indiana Bill Calc.'!$D$17="PH",'AES Indiana Bill Calc.'!$D$18="Yes 25%",'AES Indiana Bill Calc.'!$D$20="Yes 2019"),'AES Indiana Bill Calc.'!$D$22)</f>
        <v>0</v>
      </c>
      <c r="E821" s="103" t="b">
        <f>IF(AND('AES Indiana Bill Calc.'!$D$17="PH",'AES Indiana Bill Calc.'!$D$18="Yes 25%",'AES Indiana Bill Calc.'!$D$20="Yes 2019"),'AES Indiana Bill Calc.'!$D$21)</f>
        <v>0</v>
      </c>
      <c r="F821" s="36" t="s">
        <v>217</v>
      </c>
      <c r="G821" s="135" t="e">
        <f>MAX(I821,P820)</f>
        <v>#N/A</v>
      </c>
      <c r="H821" s="19" t="e">
        <f>IF(ISBLANK(B821),0,+#REF!/B821)</f>
        <v>#REF!</v>
      </c>
      <c r="I821" s="115">
        <f>(E821*120*$K$782)+$J$782</f>
        <v>1250</v>
      </c>
      <c r="J821" s="51">
        <f>IF(ISBLANK(B821),0,+J$782)</f>
        <v>1250</v>
      </c>
      <c r="K821" s="16">
        <f>IF($B821&gt;K820,ROUND(K820*K$782,2),ROUND($B821*K$782,2))</f>
        <v>-0.1</v>
      </c>
      <c r="L821" s="17">
        <f>IF($B821&gt;K820,ROUND((B821-K820)*L$782,2),0)</f>
        <v>0</v>
      </c>
      <c r="M821" s="17">
        <f>IF($C821&gt;L$658,ROUND(($C821-L$658)*M$657,2),0)</f>
        <v>0</v>
      </c>
      <c r="N821" s="17">
        <f>SUM(K821:L821)</f>
        <v>-0.1</v>
      </c>
      <c r="O821" s="17"/>
      <c r="P821" s="12"/>
      <c r="Q821" s="17">
        <f>M821</f>
        <v>0</v>
      </c>
      <c r="R821" s="16" t="e">
        <f>ROUND(SUM(K821:M821)*(R820-1),2)</f>
        <v>#N/A</v>
      </c>
      <c r="S821" s="17">
        <f>ROUND($B821*S$782*S820,2)</f>
        <v>0</v>
      </c>
      <c r="T821" s="17">
        <f>ROUND($B821*T$782,2)</f>
        <v>0</v>
      </c>
      <c r="U821" s="17">
        <f>ROUND($B821*U$782,2)</f>
        <v>0</v>
      </c>
      <c r="V821" s="17">
        <f>ROUND($B821*V$774,2)</f>
        <v>0</v>
      </c>
      <c r="W821" s="17">
        <f>ROUND($B821*W$782,2)</f>
        <v>0</v>
      </c>
      <c r="X821" s="17">
        <f>ROUND($B821*X$782,2)</f>
        <v>-0.01</v>
      </c>
      <c r="Y821" s="17">
        <f>ROUND($B821*Y$782,2)</f>
        <v>0</v>
      </c>
      <c r="Z821" s="17">
        <f>ROUND($B821*Z$782,2)</f>
        <v>0</v>
      </c>
      <c r="AA821" s="17">
        <f>ROUND($B821*AA$782,2)</f>
        <v>0</v>
      </c>
      <c r="AB821" s="19">
        <f>SUM(U816:AA816)</f>
        <v>0</v>
      </c>
      <c r="AC821" s="67" t="str">
        <f>+F821</f>
        <v>PH9</v>
      </c>
    </row>
    <row r="822" spans="1:230" x14ac:dyDescent="0.2">
      <c r="A822" s="9"/>
      <c r="B822" s="103">
        <v>-1</v>
      </c>
      <c r="D822" s="8"/>
      <c r="E822" s="9"/>
      <c r="F822" s="36"/>
      <c r="H822" s="12"/>
      <c r="I822" s="19"/>
      <c r="J822" s="12"/>
      <c r="K822" s="43">
        <f>ROUND(C823*K$783,0)</f>
        <v>25000</v>
      </c>
      <c r="L822" s="35">
        <f>+B823-K822</f>
        <v>-25001</v>
      </c>
      <c r="M822" s="12"/>
      <c r="N822" s="12"/>
      <c r="O822" s="12"/>
      <c r="P822" s="17" t="e">
        <f>SUM(J823:M823,R823:AA823)</f>
        <v>#N/A</v>
      </c>
      <c r="Q822" s="17">
        <f t="shared" si="43"/>
        <v>0</v>
      </c>
      <c r="R822" s="38" t="e">
        <f>VLOOKUP((D823),'Pwr Factor'!$A$1:$B$52,2)</f>
        <v>#N/A</v>
      </c>
      <c r="S822" s="50">
        <v>0.1</v>
      </c>
      <c r="T822" s="12"/>
      <c r="U822" s="12"/>
      <c r="V822" s="12"/>
      <c r="W822" s="12"/>
      <c r="X822" s="12"/>
      <c r="Y822" s="12"/>
      <c r="Z822" s="12"/>
      <c r="AA822" s="12"/>
    </row>
    <row r="823" spans="1:230" x14ac:dyDescent="0.2">
      <c r="A823" s="1" t="s">
        <v>154</v>
      </c>
      <c r="B823" s="103">
        <f>IF(AND('AES Indiana Bill Calc.'!$D$17="PH",'AES Indiana Bill Calc.'!$D$18="Yes 10%",'AES Indiana Bill Calc.'!$D$20="Yes 2019"),'AES Indiana Bill Calc.'!$D$19,-1)</f>
        <v>-1</v>
      </c>
      <c r="C823" s="103">
        <f>MAX(E823,$C$783)</f>
        <v>100</v>
      </c>
      <c r="D823" s="103" t="b">
        <f>IF(AND('AES Indiana Bill Calc.'!$D$17="PH",'AES Indiana Bill Calc.'!$D$18="Yes 10%",'AES Indiana Bill Calc.'!$D$20="Yes 2019"),'AES Indiana Bill Calc.'!$D$22)</f>
        <v>0</v>
      </c>
      <c r="E823" s="103" t="b">
        <f>IF(AND('AES Indiana Bill Calc.'!$D$17="PH",'AES Indiana Bill Calc.'!$D$18="Yes 10%",'AES Indiana Bill Calc.'!$D$20="Yes 2019"),'AES Indiana Bill Calc.'!$D$21)</f>
        <v>0</v>
      </c>
      <c r="F823" s="36" t="s">
        <v>217</v>
      </c>
      <c r="G823" s="135" t="e">
        <f>MAX(I823,P822)</f>
        <v>#N/A</v>
      </c>
      <c r="H823" s="19" t="e">
        <f>IF(ISBLANK(B823),0,+#REF!/B823)</f>
        <v>#REF!</v>
      </c>
      <c r="I823" s="115">
        <f>(E823*120*$K$782)+$J$782</f>
        <v>1250</v>
      </c>
      <c r="J823" s="51">
        <f>IF(ISBLANK(B823),0,+J$782)</f>
        <v>1250</v>
      </c>
      <c r="K823" s="16">
        <f>IF($B823&gt;K822,ROUND(K822*K$782,2),ROUND($B823*K$782,2))</f>
        <v>-0.1</v>
      </c>
      <c r="L823" s="17">
        <f>IF($B823&gt;K822,ROUND((B823-K822)*L$782,2),0)</f>
        <v>0</v>
      </c>
      <c r="M823" s="17">
        <f>IF($C823&gt;L$658,ROUND(($C823-L$658)*M$657,2),0)</f>
        <v>0</v>
      </c>
      <c r="N823" s="17">
        <f>SUM(K823:L823)</f>
        <v>-0.1</v>
      </c>
      <c r="O823" s="17"/>
      <c r="P823" s="12"/>
      <c r="Q823" s="17">
        <f t="shared" si="43"/>
        <v>0</v>
      </c>
      <c r="R823" s="16" t="e">
        <f>ROUND(SUM(K823:M823)*(R822-1),2)</f>
        <v>#N/A</v>
      </c>
      <c r="S823" s="17">
        <f>ROUND($B823*S$782*S822,2)</f>
        <v>0</v>
      </c>
      <c r="T823" s="17">
        <f>ROUND($B823*T$782,2)</f>
        <v>0</v>
      </c>
      <c r="U823" s="17">
        <f>ROUND($B823*U$782,2)</f>
        <v>0</v>
      </c>
      <c r="V823" s="17">
        <f>ROUND($B823*V$774,2)</f>
        <v>0</v>
      </c>
      <c r="W823" s="17">
        <f>ROUND($B823*W$782,2)</f>
        <v>0</v>
      </c>
      <c r="X823" s="17">
        <f>ROUND($B823*X$782,2)</f>
        <v>-0.01</v>
      </c>
      <c r="Y823" s="17">
        <f>ROUND($B823*Y$782,2)</f>
        <v>0</v>
      </c>
      <c r="Z823" s="17">
        <f>ROUND($B823*Z$782,2)</f>
        <v>0</v>
      </c>
      <c r="AA823" s="17">
        <f>ROUND($B823*AA$782,2)</f>
        <v>0</v>
      </c>
      <c r="AB823" s="19">
        <f>SUM(U818:AA818)</f>
        <v>0</v>
      </c>
      <c r="AC823" s="67" t="str">
        <f>+F823</f>
        <v>PH9</v>
      </c>
    </row>
    <row r="824" spans="1:230" x14ac:dyDescent="0.2">
      <c r="A824" s="9"/>
      <c r="B824" s="103">
        <v>-1</v>
      </c>
      <c r="D824" s="8"/>
      <c r="E824" s="9"/>
      <c r="F824" s="36"/>
      <c r="H824" s="12"/>
      <c r="I824" s="19"/>
      <c r="J824" s="12"/>
      <c r="K824" s="43">
        <f>ROUND(C825*K$783,0)</f>
        <v>25000</v>
      </c>
      <c r="L824" s="35">
        <f>+B825-K824</f>
        <v>-25001</v>
      </c>
      <c r="M824" s="12"/>
      <c r="N824" s="12"/>
      <c r="O824" s="12"/>
      <c r="P824" s="17" t="e">
        <f>SUM(J825:M825,R825:AA825)</f>
        <v>#N/A</v>
      </c>
      <c r="Q824" s="17">
        <f t="shared" si="43"/>
        <v>0</v>
      </c>
      <c r="R824" s="38" t="e">
        <f>VLOOKUP((D825),'Pwr Factor'!$A$1:$B$52,2)</f>
        <v>#N/A</v>
      </c>
      <c r="S824" s="50">
        <v>0</v>
      </c>
      <c r="T824" s="12"/>
      <c r="U824" s="12"/>
      <c r="V824" s="12"/>
      <c r="W824" s="12"/>
      <c r="X824" s="12"/>
      <c r="Y824" s="12"/>
      <c r="Z824" s="12"/>
      <c r="AA824" s="12"/>
    </row>
    <row r="825" spans="1:230" x14ac:dyDescent="0.2">
      <c r="A825" s="1" t="s">
        <v>137</v>
      </c>
      <c r="B825" s="103">
        <f>IF(AND('AES Indiana Bill Calc.'!$D$17="PH",'AES Indiana Bill Calc.'!$D$18="Yes 100%",'AES Indiana Bill Calc.'!$D$20="Yes 2019"),'AES Indiana Bill Calc.'!$D$19,-1)</f>
        <v>-1</v>
      </c>
      <c r="C825" s="103">
        <f>MAX(E825,$C$783)</f>
        <v>100</v>
      </c>
      <c r="D825" s="103" t="b">
        <f>IF(AND('AES Indiana Bill Calc.'!$D$17="PH",'AES Indiana Bill Calc.'!$D$18="Yes 100%",'AES Indiana Bill Calc.'!$D$20="Yes 2019"),'AES Indiana Bill Calc.'!$D$22)</f>
        <v>0</v>
      </c>
      <c r="E825" s="103" t="b">
        <f>IF(AND('AES Indiana Bill Calc.'!$D$17="PH",'AES Indiana Bill Calc.'!$D$18="Yes 100%",'AES Indiana Bill Calc.'!$D$20="Yes 2019"),'AES Indiana Bill Calc.'!$D$21)</f>
        <v>0</v>
      </c>
      <c r="F825" s="36" t="s">
        <v>217</v>
      </c>
      <c r="G825" s="135" t="e">
        <f>MAX(I825,P824)</f>
        <v>#N/A</v>
      </c>
      <c r="H825" s="19" t="e">
        <f>IF(ISBLANK(B825),0,+#REF!/B825)</f>
        <v>#REF!</v>
      </c>
      <c r="I825" s="115">
        <f>(E825*120*$K$782)+$J$782</f>
        <v>1250</v>
      </c>
      <c r="J825" s="51">
        <f>IF(ISBLANK(B825),0,+J$782)</f>
        <v>1250</v>
      </c>
      <c r="K825" s="16">
        <f>IF($B825&gt;K824,ROUND(K824*K$782,2),ROUND($B825*K$782,2))</f>
        <v>-0.1</v>
      </c>
      <c r="L825" s="17">
        <f>IF($B825&gt;K824,ROUND((B825-K824)*L$782,2),0)</f>
        <v>0</v>
      </c>
      <c r="M825" s="17">
        <f>IF($C825&gt;L$658,ROUND(($C825-L$658)*M$657,2),0)</f>
        <v>0</v>
      </c>
      <c r="N825" s="17">
        <f>SUM(K825:L825)</f>
        <v>-0.1</v>
      </c>
      <c r="O825" s="17"/>
      <c r="P825" s="12"/>
      <c r="Q825" s="17">
        <f t="shared" si="43"/>
        <v>0</v>
      </c>
      <c r="R825" s="16" t="e">
        <f>ROUND(SUM(K825:M825)*(R824-1),2)</f>
        <v>#N/A</v>
      </c>
      <c r="S825" s="17">
        <f>ROUND($B825*S$782*S824,2)</f>
        <v>0</v>
      </c>
      <c r="T825" s="17">
        <f>ROUND($B825*T$782,2)</f>
        <v>0</v>
      </c>
      <c r="U825" s="17">
        <f>ROUND($B825*U$782,2)</f>
        <v>0</v>
      </c>
      <c r="V825" s="17">
        <f>ROUND($B825*V$774,2)</f>
        <v>0</v>
      </c>
      <c r="W825" s="17">
        <f>ROUND($B825*W$782,2)</f>
        <v>0</v>
      </c>
      <c r="X825" s="17">
        <f>ROUND($B825*X$782,2)</f>
        <v>-0.01</v>
      </c>
      <c r="Y825" s="17">
        <f>ROUND($B825*Y$782,2)</f>
        <v>0</v>
      </c>
      <c r="Z825" s="17">
        <f>ROUND($B825*Z$782,2)</f>
        <v>0</v>
      </c>
      <c r="AA825" s="17">
        <f>ROUND($B825*AA$782,2)</f>
        <v>0</v>
      </c>
      <c r="AB825" s="19">
        <f>SUM(U820:AA820)</f>
        <v>0</v>
      </c>
      <c r="AC825" s="67" t="str">
        <f>+F825</f>
        <v>PH9</v>
      </c>
    </row>
    <row r="826" spans="1:230" x14ac:dyDescent="0.2">
      <c r="A826" s="9"/>
      <c r="B826" s="103">
        <v>-1</v>
      </c>
      <c r="D826" s="8"/>
      <c r="E826" s="9"/>
      <c r="F826" s="36"/>
      <c r="H826" s="12"/>
      <c r="I826" s="19"/>
      <c r="J826" s="12"/>
      <c r="K826" s="43">
        <f>ROUND(C827*K$783,0)</f>
        <v>25000</v>
      </c>
      <c r="L826" s="35">
        <f>+B827-K826</f>
        <v>-25001</v>
      </c>
      <c r="M826" s="12"/>
      <c r="N826" s="12"/>
      <c r="O826" s="12"/>
      <c r="P826" s="17" t="e">
        <f>SUM(J827:M827,R827:AA827)</f>
        <v>#N/A</v>
      </c>
      <c r="Q826" s="17">
        <f t="shared" si="43"/>
        <v>0</v>
      </c>
      <c r="R826" s="38" t="e">
        <f>VLOOKUP((D827),'Pwr Factor'!$A$1:$B$52,2)</f>
        <v>#N/A</v>
      </c>
      <c r="S826" s="50">
        <v>1</v>
      </c>
      <c r="T826" s="12"/>
      <c r="U826" s="12"/>
      <c r="V826" s="12"/>
      <c r="W826" s="12"/>
      <c r="X826" s="12"/>
      <c r="Y826" s="12"/>
      <c r="Z826" s="12"/>
      <c r="AA826" s="12"/>
    </row>
    <row r="827" spans="1:230" x14ac:dyDescent="0.2">
      <c r="A827" s="1" t="s">
        <v>138</v>
      </c>
      <c r="B827" s="103">
        <f>IF(AND('AES Indiana Bill Calc.'!$D$17="PH",'AES Indiana Bill Calc.'!$D$18="Yes 100%",'AES Indiana Bill Calc.'!$D$20="Yes 2020"),'AES Indiana Bill Calc.'!$D$19,-1)</f>
        <v>-1</v>
      </c>
      <c r="C827" s="103">
        <f>MAX(E827,$C$783)</f>
        <v>100</v>
      </c>
      <c r="D827" s="103" t="b">
        <f>IF(AND('AES Indiana Bill Calc.'!$D$17="PH",'AES Indiana Bill Calc.'!$D$18="Yes 100%",'AES Indiana Bill Calc.'!$D$20="Yes 2020"),'AES Indiana Bill Calc.'!$D$22)</f>
        <v>0</v>
      </c>
      <c r="E827" s="103" t="b">
        <f>IF(AND('AES Indiana Bill Calc.'!$D$17="PH",'AES Indiana Bill Calc.'!$D$18="Yes 100%",'AES Indiana Bill Calc.'!$D$20="Yes 2020"),'AES Indiana Bill Calc.'!$D$21)</f>
        <v>0</v>
      </c>
      <c r="F827" s="36" t="s">
        <v>218</v>
      </c>
      <c r="G827" s="135" t="e">
        <f>MAX(I827,P826)</f>
        <v>#N/A</v>
      </c>
      <c r="H827" s="19" t="e">
        <f>IF(ISBLANK(B827),0,+#REF!/B827)</f>
        <v>#REF!</v>
      </c>
      <c r="I827" s="115">
        <f>(E827*120*$K$782)+$J$782</f>
        <v>1250</v>
      </c>
      <c r="J827" s="51">
        <f>IF(ISBLANK(B827),0,+J$782)</f>
        <v>1250</v>
      </c>
      <c r="K827" s="16">
        <f>IF($B827&gt;K826,ROUND(K826*K$782,2),ROUND($B827*K$782,2))</f>
        <v>-0.1</v>
      </c>
      <c r="L827" s="17">
        <f>IF($B827&gt;K826,ROUND((B827-K826)*L$782,2),0)</f>
        <v>0</v>
      </c>
      <c r="M827" s="17">
        <f>IF($C827&gt;L$658,ROUND(($C827-L$658)*M$657,2),0)</f>
        <v>0</v>
      </c>
      <c r="N827" s="17">
        <f>SUM(K827:L827)</f>
        <v>-0.1</v>
      </c>
      <c r="O827" s="17"/>
      <c r="P827" s="12"/>
      <c r="Q827" s="17">
        <f t="shared" si="43"/>
        <v>0</v>
      </c>
      <c r="R827" s="16" t="e">
        <f>ROUND(SUM(K827:M827)*(R826-1),2)</f>
        <v>#N/A</v>
      </c>
      <c r="S827" s="17">
        <f>ROUND($B827*S$782*S826,2)</f>
        <v>0</v>
      </c>
      <c r="T827" s="17">
        <f>ROUND($B827*T$782,2)</f>
        <v>0</v>
      </c>
      <c r="U827" s="17">
        <f>ROUND($B827*U$782,2)</f>
        <v>0</v>
      </c>
      <c r="V827" s="17">
        <f>ROUND($B827*V$775,2)</f>
        <v>0</v>
      </c>
      <c r="W827" s="17">
        <f>ROUND($B827*W$782,2)</f>
        <v>0</v>
      </c>
      <c r="X827" s="17">
        <f>ROUND($B827*X$782,2)</f>
        <v>-0.01</v>
      </c>
      <c r="Y827" s="17">
        <f>ROUND($B827*Y$782,2)</f>
        <v>0</v>
      </c>
      <c r="Z827" s="17">
        <f>ROUND($B827*Z$782,2)</f>
        <v>0</v>
      </c>
      <c r="AA827" s="17">
        <f>ROUND($B827*AA$782,2)</f>
        <v>0</v>
      </c>
      <c r="AB827" s="19">
        <f>SUM(U822:AA822)</f>
        <v>0</v>
      </c>
      <c r="AC827" s="67" t="str">
        <f>+F827</f>
        <v>PH0</v>
      </c>
    </row>
    <row r="828" spans="1:230" x14ac:dyDescent="0.2">
      <c r="A828" s="9"/>
      <c r="B828" s="103">
        <v>-1</v>
      </c>
      <c r="D828" s="8"/>
      <c r="E828" s="9"/>
      <c r="F828" s="36"/>
      <c r="H828" s="12"/>
      <c r="I828" s="19"/>
      <c r="J828" s="12"/>
      <c r="K828" s="43">
        <f>ROUND(C829*K$783,0)</f>
        <v>25000</v>
      </c>
      <c r="L828" s="35">
        <f>+B829-K828</f>
        <v>-25001</v>
      </c>
      <c r="M828" s="12"/>
      <c r="N828" s="12"/>
      <c r="O828" s="12"/>
      <c r="P828" s="17" t="e">
        <f>SUM(J829:M829,R829:AA829)</f>
        <v>#N/A</v>
      </c>
      <c r="Q828" s="17">
        <f t="shared" si="43"/>
        <v>0</v>
      </c>
      <c r="R828" s="38" t="e">
        <f>VLOOKUP((D829),'Pwr Factor'!$A$1:$B$52,2)</f>
        <v>#N/A</v>
      </c>
      <c r="S828" s="50">
        <v>0.5</v>
      </c>
      <c r="T828" s="12"/>
      <c r="U828" s="12"/>
      <c r="V828" s="12"/>
      <c r="W828" s="12"/>
      <c r="X828" s="12"/>
      <c r="Y828" s="12"/>
      <c r="Z828" s="12"/>
      <c r="AA828" s="12"/>
    </row>
    <row r="829" spans="1:230" x14ac:dyDescent="0.2">
      <c r="A829" s="1" t="s">
        <v>139</v>
      </c>
      <c r="B829" s="103">
        <f>IF(AND('AES Indiana Bill Calc.'!$D$17="PH",'AES Indiana Bill Calc.'!$D$18="Yes 50%",'AES Indiana Bill Calc.'!$D$20="Yes 2020"),'AES Indiana Bill Calc.'!$D$19,-1)</f>
        <v>-1</v>
      </c>
      <c r="C829" s="103">
        <f>MAX(E829,$C$783)</f>
        <v>100</v>
      </c>
      <c r="D829" s="103" t="b">
        <f>IF(AND('AES Indiana Bill Calc.'!$D$17="PH",'AES Indiana Bill Calc.'!$D$18="Yes 50%",'AES Indiana Bill Calc.'!$D$20="Yes 2020"),'AES Indiana Bill Calc.'!$D$22)</f>
        <v>0</v>
      </c>
      <c r="E829" s="103" t="b">
        <f>IF(AND('AES Indiana Bill Calc.'!$D$17="PH",'AES Indiana Bill Calc.'!$D$18="Yes 50%",'AES Indiana Bill Calc.'!$D$20="Yes 2020"),'AES Indiana Bill Calc.'!$D$21)</f>
        <v>0</v>
      </c>
      <c r="F829" s="36" t="s">
        <v>218</v>
      </c>
      <c r="G829" s="135" t="e">
        <f>MAX(I829,P828)</f>
        <v>#N/A</v>
      </c>
      <c r="H829" s="19" t="e">
        <f>IF(ISBLANK(B829),0,+#REF!/B829)</f>
        <v>#REF!</v>
      </c>
      <c r="I829" s="115">
        <f>(E829*120*$K$782)+$J$782</f>
        <v>1250</v>
      </c>
      <c r="J829" s="51">
        <f>IF(ISBLANK(B829),0,+J$782)</f>
        <v>1250</v>
      </c>
      <c r="K829" s="16">
        <f>IF($B829&gt;K828,ROUND(K828*K$782,2),ROUND($B829*K$782,2))</f>
        <v>-0.1</v>
      </c>
      <c r="L829" s="17">
        <f>IF($B829&gt;K828,ROUND((B829-K828)*L$782,2),0)</f>
        <v>0</v>
      </c>
      <c r="M829" s="17">
        <f>IF($C829&gt;L$658,ROUND(($C829-L$658)*M$657,2),0)</f>
        <v>0</v>
      </c>
      <c r="N829" s="17">
        <v>0</v>
      </c>
      <c r="O829" s="17"/>
      <c r="P829" s="12"/>
      <c r="Q829" s="17">
        <f t="shared" si="43"/>
        <v>0</v>
      </c>
      <c r="R829" s="16" t="e">
        <f>ROUND(SUM(K829:M829)*(R828-1),2)</f>
        <v>#N/A</v>
      </c>
      <c r="S829" s="17">
        <f>ROUND($B829*S$782*S828,2)</f>
        <v>0</v>
      </c>
      <c r="T829" s="17">
        <f>ROUND($B829*T$782,2)</f>
        <v>0</v>
      </c>
      <c r="U829" s="17">
        <f>ROUND($B829*U$782,2)</f>
        <v>0</v>
      </c>
      <c r="V829" s="17">
        <f>ROUND($B829*V$775,2)</f>
        <v>0</v>
      </c>
      <c r="W829" s="17">
        <f>ROUND($B829*W$782,2)</f>
        <v>0</v>
      </c>
      <c r="X829" s="17">
        <f>ROUND($B829*X$782,2)</f>
        <v>-0.01</v>
      </c>
      <c r="Y829" s="17">
        <f>ROUND($B829*Y$782,2)</f>
        <v>0</v>
      </c>
      <c r="Z829" s="17">
        <f>ROUND($B829*Z$782,2)</f>
        <v>0</v>
      </c>
      <c r="AA829" s="17">
        <f>ROUND($B829*AA$782,2)</f>
        <v>0</v>
      </c>
      <c r="AB829" s="19">
        <f>SUM(U824:AA824)</f>
        <v>0</v>
      </c>
      <c r="AC829" s="67" t="str">
        <f>+F829</f>
        <v>PH0</v>
      </c>
    </row>
    <row r="830" spans="1:230" x14ac:dyDescent="0.2">
      <c r="A830" s="9"/>
      <c r="B830" s="103">
        <v>-1</v>
      </c>
      <c r="D830" s="8"/>
      <c r="E830" s="9"/>
      <c r="F830" s="36"/>
      <c r="H830" s="12"/>
      <c r="I830" s="19"/>
      <c r="J830" s="12"/>
      <c r="K830" s="43">
        <f>ROUND(C831*K$783,0)</f>
        <v>25000</v>
      </c>
      <c r="L830" s="35">
        <f>+B831-K830</f>
        <v>-25001</v>
      </c>
      <c r="M830" s="12"/>
      <c r="N830" s="12"/>
      <c r="O830" s="12"/>
      <c r="P830" s="17" t="e">
        <f>SUM(J831:M831,R831:AA831)</f>
        <v>#N/A</v>
      </c>
      <c r="Q830" s="17">
        <f t="shared" si="43"/>
        <v>0</v>
      </c>
      <c r="R830" s="38" t="e">
        <f>VLOOKUP((D831),'Pwr Factor'!$A$1:$B$52,2)</f>
        <v>#N/A</v>
      </c>
      <c r="S830" s="50">
        <v>0.25</v>
      </c>
      <c r="T830" s="12"/>
      <c r="U830" s="12"/>
      <c r="V830" s="12"/>
      <c r="W830" s="12"/>
      <c r="X830" s="12"/>
      <c r="Y830" s="12"/>
      <c r="Z830" s="12"/>
      <c r="AA830" s="12"/>
    </row>
    <row r="831" spans="1:230" x14ac:dyDescent="0.2">
      <c r="A831" s="1" t="s">
        <v>140</v>
      </c>
      <c r="B831" s="103">
        <f>IF(AND('AES Indiana Bill Calc.'!$D$17="PH",'AES Indiana Bill Calc.'!$D$18="Yes 25%",'AES Indiana Bill Calc.'!$D$20="Yes 2020"),'AES Indiana Bill Calc.'!$D$19,-1)</f>
        <v>-1</v>
      </c>
      <c r="C831" s="103">
        <f>MAX(E831,$C$783)</f>
        <v>100</v>
      </c>
      <c r="D831" s="103" t="b">
        <f>IF(AND('AES Indiana Bill Calc.'!$D$17="PH",'AES Indiana Bill Calc.'!$D$18="Yes 25%",'AES Indiana Bill Calc.'!$D$20="Yes 2020"),'AES Indiana Bill Calc.'!$D$22)</f>
        <v>0</v>
      </c>
      <c r="E831" s="103" t="b">
        <f>IF(AND('AES Indiana Bill Calc.'!$D$17="PH",'AES Indiana Bill Calc.'!$D$18="Yes 25%",'AES Indiana Bill Calc.'!$D$20="Yes 2020"),'AES Indiana Bill Calc.'!$D$21)</f>
        <v>0</v>
      </c>
      <c r="F831" s="36" t="s">
        <v>218</v>
      </c>
      <c r="G831" s="135" t="e">
        <f>MAX(I831,P830)</f>
        <v>#N/A</v>
      </c>
      <c r="H831" s="19" t="e">
        <f>IF(ISBLANK(B831),0,+#REF!/B831)</f>
        <v>#REF!</v>
      </c>
      <c r="I831" s="115">
        <f>(E831*120*$K$782)+$J$782</f>
        <v>1250</v>
      </c>
      <c r="J831" s="51">
        <f>IF(ISBLANK(B831),0,+J$782)</f>
        <v>1250</v>
      </c>
      <c r="K831" s="16">
        <f>IF($B831&gt;K830,ROUND(K830*K$782,2),ROUND($B831*K$782,2))</f>
        <v>-0.1</v>
      </c>
      <c r="L831" s="17">
        <f>IF($B831&gt;K830,ROUND((B831-K830)*L$782,2),0)</f>
        <v>0</v>
      </c>
      <c r="M831" s="17">
        <f>IF($C831&gt;L$658,ROUND(($C831-L$658)*M$657,2),0)</f>
        <v>0</v>
      </c>
      <c r="N831" s="17">
        <f>SUM(K831:L831)</f>
        <v>-0.1</v>
      </c>
      <c r="O831" s="17"/>
      <c r="P831" s="12"/>
      <c r="Q831" s="17">
        <f t="shared" si="43"/>
        <v>0</v>
      </c>
      <c r="R831" s="16" t="e">
        <f>ROUND(SUM(K831:M831)*(R830-1),2)</f>
        <v>#N/A</v>
      </c>
      <c r="S831" s="17">
        <f>ROUND($B831*S$782*S830,2)</f>
        <v>0</v>
      </c>
      <c r="T831" s="17">
        <f>ROUND($B831*T$782,2)</f>
        <v>0</v>
      </c>
      <c r="U831" s="17">
        <f>ROUND($B831*U$782,2)</f>
        <v>0</v>
      </c>
      <c r="V831" s="17">
        <f>ROUND($B831*V$775,2)</f>
        <v>0</v>
      </c>
      <c r="W831" s="17">
        <f>ROUND($B831*W$782,2)</f>
        <v>0</v>
      </c>
      <c r="X831" s="17">
        <f>ROUND($B831*X$782,2)</f>
        <v>-0.01</v>
      </c>
      <c r="Y831" s="17">
        <f>ROUND($B831*Y$782,2)</f>
        <v>0</v>
      </c>
      <c r="Z831" s="17">
        <f>ROUND($B831*Z$782,2)</f>
        <v>0</v>
      </c>
      <c r="AA831" s="17">
        <f>ROUND($B831*AA$782,2)</f>
        <v>0</v>
      </c>
      <c r="AB831" s="19">
        <f>SUM(U826:AA826)</f>
        <v>0</v>
      </c>
      <c r="AC831" s="67" t="str">
        <f>+F831</f>
        <v>PH0</v>
      </c>
    </row>
    <row r="832" spans="1:230" x14ac:dyDescent="0.2">
      <c r="A832" s="9"/>
      <c r="B832" s="103">
        <v>-1</v>
      </c>
      <c r="D832" s="8"/>
      <c r="E832" s="9"/>
      <c r="F832" s="36"/>
      <c r="H832" s="12"/>
      <c r="I832" s="19"/>
      <c r="J832" s="12"/>
      <c r="K832" s="43">
        <f>ROUND(C833*K$783,0)</f>
        <v>25000</v>
      </c>
      <c r="L832" s="35">
        <f>+B833-K832</f>
        <v>-25001</v>
      </c>
      <c r="M832" s="12"/>
      <c r="N832" s="12"/>
      <c r="O832" s="12"/>
      <c r="P832" s="17" t="e">
        <f>SUM(J833:M833,R833:AA833)</f>
        <v>#N/A</v>
      </c>
      <c r="Q832" s="17">
        <f t="shared" si="43"/>
        <v>0</v>
      </c>
      <c r="R832" s="38" t="e">
        <f>VLOOKUP((D833),'Pwr Factor'!$A$1:$B$52,2)</f>
        <v>#N/A</v>
      </c>
      <c r="S832" s="50">
        <v>0.1</v>
      </c>
      <c r="T832" s="12"/>
      <c r="U832" s="12"/>
      <c r="V832" s="12"/>
      <c r="W832" s="12"/>
      <c r="X832" s="12"/>
      <c r="Y832" s="12"/>
      <c r="Z832" s="12"/>
      <c r="AA832" s="12"/>
    </row>
    <row r="833" spans="1:29" x14ac:dyDescent="0.2">
      <c r="A833" s="1" t="s">
        <v>154</v>
      </c>
      <c r="B833" s="103">
        <f>IF(AND('AES Indiana Bill Calc.'!$D$17="PH",'AES Indiana Bill Calc.'!$D$18="Yes 10%",'AES Indiana Bill Calc.'!$D$20="Yes 2020"),'AES Indiana Bill Calc.'!$D$19,-1)</f>
        <v>-1</v>
      </c>
      <c r="C833" s="103">
        <f>MAX(E833,$C$783)</f>
        <v>100</v>
      </c>
      <c r="D833" s="103" t="b">
        <f>IF(AND('AES Indiana Bill Calc.'!$D$17="PH",'AES Indiana Bill Calc.'!$D$18="Yes 10%",'AES Indiana Bill Calc.'!$D$20="Yes 2020"),'AES Indiana Bill Calc.'!$D$22)</f>
        <v>0</v>
      </c>
      <c r="E833" s="103" t="b">
        <f>IF(AND('AES Indiana Bill Calc.'!$D$17="PH",'AES Indiana Bill Calc.'!$D$18="Yes 10%",'AES Indiana Bill Calc.'!$D$20="Yes 2020"),'AES Indiana Bill Calc.'!$D$21)</f>
        <v>0</v>
      </c>
      <c r="F833" s="36" t="s">
        <v>218</v>
      </c>
      <c r="G833" s="135" t="e">
        <f>MAX(I833,P832)</f>
        <v>#N/A</v>
      </c>
      <c r="H833" s="19" t="e">
        <f>IF(ISBLANK(B833),0,+#REF!/B833)</f>
        <v>#REF!</v>
      </c>
      <c r="I833" s="115">
        <f>(E833*120*$K$782)+$J$782</f>
        <v>1250</v>
      </c>
      <c r="J833" s="51">
        <f>IF(ISBLANK(B833),0,+J$782)</f>
        <v>1250</v>
      </c>
      <c r="K833" s="16">
        <f>IF($B833&gt;K832,ROUND(K832*K$782,2),ROUND($B833*K$782,2))</f>
        <v>-0.1</v>
      </c>
      <c r="L833" s="17">
        <f>IF($B833&gt;K832,ROUND((B833-K832)*L$782,2),0)</f>
        <v>0</v>
      </c>
      <c r="M833" s="17">
        <f>IF($C833&gt;L$658,ROUND(($C833-L$658)*M$657,2),0)</f>
        <v>0</v>
      </c>
      <c r="N833" s="17">
        <f>SUM(K833:L833)</f>
        <v>-0.1</v>
      </c>
      <c r="O833" s="17"/>
      <c r="P833" s="12"/>
      <c r="Q833" s="17">
        <f t="shared" si="43"/>
        <v>0</v>
      </c>
      <c r="R833" s="16" t="e">
        <f>ROUND(SUM(K833:M833)*(R832-1),2)</f>
        <v>#N/A</v>
      </c>
      <c r="S833" s="17">
        <f>ROUND($B833*S$782*S832,2)</f>
        <v>0</v>
      </c>
      <c r="T833" s="17">
        <f>ROUND($B833*T$782,2)</f>
        <v>0</v>
      </c>
      <c r="U833" s="17">
        <f>ROUND($B833*U$782,2)</f>
        <v>0</v>
      </c>
      <c r="V833" s="17">
        <f>ROUND($B833*V$775,2)</f>
        <v>0</v>
      </c>
      <c r="W833" s="17">
        <f>ROUND($B833*W$782,2)</f>
        <v>0</v>
      </c>
      <c r="X833" s="17">
        <f>ROUND($B833*X$782,2)</f>
        <v>-0.01</v>
      </c>
      <c r="Y833" s="17">
        <f>ROUND($B833*Y$782,2)</f>
        <v>0</v>
      </c>
      <c r="Z833" s="17">
        <f>ROUND($B833*Z$782,2)</f>
        <v>0</v>
      </c>
      <c r="AA833" s="17">
        <f>ROUND($B833*AA$782,2)</f>
        <v>0</v>
      </c>
      <c r="AB833" s="19">
        <f>SUM(U828:AA828)</f>
        <v>0</v>
      </c>
      <c r="AC833" s="67" t="str">
        <f>+F833</f>
        <v>PH0</v>
      </c>
    </row>
    <row r="834" spans="1:29" x14ac:dyDescent="0.2">
      <c r="A834" s="9"/>
      <c r="B834" s="103">
        <v>-1</v>
      </c>
      <c r="D834" s="8"/>
      <c r="E834" s="9"/>
      <c r="F834" s="36"/>
      <c r="H834" s="12"/>
      <c r="I834" s="19"/>
      <c r="J834" s="12"/>
      <c r="K834" s="43">
        <f>ROUND(C835*K$783,0)</f>
        <v>25000</v>
      </c>
      <c r="L834" s="35">
        <f>+B835-K834</f>
        <v>-25001</v>
      </c>
      <c r="M834" s="12"/>
      <c r="N834" s="12"/>
      <c r="O834" s="12"/>
      <c r="P834" s="17" t="e">
        <f>SUM(J835:M835,R835:AA835)</f>
        <v>#N/A</v>
      </c>
      <c r="Q834" s="17">
        <f t="shared" si="43"/>
        <v>0</v>
      </c>
      <c r="R834" s="38" t="e">
        <f>VLOOKUP((D835),'Pwr Factor'!$A$1:$B$52,2)</f>
        <v>#N/A</v>
      </c>
      <c r="S834" s="50">
        <v>0</v>
      </c>
      <c r="T834" s="12"/>
      <c r="U834" s="12"/>
      <c r="V834" s="12"/>
      <c r="W834" s="12"/>
      <c r="X834" s="12"/>
      <c r="Y834" s="12"/>
      <c r="Z834" s="12"/>
      <c r="AA834" s="12"/>
    </row>
    <row r="835" spans="1:29" x14ac:dyDescent="0.2">
      <c r="A835" s="1" t="s">
        <v>137</v>
      </c>
      <c r="B835" s="103">
        <f>IF(AND('AES Indiana Bill Calc.'!$D$17="PH",'AES Indiana Bill Calc.'!$D$18="No",'AES Indiana Bill Calc.'!$D$20="Yes 2020"),'AES Indiana Bill Calc.'!$D$19,-1)</f>
        <v>-1</v>
      </c>
      <c r="C835" s="103">
        <f>MAX(E835,$C$783)</f>
        <v>100</v>
      </c>
      <c r="D835" s="103" t="b">
        <f>IF(AND('AES Indiana Bill Calc.'!$D$17="PH",'AES Indiana Bill Calc.'!$D$18="No",'AES Indiana Bill Calc.'!$D$20="Yes 2020"),'AES Indiana Bill Calc.'!$D$22)</f>
        <v>0</v>
      </c>
      <c r="E835" s="103" t="b">
        <f>IF(AND('AES Indiana Bill Calc.'!$D$17="PH",'AES Indiana Bill Calc.'!$D$18="No",'AES Indiana Bill Calc.'!$D$20="Yes 2020"),'AES Indiana Bill Calc.'!$D$21)</f>
        <v>0</v>
      </c>
      <c r="F835" s="36" t="s">
        <v>218</v>
      </c>
      <c r="G835" s="135" t="e">
        <f>MAX(I835,P834)</f>
        <v>#N/A</v>
      </c>
      <c r="H835" s="19" t="e">
        <f>IF(ISBLANK(B835),0,+#REF!/B835)</f>
        <v>#REF!</v>
      </c>
      <c r="I835" s="115">
        <f>(E835*120*$K$782)+$J$782</f>
        <v>1250</v>
      </c>
      <c r="J835" s="51">
        <f>IF(ISBLANK(B835),0,+J$782)</f>
        <v>1250</v>
      </c>
      <c r="K835" s="16">
        <f>IF($B835&gt;K834,ROUND(K834*K$782,2),ROUND($B835*K$782,2))</f>
        <v>-0.1</v>
      </c>
      <c r="L835" s="17">
        <f>IF($B835&gt;K834,ROUND((B835-K834)*L$782,2),0)</f>
        <v>0</v>
      </c>
      <c r="M835" s="17">
        <f>IF($C835&gt;L$658,ROUND(($C835-L$658)*M$657,2),0)</f>
        <v>0</v>
      </c>
      <c r="N835" s="17">
        <f>SUM(K835:L835)</f>
        <v>-0.1</v>
      </c>
      <c r="O835" s="17"/>
      <c r="P835" s="12"/>
      <c r="Q835" s="17">
        <f t="shared" si="43"/>
        <v>0</v>
      </c>
      <c r="R835" s="16" t="e">
        <f>ROUND(SUM(K835:M835)*(R834-1),2)</f>
        <v>#N/A</v>
      </c>
      <c r="S835" s="17">
        <f>ROUND($B835*S$782*S834,2)</f>
        <v>0</v>
      </c>
      <c r="T835" s="17">
        <f>ROUND($B835*T$782,2)</f>
        <v>0</v>
      </c>
      <c r="U835" s="17">
        <f>ROUND($B835*U$782,2)</f>
        <v>0</v>
      </c>
      <c r="V835" s="17">
        <f>ROUND($B835*V$775,2)</f>
        <v>0</v>
      </c>
      <c r="W835" s="17">
        <f>ROUND($B835*W$782,2)</f>
        <v>0</v>
      </c>
      <c r="X835" s="17">
        <f>ROUND($B835*X$782,2)</f>
        <v>-0.01</v>
      </c>
      <c r="Y835" s="17">
        <f>ROUND($B835*Y$782,2)</f>
        <v>0</v>
      </c>
      <c r="Z835" s="17">
        <f>ROUND($B835*Z$782,2)</f>
        <v>0</v>
      </c>
      <c r="AA835" s="17">
        <f>ROUND($B835*AA$782,2)</f>
        <v>0</v>
      </c>
      <c r="AB835" s="19">
        <f>SUM(U830:AA830)</f>
        <v>0</v>
      </c>
      <c r="AC835" s="67" t="str">
        <f>+F835</f>
        <v>PH0</v>
      </c>
    </row>
    <row r="836" spans="1:29" x14ac:dyDescent="0.2">
      <c r="A836" s="9"/>
      <c r="B836" s="103">
        <v>-1</v>
      </c>
      <c r="D836" s="8"/>
      <c r="E836" s="9"/>
      <c r="F836" s="36"/>
      <c r="H836" s="12"/>
      <c r="I836" s="19"/>
      <c r="J836" s="12"/>
      <c r="K836" s="43">
        <f>ROUND(C837*K$783,0)</f>
        <v>25000</v>
      </c>
      <c r="L836" s="35">
        <f>+B837-K836</f>
        <v>-25001</v>
      </c>
      <c r="M836" s="12"/>
      <c r="N836" s="12"/>
      <c r="O836" s="12"/>
      <c r="P836" s="17" t="e">
        <f>SUM(J837:M837,R837:AA837)</f>
        <v>#N/A</v>
      </c>
      <c r="Q836" s="17">
        <f t="shared" si="43"/>
        <v>0</v>
      </c>
      <c r="R836" s="38" t="e">
        <f>VLOOKUP((D837),'Pwr Factor'!$A$1:$B$52,2)</f>
        <v>#N/A</v>
      </c>
      <c r="S836" s="50">
        <v>1</v>
      </c>
      <c r="T836" s="12"/>
      <c r="U836" s="12"/>
      <c r="V836" s="12"/>
      <c r="W836" s="12"/>
      <c r="X836" s="12"/>
      <c r="Y836" s="12"/>
      <c r="Z836" s="12"/>
      <c r="AA836" s="12"/>
    </row>
    <row r="837" spans="1:29" x14ac:dyDescent="0.2">
      <c r="A837" s="1" t="s">
        <v>138</v>
      </c>
      <c r="B837" s="103">
        <f>IF(AND('AES Indiana Bill Calc.'!$D$17="PH",'AES Indiana Bill Calc.'!$D$18="Yes 100%",'AES Indiana Bill Calc.'!$D$20="Yes 2021"),'AES Indiana Bill Calc.'!$D$19,-1)</f>
        <v>-1</v>
      </c>
      <c r="C837" s="103">
        <f>MAX(E837,$C$783)</f>
        <v>100</v>
      </c>
      <c r="D837" s="103" t="b">
        <f>IF(AND('AES Indiana Bill Calc.'!$D$17="PH",'AES Indiana Bill Calc.'!$D$18="Yes 100%",'AES Indiana Bill Calc.'!$D$20="Yes 2021"),'AES Indiana Bill Calc.'!$D$22)</f>
        <v>0</v>
      </c>
      <c r="E837" s="103" t="b">
        <f>IF(AND('AES Indiana Bill Calc.'!$D$17="PH",'AES Indiana Bill Calc.'!$D$18="Yes 100%",'AES Indiana Bill Calc.'!$D$20="Yes 2021"),'AES Indiana Bill Calc.'!$D$21)</f>
        <v>0</v>
      </c>
      <c r="F837" s="36" t="s">
        <v>219</v>
      </c>
      <c r="G837" s="135" t="e">
        <f>MAX(I837,P836)</f>
        <v>#N/A</v>
      </c>
      <c r="H837" s="19" t="e">
        <f>IF(ISBLANK(B837),0,+#REF!/B837)</f>
        <v>#REF!</v>
      </c>
      <c r="I837" s="115">
        <f>(E837*120*$K$782)+$J$782</f>
        <v>1250</v>
      </c>
      <c r="J837" s="51">
        <f>IF(ISBLANK(B837),0,+J$782)</f>
        <v>1250</v>
      </c>
      <c r="K837" s="16">
        <f>IF($B837&gt;K836,ROUND(K836*K$782,2),ROUND($B837*K$782,2))</f>
        <v>-0.1</v>
      </c>
      <c r="L837" s="17">
        <f>IF($B837&gt;K836,ROUND((B837-K836)*L$782,2),0)</f>
        <v>0</v>
      </c>
      <c r="M837" s="17">
        <f>IF($C837&gt;L$658,ROUND(($C837-L$658)*M$657,2),0)</f>
        <v>0</v>
      </c>
      <c r="N837" s="17">
        <f>SUM(K837:L837)</f>
        <v>-0.1</v>
      </c>
      <c r="O837" s="17"/>
      <c r="P837" s="12"/>
      <c r="Q837" s="17">
        <f t="shared" si="43"/>
        <v>0</v>
      </c>
      <c r="R837" s="16" t="e">
        <f>ROUND(SUM(K837:M837)*(R836-1),2)</f>
        <v>#N/A</v>
      </c>
      <c r="S837" s="17">
        <f>ROUND($B837*S$782*S836,2)</f>
        <v>0</v>
      </c>
      <c r="T837" s="17">
        <f>ROUND($B837*T$782,2)</f>
        <v>0</v>
      </c>
      <c r="U837" s="17">
        <f>ROUND($B837*U$782,2)</f>
        <v>0</v>
      </c>
      <c r="V837" s="17">
        <f>ROUND($B837*V$776,2)</f>
        <v>0</v>
      </c>
      <c r="W837" s="17">
        <f>ROUND($B837*W$782,2)</f>
        <v>0</v>
      </c>
      <c r="X837" s="17">
        <f>ROUND($B837*X$782,2)</f>
        <v>-0.01</v>
      </c>
      <c r="Y837" s="17">
        <f>ROUND($B837*Y$782,2)</f>
        <v>0</v>
      </c>
      <c r="Z837" s="17">
        <f>ROUND($B837*Z$782,2)</f>
        <v>0</v>
      </c>
      <c r="AA837" s="17">
        <f>ROUND($B837*AA$782,2)</f>
        <v>0</v>
      </c>
      <c r="AB837" s="19">
        <f>SUM(U832:AA832)</f>
        <v>0</v>
      </c>
      <c r="AC837" s="67" t="str">
        <f>+F837</f>
        <v>PH1</v>
      </c>
    </row>
    <row r="838" spans="1:29" x14ac:dyDescent="0.2">
      <c r="A838" s="9"/>
      <c r="B838" s="103">
        <v>-1</v>
      </c>
      <c r="D838" s="8"/>
      <c r="E838" s="9"/>
      <c r="F838" s="36"/>
      <c r="H838" s="12"/>
      <c r="I838" s="19"/>
      <c r="J838" s="12"/>
      <c r="K838" s="43">
        <f>ROUND(C839*K$783,0)</f>
        <v>25000</v>
      </c>
      <c r="L838" s="35">
        <f>+B839-K838</f>
        <v>-25001</v>
      </c>
      <c r="M838" s="12"/>
      <c r="N838" s="12"/>
      <c r="O838" s="12"/>
      <c r="P838" s="17" t="e">
        <f>SUM(J839:M839,R839:AA839)</f>
        <v>#N/A</v>
      </c>
      <c r="Q838" s="17">
        <f t="shared" si="43"/>
        <v>0</v>
      </c>
      <c r="R838" s="38" t="e">
        <f>VLOOKUP((D839),'Pwr Factor'!$A$1:$B$52,2)</f>
        <v>#N/A</v>
      </c>
      <c r="S838" s="50">
        <v>0.5</v>
      </c>
      <c r="T838" s="12"/>
      <c r="U838" s="12"/>
      <c r="V838" s="12"/>
      <c r="W838" s="12"/>
      <c r="X838" s="12"/>
      <c r="Y838" s="12"/>
      <c r="Z838" s="12"/>
      <c r="AA838" s="12"/>
    </row>
    <row r="839" spans="1:29" x14ac:dyDescent="0.2">
      <c r="A839" s="1" t="s">
        <v>139</v>
      </c>
      <c r="B839" s="103">
        <f>IF(AND('AES Indiana Bill Calc.'!$D$17="PH",'AES Indiana Bill Calc.'!$D$18="Yes 50%",'AES Indiana Bill Calc.'!$D$20="Yes 2021"),'AES Indiana Bill Calc.'!$D$19,-1)</f>
        <v>-1</v>
      </c>
      <c r="C839" s="103">
        <f>MAX(E839,$C$783)</f>
        <v>100</v>
      </c>
      <c r="D839" s="103" t="b">
        <f>IF(AND('AES Indiana Bill Calc.'!$D$17="PH",'AES Indiana Bill Calc.'!$D$18="Yes 50%",'AES Indiana Bill Calc.'!$D$20="Yes 2021"),'AES Indiana Bill Calc.'!$D$22)</f>
        <v>0</v>
      </c>
      <c r="E839" s="103" t="b">
        <f>IF(AND('AES Indiana Bill Calc.'!$D$17="PH",'AES Indiana Bill Calc.'!$D$18="Yes 50%",'AES Indiana Bill Calc.'!$D$20="Yes 2021"),'AES Indiana Bill Calc.'!$D$21)</f>
        <v>0</v>
      </c>
      <c r="F839" s="36" t="s">
        <v>219</v>
      </c>
      <c r="G839" s="135" t="e">
        <f>MAX(I839,P838)</f>
        <v>#N/A</v>
      </c>
      <c r="H839" s="19" t="e">
        <f>IF(ISBLANK(B839),0,+#REF!/B839)</f>
        <v>#REF!</v>
      </c>
      <c r="I839" s="115">
        <f>(E839*120*$K$782)+$J$782</f>
        <v>1250</v>
      </c>
      <c r="J839" s="51">
        <f>IF(ISBLANK(B839),0,+J$782)</f>
        <v>1250</v>
      </c>
      <c r="K839" s="16">
        <f>IF($B839&gt;K838,ROUND(K838*K$782,2),ROUND($B839*K$782,2))</f>
        <v>-0.1</v>
      </c>
      <c r="L839" s="17">
        <f>IF($B839&gt;K838,ROUND((B839-K838)*L$782,2),0)</f>
        <v>0</v>
      </c>
      <c r="M839" s="17">
        <f>IF($C839&gt;L$658,ROUND(($C839-L$658)*M$657,2),0)</f>
        <v>0</v>
      </c>
      <c r="N839" s="17">
        <f>SUM(K839:L839)</f>
        <v>-0.1</v>
      </c>
      <c r="O839" s="17"/>
      <c r="P839" s="12"/>
      <c r="Q839" s="17">
        <f t="shared" si="43"/>
        <v>0</v>
      </c>
      <c r="R839" s="16" t="e">
        <f>ROUND(SUM(K839:M839)*(R838-1),2)</f>
        <v>#N/A</v>
      </c>
      <c r="S839" s="17">
        <f>ROUND($B839*S$782*S838,2)</f>
        <v>0</v>
      </c>
      <c r="T839" s="17">
        <f>ROUND($B839*T$782,2)</f>
        <v>0</v>
      </c>
      <c r="U839" s="17">
        <f>ROUND($B839*U$782,2)</f>
        <v>0</v>
      </c>
      <c r="V839" s="17">
        <f>ROUND($B839*V$776,2)</f>
        <v>0</v>
      </c>
      <c r="W839" s="17">
        <f>ROUND($B839*W$782,2)</f>
        <v>0</v>
      </c>
      <c r="X839" s="17">
        <f>ROUND($B839*X$782,2)</f>
        <v>-0.01</v>
      </c>
      <c r="Y839" s="17">
        <f>ROUND($B839*Y$782,2)</f>
        <v>0</v>
      </c>
      <c r="Z839" s="17">
        <f>ROUND($B839*Z$782,2)</f>
        <v>0</v>
      </c>
      <c r="AA839" s="17">
        <f>ROUND($B839*AA$782,2)</f>
        <v>0</v>
      </c>
      <c r="AB839" s="19">
        <f>SUM(U834:AA834)</f>
        <v>0</v>
      </c>
      <c r="AC839" s="67" t="str">
        <f>+F839</f>
        <v>PH1</v>
      </c>
    </row>
    <row r="840" spans="1:29" x14ac:dyDescent="0.2">
      <c r="A840" s="9"/>
      <c r="B840" s="103">
        <v>-1</v>
      </c>
      <c r="D840" s="8"/>
      <c r="E840" s="9"/>
      <c r="F840" s="36"/>
      <c r="H840" s="12"/>
      <c r="I840" s="19"/>
      <c r="J840" s="12"/>
      <c r="K840" s="43">
        <f>ROUND(C841*K$783,0)</f>
        <v>25000</v>
      </c>
      <c r="L840" s="35">
        <f>+B841-K840</f>
        <v>-25001</v>
      </c>
      <c r="M840" s="12"/>
      <c r="N840" s="12"/>
      <c r="O840" s="12"/>
      <c r="P840" s="17" t="e">
        <f>SUM(J841:M841,R841:AA841)</f>
        <v>#N/A</v>
      </c>
      <c r="Q840" s="17">
        <f t="shared" si="43"/>
        <v>0</v>
      </c>
      <c r="R840" s="38" t="e">
        <f>VLOOKUP((D841),'Pwr Factor'!$A$1:$B$52,2)</f>
        <v>#N/A</v>
      </c>
      <c r="S840" s="50">
        <v>0.25</v>
      </c>
      <c r="T840" s="12"/>
      <c r="U840" s="12"/>
      <c r="V840" s="12"/>
      <c r="W840" s="12"/>
      <c r="X840" s="12"/>
      <c r="Y840" s="12"/>
      <c r="Z840" s="12"/>
      <c r="AA840" s="12"/>
    </row>
    <row r="841" spans="1:29" x14ac:dyDescent="0.2">
      <c r="A841" s="1" t="s">
        <v>140</v>
      </c>
      <c r="B841" s="103">
        <f>IF(AND('AES Indiana Bill Calc.'!$D$17="PH",'AES Indiana Bill Calc.'!$D$18="Yes 25%",'AES Indiana Bill Calc.'!$D$20="Yes 2021"),'AES Indiana Bill Calc.'!$D$19,-1)</f>
        <v>-1</v>
      </c>
      <c r="C841" s="103">
        <f>MAX(E841,$C$783)</f>
        <v>100</v>
      </c>
      <c r="D841" s="103" t="b">
        <f>IF(AND('AES Indiana Bill Calc.'!$D$17="PH",'AES Indiana Bill Calc.'!$D$18="Yes 25%",'AES Indiana Bill Calc.'!$D$20="Yes 2021"),'AES Indiana Bill Calc.'!$D$22)</f>
        <v>0</v>
      </c>
      <c r="E841" s="103" t="b">
        <f>IF(AND('AES Indiana Bill Calc.'!$D$17="PH",'AES Indiana Bill Calc.'!$D$18="Yes 25%",'AES Indiana Bill Calc.'!$D$20="Yes 2021"),'AES Indiana Bill Calc.'!$D$21)</f>
        <v>0</v>
      </c>
      <c r="F841" s="36" t="s">
        <v>219</v>
      </c>
      <c r="G841" s="135" t="e">
        <f>MAX(I841,P840)</f>
        <v>#N/A</v>
      </c>
      <c r="H841" s="19" t="e">
        <f>IF(ISBLANK(B841),0,+#REF!/B841)</f>
        <v>#REF!</v>
      </c>
      <c r="I841" s="115">
        <f>(E841*120*$K$782)+$J$782</f>
        <v>1250</v>
      </c>
      <c r="J841" s="51">
        <f>IF(ISBLANK(B841),0,+J$782)</f>
        <v>1250</v>
      </c>
      <c r="K841" s="16">
        <f>IF($B841&gt;K840,ROUND(K840*K$782,2),ROUND($B841*K$782,2))</f>
        <v>-0.1</v>
      </c>
      <c r="L841" s="17">
        <f>IF($B841&gt;K840,ROUND((B841-K840)*L$782,2),0)</f>
        <v>0</v>
      </c>
      <c r="M841" s="17">
        <f>IF($C841&gt;L$658,ROUND(($C841-L$658)*M$657,2),0)</f>
        <v>0</v>
      </c>
      <c r="N841" s="17">
        <f>SUM(K841:L841)</f>
        <v>-0.1</v>
      </c>
      <c r="O841" s="17"/>
      <c r="P841" s="12"/>
      <c r="Q841" s="17">
        <f t="shared" si="43"/>
        <v>0</v>
      </c>
      <c r="R841" s="16" t="e">
        <f>ROUND(SUM(K841:M841)*(R840-1),2)</f>
        <v>#N/A</v>
      </c>
      <c r="S841" s="17">
        <f>ROUND($B841*S$782*S840,2)</f>
        <v>0</v>
      </c>
      <c r="T841" s="17">
        <f>ROUND($B841*T$782,2)</f>
        <v>0</v>
      </c>
      <c r="U841" s="17">
        <f>ROUND($B841*U$782,2)</f>
        <v>0</v>
      </c>
      <c r="V841" s="17">
        <f>ROUND($B841*V$776,2)</f>
        <v>0</v>
      </c>
      <c r="W841" s="17">
        <f>ROUND($B841*W$782,2)</f>
        <v>0</v>
      </c>
      <c r="X841" s="17">
        <f>ROUND($B841*X$782,2)</f>
        <v>-0.01</v>
      </c>
      <c r="Y841" s="17">
        <f>ROUND($B841*Y$782,2)</f>
        <v>0</v>
      </c>
      <c r="Z841" s="17">
        <f>ROUND($B841*Z$782,2)</f>
        <v>0</v>
      </c>
      <c r="AA841" s="17">
        <f>ROUND($B841*AA$782,2)</f>
        <v>0</v>
      </c>
      <c r="AB841" s="19">
        <f>SUM(U836:AA836)</f>
        <v>0</v>
      </c>
      <c r="AC841" s="67" t="str">
        <f>+F841</f>
        <v>PH1</v>
      </c>
    </row>
    <row r="842" spans="1:29" x14ac:dyDescent="0.2">
      <c r="A842" s="9"/>
      <c r="B842" s="103">
        <v>-1</v>
      </c>
      <c r="D842" s="8"/>
      <c r="E842" s="9"/>
      <c r="F842" s="36"/>
      <c r="H842" s="12"/>
      <c r="I842" s="19"/>
      <c r="J842" s="12"/>
      <c r="K842" s="43">
        <f>ROUND(C843*K$783,0)</f>
        <v>25000</v>
      </c>
      <c r="L842" s="35">
        <f>+B843-K842</f>
        <v>-25001</v>
      </c>
      <c r="M842" s="12"/>
      <c r="N842" s="12"/>
      <c r="O842" s="12"/>
      <c r="P842" s="17" t="e">
        <f>SUM(J843:M843,R843:AA843)</f>
        <v>#N/A</v>
      </c>
      <c r="Q842" s="17">
        <f t="shared" si="43"/>
        <v>0</v>
      </c>
      <c r="R842" s="38" t="e">
        <f>VLOOKUP((D843),'Pwr Factor'!$A$1:$B$52,2)</f>
        <v>#N/A</v>
      </c>
      <c r="S842" s="50">
        <v>0.1</v>
      </c>
      <c r="T842" s="12"/>
      <c r="U842" s="12"/>
      <c r="V842" s="12"/>
      <c r="W842" s="12"/>
      <c r="X842" s="12"/>
      <c r="Y842" s="12"/>
      <c r="Z842" s="12"/>
      <c r="AA842" s="12"/>
    </row>
    <row r="843" spans="1:29" x14ac:dyDescent="0.2">
      <c r="A843" s="1" t="s">
        <v>154</v>
      </c>
      <c r="B843" s="103">
        <f>IF(AND('AES Indiana Bill Calc.'!$D$17="PH",'AES Indiana Bill Calc.'!$D$18="Yes 10%",'AES Indiana Bill Calc.'!$D$20="Yes 2021"),'AES Indiana Bill Calc.'!$D$19,-1)</f>
        <v>-1</v>
      </c>
      <c r="C843" s="103">
        <f>MAX(E843,$C$783)</f>
        <v>100</v>
      </c>
      <c r="D843" s="103" t="b">
        <f>IF(AND('AES Indiana Bill Calc.'!$D$17="PH",'AES Indiana Bill Calc.'!$D$18="Yes 10%",'AES Indiana Bill Calc.'!$D$20="Yes 2021"),'AES Indiana Bill Calc.'!$D$22)</f>
        <v>0</v>
      </c>
      <c r="E843" s="103" t="b">
        <f>IF(AND('AES Indiana Bill Calc.'!$D$17="PH",'AES Indiana Bill Calc.'!$D$18="Yes 10%",'AES Indiana Bill Calc.'!$D$20="Yes 2021"),'AES Indiana Bill Calc.'!$D$21)</f>
        <v>0</v>
      </c>
      <c r="F843" s="36" t="s">
        <v>219</v>
      </c>
      <c r="G843" s="135" t="e">
        <f>MAX(I843,P842)</f>
        <v>#N/A</v>
      </c>
      <c r="H843" s="19" t="e">
        <f>IF(ISBLANK(B843),0,+#REF!/B843)</f>
        <v>#REF!</v>
      </c>
      <c r="I843" s="115">
        <f>(E843*120*$K$782)+$J$782</f>
        <v>1250</v>
      </c>
      <c r="J843" s="51">
        <f>IF(ISBLANK(B843),0,+J$782)</f>
        <v>1250</v>
      </c>
      <c r="K843" s="16">
        <f>IF($B843&gt;K842,ROUND(K842*K$782,2),ROUND($B843*K$782,2))</f>
        <v>-0.1</v>
      </c>
      <c r="L843" s="17">
        <f>IF($B843&gt;K842,ROUND((B843-K842)*L$782,2),0)</f>
        <v>0</v>
      </c>
      <c r="M843" s="17">
        <f>IF($C843&gt;L$658,ROUND(($C843-L$658)*M$657,2),0)</f>
        <v>0</v>
      </c>
      <c r="N843" s="17">
        <f>SUM(K843:L843)</f>
        <v>-0.1</v>
      </c>
      <c r="O843" s="17"/>
      <c r="P843" s="12"/>
      <c r="Q843" s="17">
        <f t="shared" si="43"/>
        <v>0</v>
      </c>
      <c r="R843" s="16" t="e">
        <f>ROUND(SUM(K843:M843)*(R842-1),2)</f>
        <v>#N/A</v>
      </c>
      <c r="S843" s="17">
        <f>ROUND($B843*S$782*S842,2)</f>
        <v>0</v>
      </c>
      <c r="T843" s="17">
        <f>ROUND($B843*T$782,2)</f>
        <v>0</v>
      </c>
      <c r="U843" s="17">
        <f>ROUND($B843*U$782,2)</f>
        <v>0</v>
      </c>
      <c r="V843" s="17">
        <f>ROUND($B843*V$776,2)</f>
        <v>0</v>
      </c>
      <c r="W843" s="17">
        <f>ROUND($B843*W$782,2)</f>
        <v>0</v>
      </c>
      <c r="X843" s="17">
        <f>ROUND($B843*X$782,2)</f>
        <v>-0.01</v>
      </c>
      <c r="Y843" s="17">
        <f>ROUND($B843*Y$782,2)</f>
        <v>0</v>
      </c>
      <c r="Z843" s="17">
        <f>ROUND($B843*Z$782,2)</f>
        <v>0</v>
      </c>
      <c r="AA843" s="17">
        <f>ROUND($B843*AA$782,2)</f>
        <v>0</v>
      </c>
      <c r="AB843" s="19">
        <f>SUM(U838:AA838)</f>
        <v>0</v>
      </c>
      <c r="AC843" s="67" t="str">
        <f>+F843</f>
        <v>PH1</v>
      </c>
    </row>
    <row r="844" spans="1:29" x14ac:dyDescent="0.2">
      <c r="A844" s="9"/>
      <c r="B844" s="103">
        <v>-1</v>
      </c>
      <c r="D844" s="8"/>
      <c r="E844" s="9"/>
      <c r="F844" s="36"/>
      <c r="H844" s="12"/>
      <c r="I844" s="19"/>
      <c r="J844" s="12"/>
      <c r="K844" s="43">
        <f>ROUND(C845*K$783,0)</f>
        <v>25000</v>
      </c>
      <c r="L844" s="35">
        <f>+B845-K844</f>
        <v>-25001</v>
      </c>
      <c r="M844" s="12"/>
      <c r="N844" s="12"/>
      <c r="O844" s="12"/>
      <c r="P844" s="17" t="e">
        <f>SUM(J845:M845,R845:AA845)</f>
        <v>#N/A</v>
      </c>
      <c r="Q844" s="17">
        <f t="shared" si="43"/>
        <v>0</v>
      </c>
      <c r="R844" s="38" t="e">
        <f>VLOOKUP((D845),'Pwr Factor'!$A$1:$B$52,2)</f>
        <v>#N/A</v>
      </c>
      <c r="S844" s="50">
        <v>0</v>
      </c>
      <c r="T844" s="12"/>
      <c r="U844" s="12"/>
      <c r="V844" s="12"/>
      <c r="W844" s="12"/>
      <c r="X844" s="12"/>
      <c r="Y844" s="12"/>
      <c r="Z844" s="12"/>
      <c r="AA844" s="12"/>
    </row>
    <row r="845" spans="1:29" x14ac:dyDescent="0.2">
      <c r="A845" s="1" t="s">
        <v>137</v>
      </c>
      <c r="B845" s="103">
        <f>IF(AND('AES Indiana Bill Calc.'!$D$17="PH",'AES Indiana Bill Calc.'!$D$18="No",'AES Indiana Bill Calc.'!$D$20="Yes 2021"),'AES Indiana Bill Calc.'!$D$19,-1)</f>
        <v>-1</v>
      </c>
      <c r="C845" s="103">
        <f>MAX(E845,$C$783)</f>
        <v>100</v>
      </c>
      <c r="D845" s="103" t="b">
        <f>IF(AND('AES Indiana Bill Calc.'!$D$17="PH",'AES Indiana Bill Calc.'!$D$18="No",'AES Indiana Bill Calc.'!$D$20="Yes 2021"),'AES Indiana Bill Calc.'!$D$22)</f>
        <v>0</v>
      </c>
      <c r="E845" s="103" t="b">
        <f>IF(AND('AES Indiana Bill Calc.'!$D$17="PH",'AES Indiana Bill Calc.'!$D$18="No",'AES Indiana Bill Calc.'!$D$20="Yes 2021"),'AES Indiana Bill Calc.'!$D$21)</f>
        <v>0</v>
      </c>
      <c r="F845" s="36" t="s">
        <v>219</v>
      </c>
      <c r="G845" s="135" t="e">
        <f>MAX(I845,P844)</f>
        <v>#N/A</v>
      </c>
      <c r="H845" s="19" t="e">
        <f>IF(ISBLANK(B845),0,+#REF!/B845)</f>
        <v>#REF!</v>
      </c>
      <c r="I845" s="115">
        <f>(E845*120*$K$782)+$J$782</f>
        <v>1250</v>
      </c>
      <c r="J845" s="51">
        <f>IF(ISBLANK(B845),0,+J$782)</f>
        <v>1250</v>
      </c>
      <c r="K845" s="16">
        <f>IF($B845&gt;K844,ROUND(K844*K$782,2),ROUND($B845*K$782,2))</f>
        <v>-0.1</v>
      </c>
      <c r="L845" s="17">
        <f>IF($B845&gt;K844,ROUND((B845-K844)*L$782,2),0)</f>
        <v>0</v>
      </c>
      <c r="M845" s="17">
        <f>IF($C845&gt;L$658,ROUND(($C845-L$658)*M$657,2),0)</f>
        <v>0</v>
      </c>
      <c r="N845" s="17">
        <f>SUM(K845:L845)</f>
        <v>-0.1</v>
      </c>
      <c r="O845" s="17"/>
      <c r="P845" s="12"/>
      <c r="Q845" s="17">
        <f t="shared" si="43"/>
        <v>0</v>
      </c>
      <c r="R845" s="16" t="e">
        <f>ROUND(SUM(K845:M845)*(R844-1),2)</f>
        <v>#N/A</v>
      </c>
      <c r="S845" s="17">
        <f>ROUND($B845*S$782*S844,2)</f>
        <v>0</v>
      </c>
      <c r="T845" s="17">
        <f>ROUND($B845*T$782,2)</f>
        <v>0</v>
      </c>
      <c r="U845" s="17">
        <f>ROUND($B845*U$782,2)</f>
        <v>0</v>
      </c>
      <c r="V845" s="17">
        <f>ROUND($B845*V$776,2)</f>
        <v>0</v>
      </c>
      <c r="W845" s="17">
        <f>ROUND($B845*W$782,2)</f>
        <v>0</v>
      </c>
      <c r="X845" s="17">
        <f>ROUND($B845*X$782,2)</f>
        <v>-0.01</v>
      </c>
      <c r="Y845" s="17">
        <f>ROUND($B845*Y$782,2)</f>
        <v>0</v>
      </c>
      <c r="Z845" s="17">
        <f>ROUND($B845*Z$782,2)</f>
        <v>0</v>
      </c>
      <c r="AA845" s="17">
        <f>ROUND($B845*AA$782,2)</f>
        <v>0</v>
      </c>
      <c r="AB845" s="19">
        <f>SUM(U840:AA840)</f>
        <v>0</v>
      </c>
      <c r="AC845" s="67" t="str">
        <f>+F845</f>
        <v>PH1</v>
      </c>
    </row>
    <row r="846" spans="1:29" x14ac:dyDescent="0.2">
      <c r="A846" s="9"/>
      <c r="B846" s="103">
        <v>-1</v>
      </c>
      <c r="D846" s="8"/>
      <c r="E846" s="9"/>
      <c r="F846" s="36"/>
      <c r="H846" s="12"/>
      <c r="I846" s="19"/>
      <c r="J846" s="12"/>
      <c r="K846" s="43">
        <f>ROUND(C847*K$783,0)</f>
        <v>25000</v>
      </c>
      <c r="L846" s="35">
        <f>+B847-K846</f>
        <v>-25001</v>
      </c>
      <c r="M846" s="12"/>
      <c r="N846" s="12"/>
      <c r="O846" s="12"/>
      <c r="P846" s="17" t="e">
        <f>SUM(J847:M847,R847:AA847)</f>
        <v>#N/A</v>
      </c>
      <c r="Q846" s="17">
        <f t="shared" si="43"/>
        <v>0</v>
      </c>
      <c r="R846" s="38" t="e">
        <f>VLOOKUP((D847),'Pwr Factor'!$A$1:$B$52,2)</f>
        <v>#N/A</v>
      </c>
      <c r="S846" s="50">
        <v>1</v>
      </c>
      <c r="T846" s="12"/>
      <c r="U846" s="12"/>
      <c r="V846" s="12"/>
      <c r="W846" s="12"/>
      <c r="X846" s="12"/>
      <c r="Y846" s="12"/>
      <c r="Z846" s="12"/>
      <c r="AA846" s="12"/>
    </row>
    <row r="847" spans="1:29" x14ac:dyDescent="0.2">
      <c r="A847" s="1" t="s">
        <v>138</v>
      </c>
      <c r="B847" s="103">
        <f>IF(AND('AES Indiana Bill Calc.'!$D$17="PH",'AES Indiana Bill Calc.'!$D$18="Yes 100%",'AES Indiana Bill Calc.'!$D$20="Yes 2022"),'AES Indiana Bill Calc.'!$D$19,-1)</f>
        <v>-1</v>
      </c>
      <c r="C847" s="103">
        <f>MAX(E847,$C$783)</f>
        <v>100</v>
      </c>
      <c r="D847" s="103" t="b">
        <f>IF(AND('AES Indiana Bill Calc.'!$D$17="PH",'AES Indiana Bill Calc.'!$D$18="Yes 100%",'AES Indiana Bill Calc.'!$D$20="Yes 2022"),'AES Indiana Bill Calc.'!$D$22)</f>
        <v>0</v>
      </c>
      <c r="E847" s="103" t="b">
        <f>IF(AND('AES Indiana Bill Calc.'!$D$17="PH",'AES Indiana Bill Calc.'!$D$18="Yes 100%",'AES Indiana Bill Calc.'!$D$20="Yes 2022"),'AES Indiana Bill Calc.'!$D$21)</f>
        <v>0</v>
      </c>
      <c r="F847" s="36" t="s">
        <v>220</v>
      </c>
      <c r="G847" s="135" t="e">
        <f>MAX(I847,P846)</f>
        <v>#N/A</v>
      </c>
      <c r="H847" s="19" t="e">
        <f>IF(ISBLANK(B847),0,+#REF!/B847)</f>
        <v>#REF!</v>
      </c>
      <c r="I847" s="115">
        <f>(E847*120*$K$782)+$J$782</f>
        <v>1250</v>
      </c>
      <c r="J847" s="51">
        <f>IF(ISBLANK(B847),0,+J$782)</f>
        <v>1250</v>
      </c>
      <c r="K847" s="16">
        <f>IF($B847&gt;K846,ROUND(K846*K$782,2),ROUND($B847*K$782,2))</f>
        <v>-0.1</v>
      </c>
      <c r="L847" s="17">
        <f>IF($B847&gt;K846,ROUND((B847-K846)*L$782,2),0)</f>
        <v>0</v>
      </c>
      <c r="M847" s="17">
        <f>IF($C847&gt;L$658,ROUND(($C847-L$658)*M$657,2),0)</f>
        <v>0</v>
      </c>
      <c r="N847" s="17">
        <f>SUM(K847:L847)</f>
        <v>-0.1</v>
      </c>
      <c r="O847" s="17"/>
      <c r="P847" s="12"/>
      <c r="Q847" s="17">
        <f t="shared" si="43"/>
        <v>0</v>
      </c>
      <c r="R847" s="16" t="e">
        <f>ROUND(SUM(K847:M847)*(R846-1),2)</f>
        <v>#N/A</v>
      </c>
      <c r="S847" s="17">
        <f>ROUND($B847*S$782*S846,2)</f>
        <v>0</v>
      </c>
      <c r="T847" s="17">
        <f>ROUND($B847*T$782,2)</f>
        <v>0</v>
      </c>
      <c r="U847" s="17">
        <f>ROUND($B847*U$782,2)</f>
        <v>0</v>
      </c>
      <c r="V847" s="17">
        <f>ROUND($B847*V$777,2)</f>
        <v>0</v>
      </c>
      <c r="W847" s="17">
        <f>ROUND($B847*W$782,2)</f>
        <v>0</v>
      </c>
      <c r="X847" s="17">
        <f>ROUND($B847*X$782,2)</f>
        <v>-0.01</v>
      </c>
      <c r="Y847" s="17">
        <f>ROUND($B847*Y$782,2)</f>
        <v>0</v>
      </c>
      <c r="Z847" s="17">
        <f>ROUND($B847*Z$782,2)</f>
        <v>0</v>
      </c>
      <c r="AA847" s="17">
        <f>ROUND($B847*AA$782,2)</f>
        <v>0</v>
      </c>
      <c r="AB847" s="19">
        <f>SUM(U842:AA842)</f>
        <v>0</v>
      </c>
      <c r="AC847" s="67" t="str">
        <f>+F847</f>
        <v>PH2</v>
      </c>
    </row>
    <row r="848" spans="1:29" x14ac:dyDescent="0.2">
      <c r="A848" s="9"/>
      <c r="B848" s="103">
        <v>-1</v>
      </c>
      <c r="D848" s="8"/>
      <c r="E848" s="9"/>
      <c r="F848" s="36"/>
      <c r="H848" s="12"/>
      <c r="I848" s="19"/>
      <c r="J848" s="12"/>
      <c r="K848" s="43">
        <f>ROUND(C849*K$783,0)</f>
        <v>25000</v>
      </c>
      <c r="L848" s="35">
        <f>+B849-K848</f>
        <v>-25001</v>
      </c>
      <c r="M848" s="12"/>
      <c r="N848" s="12"/>
      <c r="O848" s="12"/>
      <c r="P848" s="17" t="e">
        <f>SUM(J849:M849,R849:AA849)</f>
        <v>#N/A</v>
      </c>
      <c r="Q848" s="17">
        <f t="shared" si="43"/>
        <v>0</v>
      </c>
      <c r="R848" s="38" t="e">
        <f>VLOOKUP((D849),'Pwr Factor'!$A$1:$B$52,2)</f>
        <v>#N/A</v>
      </c>
      <c r="S848" s="50">
        <v>0.5</v>
      </c>
      <c r="T848" s="12"/>
      <c r="U848" s="12"/>
      <c r="V848" s="12"/>
      <c r="W848" s="12"/>
      <c r="X848" s="12"/>
      <c r="Y848" s="12"/>
      <c r="Z848" s="12"/>
      <c r="AA848" s="12"/>
    </row>
    <row r="849" spans="1:29" x14ac:dyDescent="0.2">
      <c r="A849" s="1" t="s">
        <v>139</v>
      </c>
      <c r="B849" s="103">
        <f>IF(AND('AES Indiana Bill Calc.'!$D$17="PH",'AES Indiana Bill Calc.'!$D$18="Yes 50%",'AES Indiana Bill Calc.'!$D$20="Yes 2022"),'AES Indiana Bill Calc.'!$D$19,-1)</f>
        <v>-1</v>
      </c>
      <c r="C849" s="103">
        <f>MAX(E849,$C$783)</f>
        <v>100</v>
      </c>
      <c r="D849" s="103" t="b">
        <f>IF(AND('AES Indiana Bill Calc.'!$D$17="PH",'AES Indiana Bill Calc.'!$D$18="Yes 50%",'AES Indiana Bill Calc.'!$D$20="Yes 2022"),'AES Indiana Bill Calc.'!$D$22)</f>
        <v>0</v>
      </c>
      <c r="E849" s="103" t="b">
        <f>IF(AND('AES Indiana Bill Calc.'!$D$17="PH",'AES Indiana Bill Calc.'!$D$18="Yes 50%",'AES Indiana Bill Calc.'!$D$20="Yes 2022"),'AES Indiana Bill Calc.'!$D$21)</f>
        <v>0</v>
      </c>
      <c r="F849" s="36" t="s">
        <v>220</v>
      </c>
      <c r="G849" s="135" t="e">
        <f>MAX(I849,P848)</f>
        <v>#N/A</v>
      </c>
      <c r="H849" s="19" t="e">
        <f>IF(ISBLANK(B849),0,+#REF!/B849)</f>
        <v>#REF!</v>
      </c>
      <c r="I849" s="115">
        <f>(E849*120*$K$782)+$J$782</f>
        <v>1250</v>
      </c>
      <c r="J849" s="51">
        <f>IF(ISBLANK(B849),0,+J$782)</f>
        <v>1250</v>
      </c>
      <c r="K849" s="16">
        <f>IF($B849&gt;K848,ROUND(K848*K$782,2),ROUND($B849*K$782,2))</f>
        <v>-0.1</v>
      </c>
      <c r="L849" s="17">
        <f>IF($B849&gt;K848,ROUND((B849-K848)*L$782,2),0)</f>
        <v>0</v>
      </c>
      <c r="M849" s="17">
        <f>IF($C849&gt;L$658,ROUND(($C849-L$658)*M$657,2),0)</f>
        <v>0</v>
      </c>
      <c r="N849" s="17">
        <f>SUM(K849:L849)</f>
        <v>-0.1</v>
      </c>
      <c r="O849" s="17"/>
      <c r="P849" s="12"/>
      <c r="Q849" s="17">
        <f t="shared" si="43"/>
        <v>0</v>
      </c>
      <c r="R849" s="16" t="e">
        <f>ROUND(SUM(K849:M849)*(R848-1),2)</f>
        <v>#N/A</v>
      </c>
      <c r="S849" s="17">
        <f>ROUND($B849*S$782*S848,2)</f>
        <v>0</v>
      </c>
      <c r="T849" s="17">
        <f>ROUND($B849*T$782,2)</f>
        <v>0</v>
      </c>
      <c r="U849" s="17">
        <f>ROUND($B849*U$782,2)</f>
        <v>0</v>
      </c>
      <c r="V849" s="17">
        <f>ROUND($B849*V$777,2)</f>
        <v>0</v>
      </c>
      <c r="W849" s="17">
        <f>ROUND($B849*W$782,2)</f>
        <v>0</v>
      </c>
      <c r="X849" s="17">
        <f>ROUND($B849*X$782,2)</f>
        <v>-0.01</v>
      </c>
      <c r="Y849" s="17">
        <f>ROUND($B849*Y$782,2)</f>
        <v>0</v>
      </c>
      <c r="Z849" s="17">
        <f>ROUND($B849*Z$782,2)</f>
        <v>0</v>
      </c>
      <c r="AA849" s="17">
        <f>ROUND($B849*AA$782,2)</f>
        <v>0</v>
      </c>
      <c r="AB849" s="19">
        <f>SUM(U844:AA844)</f>
        <v>0</v>
      </c>
      <c r="AC849" s="67" t="str">
        <f>+F849</f>
        <v>PH2</v>
      </c>
    </row>
    <row r="850" spans="1:29" x14ac:dyDescent="0.2">
      <c r="A850" s="9"/>
      <c r="B850" s="103">
        <v>-1</v>
      </c>
      <c r="D850" s="8"/>
      <c r="E850" s="9"/>
      <c r="F850" s="36"/>
      <c r="H850" s="12"/>
      <c r="I850" s="19"/>
      <c r="J850" s="12"/>
      <c r="K850" s="43">
        <f>ROUND(C851*K$783,0)</f>
        <v>25000</v>
      </c>
      <c r="L850" s="35">
        <f>+B851-K850</f>
        <v>-25001</v>
      </c>
      <c r="M850" s="12"/>
      <c r="N850" s="12"/>
      <c r="O850" s="12"/>
      <c r="P850" s="17" t="e">
        <f>SUM(J851:M851,R851:AA851)</f>
        <v>#N/A</v>
      </c>
      <c r="Q850" s="17">
        <f t="shared" si="43"/>
        <v>0</v>
      </c>
      <c r="R850" s="38" t="e">
        <f>VLOOKUP((D851),'Pwr Factor'!$A$1:$B$52,2)</f>
        <v>#N/A</v>
      </c>
      <c r="S850" s="50">
        <v>0.25</v>
      </c>
      <c r="T850" s="12"/>
      <c r="U850" s="12"/>
      <c r="V850" s="12"/>
      <c r="W850" s="12"/>
      <c r="X850" s="12"/>
      <c r="Y850" s="12"/>
      <c r="Z850" s="12"/>
      <c r="AA850" s="12"/>
    </row>
    <row r="851" spans="1:29" x14ac:dyDescent="0.2">
      <c r="A851" s="1" t="s">
        <v>140</v>
      </c>
      <c r="B851" s="103">
        <f>IF(AND('AES Indiana Bill Calc.'!$D$17="PH",'AES Indiana Bill Calc.'!$D$18="Yes 25%",'AES Indiana Bill Calc.'!$D$20="Yes 2022"),'AES Indiana Bill Calc.'!$D$19,-1)</f>
        <v>-1</v>
      </c>
      <c r="C851" s="103">
        <f>MAX(E851,$C$783)</f>
        <v>100</v>
      </c>
      <c r="D851" s="103" t="b">
        <f>IF(AND('AES Indiana Bill Calc.'!$D$17="PH",'AES Indiana Bill Calc.'!$D$18="Yes 25%",'AES Indiana Bill Calc.'!$D$20="Yes 2022"),'AES Indiana Bill Calc.'!$D$22)</f>
        <v>0</v>
      </c>
      <c r="E851" s="103" t="b">
        <f>IF(AND('AES Indiana Bill Calc.'!$D$17="PH",'AES Indiana Bill Calc.'!$D$18="Yes 25%",'AES Indiana Bill Calc.'!$D$20="Yes 2022"),'AES Indiana Bill Calc.'!$D$21)</f>
        <v>0</v>
      </c>
      <c r="F851" s="36" t="s">
        <v>220</v>
      </c>
      <c r="G851" s="135" t="e">
        <f>MAX(I851,P850)</f>
        <v>#N/A</v>
      </c>
      <c r="H851" s="19" t="e">
        <f>IF(ISBLANK(B851),0,+#REF!/B851)</f>
        <v>#REF!</v>
      </c>
      <c r="I851" s="115">
        <f>(E851*120*$K$782)+$J$782</f>
        <v>1250</v>
      </c>
      <c r="J851" s="51">
        <f>IF(ISBLANK(B851),0,+J$782)</f>
        <v>1250</v>
      </c>
      <c r="K851" s="16">
        <f>IF($B851&gt;K850,ROUND(K850*K$782,2),ROUND($B851*K$782,2))</f>
        <v>-0.1</v>
      </c>
      <c r="L851" s="17">
        <f>IF($B851&gt;K850,ROUND((B851-K850)*L$782,2),0)</f>
        <v>0</v>
      </c>
      <c r="M851" s="17">
        <f>IF($C851&gt;L$658,ROUND(($C851-L$658)*M$657,2),0)</f>
        <v>0</v>
      </c>
      <c r="N851" s="17">
        <f>SUM(K851:L851)</f>
        <v>-0.1</v>
      </c>
      <c r="O851" s="17"/>
      <c r="P851" s="12"/>
      <c r="Q851" s="17">
        <f t="shared" si="43"/>
        <v>0</v>
      </c>
      <c r="R851" s="16" t="e">
        <f>ROUND(SUM(K851:M851)*(R850-1),2)</f>
        <v>#N/A</v>
      </c>
      <c r="S851" s="17">
        <f>ROUND($B851*S$782*S850,2)</f>
        <v>0</v>
      </c>
      <c r="T851" s="17">
        <f>ROUND($B851*T$782,2)</f>
        <v>0</v>
      </c>
      <c r="U851" s="17">
        <f>ROUND($B851*U$782,2)</f>
        <v>0</v>
      </c>
      <c r="V851" s="17">
        <f>ROUND($B851*V$777,2)</f>
        <v>0</v>
      </c>
      <c r="W851" s="17">
        <f>ROUND($B851*W$782,2)</f>
        <v>0</v>
      </c>
      <c r="X851" s="17">
        <f>ROUND($B851*X$782,2)</f>
        <v>-0.01</v>
      </c>
      <c r="Y851" s="17">
        <f>ROUND($B851*Y$782,2)</f>
        <v>0</v>
      </c>
      <c r="Z851" s="17">
        <f>ROUND($B851*Z$782,2)</f>
        <v>0</v>
      </c>
      <c r="AA851" s="17">
        <f>ROUND($B851*AA$782,2)</f>
        <v>0</v>
      </c>
      <c r="AB851" s="19">
        <f>SUM(U846:AA846)</f>
        <v>0</v>
      </c>
      <c r="AC851" s="67" t="str">
        <f>+F851</f>
        <v>PH2</v>
      </c>
    </row>
    <row r="852" spans="1:29" x14ac:dyDescent="0.2">
      <c r="A852" s="9"/>
      <c r="B852" s="103">
        <v>-1</v>
      </c>
      <c r="D852" s="8"/>
      <c r="E852" s="9"/>
      <c r="F852" s="36"/>
      <c r="H852" s="12"/>
      <c r="I852" s="19"/>
      <c r="J852" s="12"/>
      <c r="K852" s="43">
        <f>ROUND(C853*K$783,0)</f>
        <v>25000</v>
      </c>
      <c r="L852" s="35">
        <f>+B853-K852</f>
        <v>-25001</v>
      </c>
      <c r="M852" s="12"/>
      <c r="N852" s="12"/>
      <c r="O852" s="12"/>
      <c r="P852" s="17" t="e">
        <f>SUM(J853:M853,R853:AA853)</f>
        <v>#N/A</v>
      </c>
      <c r="Q852" s="17">
        <f>M852</f>
        <v>0</v>
      </c>
      <c r="R852" s="38" t="e">
        <f>VLOOKUP((D853),'Pwr Factor'!$A$1:$B$52,2)</f>
        <v>#N/A</v>
      </c>
      <c r="S852" s="50">
        <v>0.1</v>
      </c>
      <c r="T852" s="12"/>
      <c r="U852" s="12"/>
      <c r="V852" s="12"/>
      <c r="W852" s="12"/>
      <c r="X852" s="12"/>
      <c r="Y852" s="12"/>
      <c r="Z852" s="12"/>
      <c r="AA852" s="12"/>
    </row>
    <row r="853" spans="1:29" x14ac:dyDescent="0.2">
      <c r="A853" s="1" t="s">
        <v>154</v>
      </c>
      <c r="B853" s="103">
        <f>IF(AND('AES Indiana Bill Calc.'!$D$17="PH",'AES Indiana Bill Calc.'!$D$18="Yes 10%",'AES Indiana Bill Calc.'!$D$20="Yes 2022"),'AES Indiana Bill Calc.'!$D$19,-1)</f>
        <v>-1</v>
      </c>
      <c r="C853" s="103">
        <f>MAX(E853,$C$783)</f>
        <v>100</v>
      </c>
      <c r="D853" s="103" t="b">
        <f>IF(AND('AES Indiana Bill Calc.'!$D$17="PH",'AES Indiana Bill Calc.'!$D$18="Yes 10%",'AES Indiana Bill Calc.'!$D$20="Yes 2022"),'AES Indiana Bill Calc.'!$D$22)</f>
        <v>0</v>
      </c>
      <c r="E853" s="103" t="b">
        <f>IF(AND('AES Indiana Bill Calc.'!$D$17="PH",'AES Indiana Bill Calc.'!$D$18="Yes 10%",'AES Indiana Bill Calc.'!$D$20="Yes 2022"),'AES Indiana Bill Calc.'!$D$21)</f>
        <v>0</v>
      </c>
      <c r="F853" s="36" t="s">
        <v>220</v>
      </c>
      <c r="G853" s="135" t="e">
        <f>MAX(I853,P852)</f>
        <v>#N/A</v>
      </c>
      <c r="H853" s="19" t="e">
        <f>IF(ISBLANK(B853),0,+#REF!/B853)</f>
        <v>#REF!</v>
      </c>
      <c r="I853" s="115">
        <f>(E853*120*$K$782)+$J$782</f>
        <v>1250</v>
      </c>
      <c r="J853" s="51">
        <f>IF(ISBLANK(B853),0,+J$782)</f>
        <v>1250</v>
      </c>
      <c r="K853" s="16">
        <f>IF($B853&gt;K852,ROUND(K852*K$782,2),ROUND($B853*K$782,2))</f>
        <v>-0.1</v>
      </c>
      <c r="L853" s="17">
        <f>IF($B853&gt;K852,ROUND((B853-K852)*L$782,2),0)</f>
        <v>0</v>
      </c>
      <c r="M853" s="17">
        <f>IF($C853&gt;L$658,ROUND(($C853-L$658)*M$657,2),0)</f>
        <v>0</v>
      </c>
      <c r="N853" s="17">
        <f>SUM(K853:L853)</f>
        <v>-0.1</v>
      </c>
      <c r="O853" s="17"/>
      <c r="P853" s="12"/>
      <c r="Q853" s="17">
        <f>M853</f>
        <v>0</v>
      </c>
      <c r="R853" s="16" t="e">
        <f>ROUND(SUM(K853:M853)*(R852-1),2)</f>
        <v>#N/A</v>
      </c>
      <c r="S853" s="17">
        <f>ROUND($B853*S$782*S852,2)</f>
        <v>0</v>
      </c>
      <c r="T853" s="17">
        <f>ROUND($B853*T$782,2)</f>
        <v>0</v>
      </c>
      <c r="U853" s="17">
        <f>ROUND($B853*U$782,2)</f>
        <v>0</v>
      </c>
      <c r="V853" s="17">
        <f>ROUND($B853*V$777,2)</f>
        <v>0</v>
      </c>
      <c r="W853" s="17">
        <f>ROUND($B853*W$782,2)</f>
        <v>0</v>
      </c>
      <c r="X853" s="17">
        <f>ROUND($B853*X$782,2)</f>
        <v>-0.01</v>
      </c>
      <c r="Y853" s="17">
        <f>ROUND($B853*Y$782,2)</f>
        <v>0</v>
      </c>
      <c r="Z853" s="17">
        <f>ROUND($B853*Z$782,2)</f>
        <v>0</v>
      </c>
      <c r="AA853" s="17">
        <f>ROUND($B853*AA$782,2)</f>
        <v>0</v>
      </c>
      <c r="AB853" s="19">
        <f>SUM(U848:AA848)</f>
        <v>0</v>
      </c>
      <c r="AC853" s="67" t="str">
        <f>+F853</f>
        <v>PH2</v>
      </c>
    </row>
    <row r="854" spans="1:29" x14ac:dyDescent="0.2">
      <c r="A854" s="9"/>
      <c r="B854" s="103">
        <v>-1</v>
      </c>
      <c r="D854" s="8"/>
      <c r="E854" s="9"/>
      <c r="F854" s="36"/>
      <c r="H854" s="12"/>
      <c r="I854" s="19"/>
      <c r="J854" s="12"/>
      <c r="K854" s="43">
        <f>ROUND(C855*K$783,0)</f>
        <v>25000</v>
      </c>
      <c r="L854" s="35">
        <f>+B855-K854</f>
        <v>-25001</v>
      </c>
      <c r="M854" s="12"/>
      <c r="N854" s="12"/>
      <c r="O854" s="12"/>
      <c r="P854" s="17" t="e">
        <f>SUM(J855:M855,R855:AA855)</f>
        <v>#N/A</v>
      </c>
      <c r="Q854" s="17">
        <f>M854</f>
        <v>0</v>
      </c>
      <c r="R854" s="38" t="e">
        <f>VLOOKUP((D855),'Pwr Factor'!$A$1:$B$52,2)</f>
        <v>#N/A</v>
      </c>
      <c r="S854" s="50">
        <v>0</v>
      </c>
      <c r="T854" s="12"/>
      <c r="U854" s="12"/>
      <c r="V854" s="12"/>
      <c r="W854" s="12"/>
      <c r="X854" s="12"/>
      <c r="Y854" s="12"/>
      <c r="Z854" s="12"/>
      <c r="AA854" s="12"/>
    </row>
    <row r="855" spans="1:29" x14ac:dyDescent="0.2">
      <c r="A855" s="1" t="s">
        <v>137</v>
      </c>
      <c r="B855" s="103">
        <f>IF(AND('AES Indiana Bill Calc.'!$D$17="PH",'AES Indiana Bill Calc.'!$D$18="No",'AES Indiana Bill Calc.'!$D$20="Yes 2022"),'AES Indiana Bill Calc.'!$D$19,-1)</f>
        <v>-1</v>
      </c>
      <c r="C855" s="103">
        <f>MAX(E855,$C$783)</f>
        <v>100</v>
      </c>
      <c r="D855" s="103" t="b">
        <f>IF(AND('AES Indiana Bill Calc.'!$D$17="PH",'AES Indiana Bill Calc.'!$D$18="No",'AES Indiana Bill Calc.'!$D$20="Yes 2022"),'AES Indiana Bill Calc.'!$D$22)</f>
        <v>0</v>
      </c>
      <c r="E855" s="103" t="b">
        <f>IF(AND('AES Indiana Bill Calc.'!$D$17="PH",'AES Indiana Bill Calc.'!$D$18="No",'AES Indiana Bill Calc.'!$D$20="Yes 2022"),'AES Indiana Bill Calc.'!$D$21)</f>
        <v>0</v>
      </c>
      <c r="F855" s="36" t="s">
        <v>220</v>
      </c>
      <c r="G855" s="135" t="e">
        <f>MAX(I855,P854)</f>
        <v>#N/A</v>
      </c>
      <c r="H855" s="19" t="e">
        <f>IF(ISBLANK(B855),0,+#REF!/B855)</f>
        <v>#REF!</v>
      </c>
      <c r="I855" s="115">
        <f>(E855*120*$K$782)+$J$782</f>
        <v>1250</v>
      </c>
      <c r="J855" s="51">
        <f>IF(ISBLANK(B855),0,+J$782)</f>
        <v>1250</v>
      </c>
      <c r="K855" s="16">
        <f>IF($B855&gt;K854,ROUND(K854*K$782,2),ROUND($B855*K$782,2))</f>
        <v>-0.1</v>
      </c>
      <c r="L855" s="17">
        <f>IF($B855&gt;K854,ROUND((B855-K854)*L$782,2),0)</f>
        <v>0</v>
      </c>
      <c r="M855" s="17">
        <f>IF($C855&gt;L$658,ROUND(($C855-L$658)*M$657,2),0)</f>
        <v>0</v>
      </c>
      <c r="N855" s="17">
        <f>SUM(K855:L855)</f>
        <v>-0.1</v>
      </c>
      <c r="O855" s="17"/>
      <c r="P855" s="17"/>
      <c r="Q855" s="17">
        <f>M855</f>
        <v>0</v>
      </c>
      <c r="R855" s="16" t="e">
        <f>ROUND(SUM(K855:M855)*(R854-1),2)</f>
        <v>#N/A</v>
      </c>
      <c r="S855" s="17">
        <f>ROUND($B855*S$782*S854,2)</f>
        <v>0</v>
      </c>
      <c r="T855" s="17">
        <f>ROUND($B855*T$782,2)</f>
        <v>0</v>
      </c>
      <c r="U855" s="17">
        <f>ROUND($B855*U$782,2)</f>
        <v>0</v>
      </c>
      <c r="V855" s="17">
        <f>ROUND($B855*V$777,2)</f>
        <v>0</v>
      </c>
      <c r="W855" s="17">
        <f>ROUND($B855*W$782,2)</f>
        <v>0</v>
      </c>
      <c r="X855" s="17">
        <f>ROUND($B855*X$782,2)</f>
        <v>-0.01</v>
      </c>
      <c r="Y855" s="17">
        <f>ROUND($B855*Y$782,2)</f>
        <v>0</v>
      </c>
      <c r="Z855" s="17">
        <f>ROUND($B855*Z$782,2)</f>
        <v>0</v>
      </c>
      <c r="AA855" s="17">
        <f>ROUND($B855*AA$782,2)</f>
        <v>0</v>
      </c>
      <c r="AB855" s="19">
        <f>SUM(U850:AA850)</f>
        <v>0</v>
      </c>
      <c r="AC855" s="67" t="str">
        <f>+F855</f>
        <v>PH2</v>
      </c>
    </row>
    <row r="856" spans="1:29" x14ac:dyDescent="0.2">
      <c r="A856" s="9"/>
      <c r="B856" s="103">
        <v>-1</v>
      </c>
      <c r="D856" s="8"/>
      <c r="E856" s="9"/>
      <c r="F856" s="36"/>
      <c r="H856" s="12"/>
      <c r="I856" s="19"/>
      <c r="J856" s="12"/>
      <c r="K856" s="43">
        <f>ROUND(C857*K$783,0)</f>
        <v>25000</v>
      </c>
      <c r="L856" s="35">
        <f>+B857-K856</f>
        <v>-25001</v>
      </c>
      <c r="M856" s="12"/>
      <c r="N856" s="12"/>
      <c r="O856" s="12"/>
      <c r="P856" s="17" t="e">
        <f>SUM(J857:M857,R857:AA857)</f>
        <v>#N/A</v>
      </c>
      <c r="Q856" s="17">
        <f t="shared" ref="Q856:Q861" si="48">M856</f>
        <v>0</v>
      </c>
      <c r="R856" s="38" t="e">
        <f>VLOOKUP((D857),'Pwr Factor'!$A$1:$B$52,2)</f>
        <v>#N/A</v>
      </c>
      <c r="S856" s="50">
        <v>1</v>
      </c>
      <c r="T856" s="12"/>
      <c r="U856" s="12"/>
      <c r="V856" s="12"/>
      <c r="W856" s="12"/>
      <c r="X856" s="12"/>
      <c r="Y856" s="12"/>
      <c r="Z856" s="12"/>
      <c r="AA856" s="12"/>
    </row>
    <row r="857" spans="1:29" x14ac:dyDescent="0.2">
      <c r="A857" s="1" t="s">
        <v>138</v>
      </c>
      <c r="B857" s="103">
        <f>IF(AND('AES Indiana Bill Calc.'!$D$17="PH",'AES Indiana Bill Calc.'!$D$18="Yes 100%",'AES Indiana Bill Calc.'!$D$20="Yes 2023"),'AES Indiana Bill Calc.'!$D$19,-1)</f>
        <v>-1</v>
      </c>
      <c r="C857" s="103">
        <f>MAX(E857,$C$783)</f>
        <v>100</v>
      </c>
      <c r="D857" s="103" t="b">
        <f>IF(AND('AES Indiana Bill Calc.'!$D$17="PH",'AES Indiana Bill Calc.'!$D$18="Yes 100%",'AES Indiana Bill Calc.'!$D$20="Yes 2023"),'AES Indiana Bill Calc.'!$D$22)</f>
        <v>0</v>
      </c>
      <c r="E857" s="103" t="b">
        <f>IF(AND('AES Indiana Bill Calc.'!$D$17="PH",'AES Indiana Bill Calc.'!$D$18="Yes 100%",'AES Indiana Bill Calc.'!$D$20="Yes 2023"),'AES Indiana Bill Calc.'!$D$21)</f>
        <v>0</v>
      </c>
      <c r="F857" s="36" t="s">
        <v>221</v>
      </c>
      <c r="G857" s="135" t="e">
        <f>MAX(I857,P856)</f>
        <v>#N/A</v>
      </c>
      <c r="H857" s="19" t="e">
        <f>IF(ISBLANK(B857),0,+#REF!/B857)</f>
        <v>#REF!</v>
      </c>
      <c r="I857" s="115">
        <f>(E857*120*$K$782)+$J$782</f>
        <v>1250</v>
      </c>
      <c r="J857" s="51">
        <f>IF(ISBLANK(B857),0,+J$782)</f>
        <v>1250</v>
      </c>
      <c r="K857" s="16">
        <f>IF($B857&gt;K856,ROUND(K856*K$782,2),ROUND($B857*K$782,2))</f>
        <v>-0.1</v>
      </c>
      <c r="L857" s="17">
        <f>IF($B857&gt;K856,ROUND((B857-K856)*L$782,2),0)</f>
        <v>0</v>
      </c>
      <c r="M857" s="17">
        <f>IF($C857&gt;L$658,ROUND(($C857-L$658)*M$657,2),0)</f>
        <v>0</v>
      </c>
      <c r="N857" s="17">
        <f>SUM(K857:L857)</f>
        <v>-0.1</v>
      </c>
      <c r="O857" s="17"/>
      <c r="P857" s="12"/>
      <c r="Q857" s="17">
        <f t="shared" si="48"/>
        <v>0</v>
      </c>
      <c r="R857" s="16" t="e">
        <f>ROUND(SUM(K857:M857)*(R856-1),2)</f>
        <v>#N/A</v>
      </c>
      <c r="S857" s="17">
        <f>ROUND($B857*S$782*S856,2)</f>
        <v>0</v>
      </c>
      <c r="T857" s="17">
        <f>ROUND($B857*T$782,2)</f>
        <v>0</v>
      </c>
      <c r="U857" s="17">
        <f>ROUND($B857*U$782,2)</f>
        <v>0</v>
      </c>
      <c r="V857" s="17">
        <f>ROUND($B857*V$778,2)</f>
        <v>0</v>
      </c>
      <c r="W857" s="17">
        <f>ROUND($B857*W$782,2)</f>
        <v>0</v>
      </c>
      <c r="X857" s="17">
        <f>ROUND($B857*X$782,2)</f>
        <v>-0.01</v>
      </c>
      <c r="Y857" s="17">
        <f>ROUND($B857*Y$782,2)</f>
        <v>0</v>
      </c>
      <c r="Z857" s="17">
        <f>ROUND($B857*Z$782,2)</f>
        <v>0</v>
      </c>
      <c r="AA857" s="17">
        <f>ROUND($B857*AA$782,2)</f>
        <v>0</v>
      </c>
      <c r="AB857" s="19">
        <f>SUM(U852:AA852)</f>
        <v>0</v>
      </c>
      <c r="AC857" s="67" t="str">
        <f>+F857</f>
        <v>PH3</v>
      </c>
    </row>
    <row r="858" spans="1:29" x14ac:dyDescent="0.2">
      <c r="A858" s="9"/>
      <c r="B858" s="103">
        <v>-1</v>
      </c>
      <c r="D858" s="8"/>
      <c r="E858" s="9"/>
      <c r="F858" s="36"/>
      <c r="H858" s="12"/>
      <c r="I858" s="19"/>
      <c r="J858" s="12"/>
      <c r="K858" s="43">
        <f>ROUND(C859*K$783,0)</f>
        <v>25000</v>
      </c>
      <c r="L858" s="35">
        <f>+B859-K858</f>
        <v>-25001</v>
      </c>
      <c r="M858" s="12"/>
      <c r="N858" s="12"/>
      <c r="O858" s="12"/>
      <c r="P858" s="17" t="e">
        <f>SUM(J859:M859,R859:AA859)</f>
        <v>#N/A</v>
      </c>
      <c r="Q858" s="17">
        <f t="shared" si="48"/>
        <v>0</v>
      </c>
      <c r="R858" s="38" t="e">
        <f>VLOOKUP((D859),'Pwr Factor'!$A$1:$B$52,2)</f>
        <v>#N/A</v>
      </c>
      <c r="S858" s="50">
        <v>0.5</v>
      </c>
      <c r="T858" s="12"/>
      <c r="U858" s="12"/>
      <c r="V858" s="12"/>
      <c r="W858" s="12"/>
      <c r="X858" s="12"/>
      <c r="Y858" s="12"/>
      <c r="Z858" s="12"/>
      <c r="AA858" s="12"/>
    </row>
    <row r="859" spans="1:29" x14ac:dyDescent="0.2">
      <c r="A859" s="1" t="s">
        <v>139</v>
      </c>
      <c r="B859" s="103">
        <f>IF(AND('AES Indiana Bill Calc.'!$D$17="PH",'AES Indiana Bill Calc.'!$D$18="Yes 50%",'AES Indiana Bill Calc.'!$D$20="Yes 2023"),'AES Indiana Bill Calc.'!$D$19,-1)</f>
        <v>-1</v>
      </c>
      <c r="C859" s="103">
        <f>MAX(E859,$C$783)</f>
        <v>100</v>
      </c>
      <c r="D859" s="103" t="b">
        <f>IF(AND('AES Indiana Bill Calc.'!$D$17="PH",'AES Indiana Bill Calc.'!$D$18="Yes 50%",'AES Indiana Bill Calc.'!$D$20="Yes 2023"),'AES Indiana Bill Calc.'!$D$22)</f>
        <v>0</v>
      </c>
      <c r="E859" s="103" t="b">
        <f>IF(AND('AES Indiana Bill Calc.'!$D$17="PH",'AES Indiana Bill Calc.'!$D$18="Yes 50%",'AES Indiana Bill Calc.'!$D$20="Yes 2023"),'AES Indiana Bill Calc.'!$D$21)</f>
        <v>0</v>
      </c>
      <c r="F859" s="36" t="s">
        <v>221</v>
      </c>
      <c r="G859" s="135" t="e">
        <f>MAX(I859,P858)</f>
        <v>#N/A</v>
      </c>
      <c r="H859" s="19" t="e">
        <f>IF(ISBLANK(B859),0,+#REF!/B859)</f>
        <v>#REF!</v>
      </c>
      <c r="I859" s="115">
        <f>(E859*120*$K$782)+$J$782</f>
        <v>1250</v>
      </c>
      <c r="J859" s="51">
        <f>IF(ISBLANK(B859),0,+J$782)</f>
        <v>1250</v>
      </c>
      <c r="K859" s="16">
        <f>IF($B859&gt;K858,ROUND(K858*K$782,2),ROUND($B859*K$782,2))</f>
        <v>-0.1</v>
      </c>
      <c r="L859" s="17">
        <f>IF($B859&gt;K858,ROUND((B859-K858)*L$782,2),0)</f>
        <v>0</v>
      </c>
      <c r="M859" s="17">
        <f>IF($C859&gt;L$658,ROUND(($C859-L$658)*M$657,2),0)</f>
        <v>0</v>
      </c>
      <c r="N859" s="17">
        <f>SUM(K859:L859)</f>
        <v>-0.1</v>
      </c>
      <c r="O859" s="17"/>
      <c r="P859" s="12"/>
      <c r="Q859" s="17">
        <f t="shared" si="48"/>
        <v>0</v>
      </c>
      <c r="R859" s="16" t="e">
        <f>ROUND(SUM(K859:M859)*(R858-1),2)</f>
        <v>#N/A</v>
      </c>
      <c r="S859" s="17">
        <f>ROUND($B859*S$782*S858,2)</f>
        <v>0</v>
      </c>
      <c r="T859" s="17">
        <f>ROUND($B859*T$782,2)</f>
        <v>0</v>
      </c>
      <c r="U859" s="17">
        <f>ROUND($B859*U$782,2)</f>
        <v>0</v>
      </c>
      <c r="V859" s="17">
        <f>ROUND($B859*V$778,2)</f>
        <v>0</v>
      </c>
      <c r="W859" s="17">
        <f>ROUND($B859*W$782,2)</f>
        <v>0</v>
      </c>
      <c r="X859" s="17">
        <f>ROUND($B859*X$782,2)</f>
        <v>-0.01</v>
      </c>
      <c r="Y859" s="17">
        <f>ROUND($B859*Y$782,2)</f>
        <v>0</v>
      </c>
      <c r="Z859" s="17">
        <f>ROUND($B859*Z$782,2)</f>
        <v>0</v>
      </c>
      <c r="AA859" s="17">
        <f>ROUND($B859*AA$782,2)</f>
        <v>0</v>
      </c>
      <c r="AB859" s="19">
        <f>SUM(U854:AA854)</f>
        <v>0</v>
      </c>
      <c r="AC859" s="67" t="str">
        <f>+F859</f>
        <v>PH3</v>
      </c>
    </row>
    <row r="860" spans="1:29" x14ac:dyDescent="0.2">
      <c r="A860" s="9"/>
      <c r="B860" s="103">
        <v>-1</v>
      </c>
      <c r="D860" s="8"/>
      <c r="E860" s="9"/>
      <c r="F860" s="36"/>
      <c r="H860" s="12"/>
      <c r="I860" s="19"/>
      <c r="J860" s="12"/>
      <c r="K860" s="43">
        <f>ROUND(C861*K$783,0)</f>
        <v>25000</v>
      </c>
      <c r="L860" s="35">
        <f>+B861-K860</f>
        <v>-25001</v>
      </c>
      <c r="M860" s="12"/>
      <c r="N860" s="12"/>
      <c r="O860" s="12"/>
      <c r="P860" s="17" t="e">
        <f>SUM(J861:M861,R861:AA861)</f>
        <v>#N/A</v>
      </c>
      <c r="Q860" s="17">
        <f t="shared" si="48"/>
        <v>0</v>
      </c>
      <c r="R860" s="38" t="e">
        <f>VLOOKUP((D861),'Pwr Factor'!$A$1:$B$52,2)</f>
        <v>#N/A</v>
      </c>
      <c r="S860" s="50">
        <v>0.25</v>
      </c>
      <c r="T860" s="12"/>
      <c r="U860" s="12"/>
      <c r="V860" s="12"/>
      <c r="W860" s="12"/>
      <c r="X860" s="12"/>
      <c r="Y860" s="12"/>
      <c r="Z860" s="12"/>
      <c r="AA860" s="12"/>
    </row>
    <row r="861" spans="1:29" x14ac:dyDescent="0.2">
      <c r="A861" s="1" t="s">
        <v>140</v>
      </c>
      <c r="B861" s="103">
        <f>IF(AND('AES Indiana Bill Calc.'!$D$17="PH",'AES Indiana Bill Calc.'!$D$18="Yes 25%",'AES Indiana Bill Calc.'!$D$20="Yes 2023"),'AES Indiana Bill Calc.'!$D$19,-1)</f>
        <v>-1</v>
      </c>
      <c r="C861" s="103">
        <f>MAX(E861,$C$783)</f>
        <v>100</v>
      </c>
      <c r="D861" s="103" t="b">
        <f>IF(AND('AES Indiana Bill Calc.'!$D$17="PH",'AES Indiana Bill Calc.'!$D$18="Yes 25%",'AES Indiana Bill Calc.'!$D$20="Yes 2023"),'AES Indiana Bill Calc.'!$D$22)</f>
        <v>0</v>
      </c>
      <c r="E861" s="103" t="b">
        <f>IF(AND('AES Indiana Bill Calc.'!$D$17="PH",'AES Indiana Bill Calc.'!$D$18="Yes 25%",'AES Indiana Bill Calc.'!$D$20="Yes 2023"),'AES Indiana Bill Calc.'!$D$21)</f>
        <v>0</v>
      </c>
      <c r="F861" s="36" t="s">
        <v>221</v>
      </c>
      <c r="G861" s="135" t="e">
        <f>MAX(I861,P860)</f>
        <v>#N/A</v>
      </c>
      <c r="H861" s="19" t="e">
        <f>IF(ISBLANK(B861),0,+#REF!/B861)</f>
        <v>#REF!</v>
      </c>
      <c r="I861" s="115">
        <f>(E861*120*$K$782)+$J$782</f>
        <v>1250</v>
      </c>
      <c r="J861" s="51">
        <f>IF(ISBLANK(B861),0,+J$782)</f>
        <v>1250</v>
      </c>
      <c r="K861" s="16">
        <f>IF($B861&gt;K860,ROUND(K860*K$782,2),ROUND($B861*K$782,2))</f>
        <v>-0.1</v>
      </c>
      <c r="L861" s="17">
        <f>IF($B861&gt;K860,ROUND((B861-K860)*L$782,2),0)</f>
        <v>0</v>
      </c>
      <c r="M861" s="17">
        <f>IF($C861&gt;L$658,ROUND(($C861-L$658)*M$657,2),0)</f>
        <v>0</v>
      </c>
      <c r="N861" s="17">
        <f>SUM(K861:L861)</f>
        <v>-0.1</v>
      </c>
      <c r="O861" s="17"/>
      <c r="P861" s="12"/>
      <c r="Q861" s="17">
        <f t="shared" si="48"/>
        <v>0</v>
      </c>
      <c r="R861" s="16" t="e">
        <f>ROUND(SUM(K861:M861)*(R860-1),2)</f>
        <v>#N/A</v>
      </c>
      <c r="S861" s="17">
        <f>ROUND($B861*S$782*S860,2)</f>
        <v>0</v>
      </c>
      <c r="T861" s="17">
        <f>ROUND($B861*T$782,2)</f>
        <v>0</v>
      </c>
      <c r="U861" s="17">
        <f>ROUND($B861*U$782,2)</f>
        <v>0</v>
      </c>
      <c r="V861" s="17">
        <f>ROUND($B861*V$778,2)</f>
        <v>0</v>
      </c>
      <c r="W861" s="17">
        <f>ROUND($B861*W$782,2)</f>
        <v>0</v>
      </c>
      <c r="X861" s="17">
        <f>ROUND($B861*X$782,2)</f>
        <v>-0.01</v>
      </c>
      <c r="Y861" s="17">
        <f>ROUND($B861*Y$782,2)</f>
        <v>0</v>
      </c>
      <c r="Z861" s="17">
        <f>ROUND($B861*Z$782,2)</f>
        <v>0</v>
      </c>
      <c r="AA861" s="17">
        <f>ROUND($B861*AA$782,2)</f>
        <v>0</v>
      </c>
      <c r="AB861" s="19">
        <f>SUM(U856:AA856)</f>
        <v>0</v>
      </c>
      <c r="AC861" s="67" t="str">
        <f>+F861</f>
        <v>PH3</v>
      </c>
    </row>
    <row r="862" spans="1:29" x14ac:dyDescent="0.2">
      <c r="A862" s="9"/>
      <c r="B862" s="103">
        <v>-1</v>
      </c>
      <c r="D862" s="8"/>
      <c r="E862" s="9"/>
      <c r="F862" s="36"/>
      <c r="H862" s="12"/>
      <c r="I862" s="19"/>
      <c r="J862" s="12"/>
      <c r="K862" s="43">
        <f>ROUND(C863*K$783,0)</f>
        <v>25000</v>
      </c>
      <c r="L862" s="35">
        <f>+B863-K862</f>
        <v>-25001</v>
      </c>
      <c r="M862" s="12"/>
      <c r="N862" s="12"/>
      <c r="O862" s="12"/>
      <c r="P862" s="17" t="e">
        <f>SUM(J863:M863,R863:AA863)</f>
        <v>#N/A</v>
      </c>
      <c r="Q862" s="17">
        <f>M862</f>
        <v>0</v>
      </c>
      <c r="R862" s="38" t="e">
        <f>VLOOKUP((D863),'Pwr Factor'!$A$1:$B$52,2)</f>
        <v>#N/A</v>
      </c>
      <c r="S862" s="50">
        <v>0.1</v>
      </c>
      <c r="T862" s="12"/>
      <c r="U862" s="12"/>
      <c r="V862" s="12"/>
      <c r="W862" s="12"/>
      <c r="X862" s="12"/>
      <c r="Y862" s="12"/>
      <c r="Z862" s="12"/>
      <c r="AA862" s="12"/>
    </row>
    <row r="863" spans="1:29" x14ac:dyDescent="0.2">
      <c r="A863" s="1" t="s">
        <v>154</v>
      </c>
      <c r="B863" s="103">
        <f>IF(AND('AES Indiana Bill Calc.'!$D$17="PH",'AES Indiana Bill Calc.'!$D$18="Yes 10%",'AES Indiana Bill Calc.'!$D$20="Yes 2023"),'AES Indiana Bill Calc.'!$D$19,-1)</f>
        <v>-1</v>
      </c>
      <c r="C863" s="103">
        <f>MAX(E863,$C$783)</f>
        <v>100</v>
      </c>
      <c r="D863" s="103" t="b">
        <f>IF(AND('AES Indiana Bill Calc.'!$D$17="PH",'AES Indiana Bill Calc.'!$D$18="Yes 10%",'AES Indiana Bill Calc.'!$D$20="Yes 2023"),'AES Indiana Bill Calc.'!$D$22)</f>
        <v>0</v>
      </c>
      <c r="E863" s="103" t="b">
        <f>IF(AND('AES Indiana Bill Calc.'!$D$17="PH",'AES Indiana Bill Calc.'!$D$18="Yes 10%",'AES Indiana Bill Calc.'!$D$20="Yes 2023"),'AES Indiana Bill Calc.'!$D$21)</f>
        <v>0</v>
      </c>
      <c r="F863" s="36" t="s">
        <v>221</v>
      </c>
      <c r="G863" s="135" t="e">
        <f>MAX(I863,P862)</f>
        <v>#N/A</v>
      </c>
      <c r="H863" s="19" t="e">
        <f>IF(ISBLANK(B863),0,+#REF!/B863)</f>
        <v>#REF!</v>
      </c>
      <c r="I863" s="115">
        <f>(E863*120*$K$782)+$J$782</f>
        <v>1250</v>
      </c>
      <c r="J863" s="51">
        <f>IF(ISBLANK(B863),0,+J$782)</f>
        <v>1250</v>
      </c>
      <c r="K863" s="16">
        <f>IF($B863&gt;K862,ROUND(K862*K$782,2),ROUND($B863*K$782,2))</f>
        <v>-0.1</v>
      </c>
      <c r="L863" s="17">
        <f>IF($B863&gt;K862,ROUND((B863-K862)*L$782,2),0)</f>
        <v>0</v>
      </c>
      <c r="M863" s="17">
        <f>IF($C863&gt;L$658,ROUND(($C863-L$658)*M$657,2),0)</f>
        <v>0</v>
      </c>
      <c r="N863" s="17">
        <f>SUM(K863:L863)</f>
        <v>-0.1</v>
      </c>
      <c r="O863" s="17"/>
      <c r="P863" s="12"/>
      <c r="Q863" s="17">
        <f>M863</f>
        <v>0</v>
      </c>
      <c r="R863" s="16" t="e">
        <f>ROUND(SUM(K863:M863)*(R862-1),2)</f>
        <v>#N/A</v>
      </c>
      <c r="S863" s="17">
        <f>ROUND($B863*S$782*S862,2)</f>
        <v>0</v>
      </c>
      <c r="T863" s="17">
        <f>ROUND($B863*T$782,2)</f>
        <v>0</v>
      </c>
      <c r="U863" s="17">
        <f>ROUND($B863*U$782,2)</f>
        <v>0</v>
      </c>
      <c r="V863" s="17">
        <f>ROUND($B863*V$778,2)</f>
        <v>0</v>
      </c>
      <c r="W863" s="17">
        <f>ROUND($B863*W$782,2)</f>
        <v>0</v>
      </c>
      <c r="X863" s="17">
        <f>ROUND($B863*X$782,2)</f>
        <v>-0.01</v>
      </c>
      <c r="Y863" s="17">
        <f>ROUND($B863*Y$782,2)</f>
        <v>0</v>
      </c>
      <c r="Z863" s="17">
        <f>ROUND($B863*Z$782,2)</f>
        <v>0</v>
      </c>
      <c r="AA863" s="17">
        <f>ROUND($B863*AA$782,2)</f>
        <v>0</v>
      </c>
      <c r="AB863" s="19">
        <f>SUM(U858:AA858)</f>
        <v>0</v>
      </c>
      <c r="AC863" s="67" t="str">
        <f>+F863</f>
        <v>PH3</v>
      </c>
    </row>
    <row r="864" spans="1:29" x14ac:dyDescent="0.2">
      <c r="A864" s="9"/>
      <c r="B864" s="103">
        <v>-1</v>
      </c>
      <c r="D864" s="8"/>
      <c r="E864" s="9"/>
      <c r="F864" s="36"/>
      <c r="H864" s="12"/>
      <c r="I864" s="19"/>
      <c r="J864" s="12"/>
      <c r="K864" s="43">
        <f>ROUND(C865*K$783,0)</f>
        <v>25000</v>
      </c>
      <c r="L864" s="35">
        <f>+B865-K864</f>
        <v>-25001</v>
      </c>
      <c r="M864" s="12"/>
      <c r="N864" s="12"/>
      <c r="O864" s="12"/>
      <c r="P864" s="17" t="e">
        <f>SUM(J865:M865,R865:AA865)</f>
        <v>#N/A</v>
      </c>
      <c r="Q864" s="17">
        <f>M864</f>
        <v>0</v>
      </c>
      <c r="R864" s="38" t="e">
        <f>VLOOKUP((D865),'Pwr Factor'!$A$1:$B$52,2)</f>
        <v>#N/A</v>
      </c>
      <c r="S864" s="50">
        <v>0</v>
      </c>
      <c r="T864" s="12"/>
      <c r="U864" s="12"/>
      <c r="V864" s="140"/>
      <c r="W864" s="12"/>
      <c r="X864" s="12"/>
      <c r="Y864" s="12"/>
      <c r="Z864" s="12"/>
      <c r="AA864" s="12"/>
    </row>
    <row r="865" spans="1:29" x14ac:dyDescent="0.2">
      <c r="A865" s="1" t="s">
        <v>137</v>
      </c>
      <c r="B865" s="103">
        <f>IF(AND('AES Indiana Bill Calc.'!$D$17="PH",'AES Indiana Bill Calc.'!$D$18="No",'AES Indiana Bill Calc.'!$D$20="Yes 2023"),'AES Indiana Bill Calc.'!$D$19,-1)</f>
        <v>-1</v>
      </c>
      <c r="C865" s="103">
        <f>MAX(E865,$C$783)</f>
        <v>100</v>
      </c>
      <c r="D865" s="103" t="b">
        <f>IF(AND('AES Indiana Bill Calc.'!$D$17="PH",'AES Indiana Bill Calc.'!$D$18="No",'AES Indiana Bill Calc.'!$D$20="Yes 2023"),'AES Indiana Bill Calc.'!$D$22)</f>
        <v>0</v>
      </c>
      <c r="E865" s="103" t="b">
        <f>IF(AND('AES Indiana Bill Calc.'!$D$17="PH",'AES Indiana Bill Calc.'!$D$18="No",'AES Indiana Bill Calc.'!$D$20="Yes 2023"),'AES Indiana Bill Calc.'!$D$21)</f>
        <v>0</v>
      </c>
      <c r="F865" s="36" t="s">
        <v>221</v>
      </c>
      <c r="G865" s="135" t="e">
        <f>MAX(I865,P864)</f>
        <v>#N/A</v>
      </c>
      <c r="H865" s="19" t="e">
        <f>IF(ISBLANK(B865),0,+#REF!/B865)</f>
        <v>#REF!</v>
      </c>
      <c r="I865" s="115">
        <f>(E865*120*$K$782)+$J$782</f>
        <v>1250</v>
      </c>
      <c r="J865" s="51">
        <f>IF(ISBLANK(B865),0,+J$782)</f>
        <v>1250</v>
      </c>
      <c r="K865" s="16">
        <f>IF($B865&gt;K864,ROUND(K864*K$782,2),ROUND($B865*K$782,2))</f>
        <v>-0.1</v>
      </c>
      <c r="L865" s="17">
        <f>IF($B865&gt;K864,ROUND((B865-K864)*L$782,2),0)</f>
        <v>0</v>
      </c>
      <c r="M865" s="17">
        <f>IF($C865&gt;L$658,ROUND(($C865-L$658)*M$657,2),0)</f>
        <v>0</v>
      </c>
      <c r="N865" s="17">
        <f>SUM(K865:L865)</f>
        <v>-0.1</v>
      </c>
      <c r="O865" s="17"/>
      <c r="P865" s="17"/>
      <c r="Q865" s="17">
        <f>M865</f>
        <v>0</v>
      </c>
      <c r="R865" s="16" t="e">
        <f>ROUND(SUM(K865:M865)*(R864-1),2)</f>
        <v>#N/A</v>
      </c>
      <c r="S865" s="17">
        <f>ROUND($B865*S$782*S864,2)</f>
        <v>0</v>
      </c>
      <c r="T865" s="17">
        <f>ROUND($B865*T$782,2)</f>
        <v>0</v>
      </c>
      <c r="U865" s="17">
        <f>ROUND($B865*U$782,2)</f>
        <v>0</v>
      </c>
      <c r="V865" s="17">
        <f>ROUND($B865*V$778,2)</f>
        <v>0</v>
      </c>
      <c r="W865" s="17">
        <f>ROUND($B865*W$782,2)</f>
        <v>0</v>
      </c>
      <c r="X865" s="17">
        <f>ROUND($B865*X$782,2)</f>
        <v>-0.01</v>
      </c>
      <c r="Y865" s="17">
        <f>ROUND($B865*Y$782,2)</f>
        <v>0</v>
      </c>
      <c r="Z865" s="17">
        <f>ROUND($B865*Z$782,2)</f>
        <v>0</v>
      </c>
      <c r="AA865" s="17">
        <f>ROUND($B865*AA$782,2)</f>
        <v>0</v>
      </c>
      <c r="AB865" s="19">
        <f>SUM(U860:AA860)</f>
        <v>0</v>
      </c>
      <c r="AC865" s="67" t="str">
        <f>+F865</f>
        <v>PH3</v>
      </c>
    </row>
    <row r="866" spans="1:29" x14ac:dyDescent="0.2">
      <c r="A866" s="9"/>
      <c r="B866" s="103">
        <v>-1</v>
      </c>
      <c r="D866" s="8"/>
      <c r="E866" s="9"/>
      <c r="F866" s="36"/>
      <c r="H866" s="12"/>
      <c r="I866" s="19"/>
      <c r="J866" s="12"/>
      <c r="K866" s="43">
        <f>ROUND(C867*K$783,0)</f>
        <v>25000</v>
      </c>
      <c r="L866" s="35">
        <f>+B867-K866</f>
        <v>-25001</v>
      </c>
      <c r="M866" s="12"/>
      <c r="N866" s="12"/>
      <c r="O866" s="12"/>
      <c r="P866" s="17" t="e">
        <f>SUM(J867:M867,R867:AA867)</f>
        <v>#N/A</v>
      </c>
      <c r="Q866" s="17">
        <f t="shared" ref="Q866:Q871" si="49">M866</f>
        <v>0</v>
      </c>
      <c r="R866" s="38" t="e">
        <f>VLOOKUP((D867),'Pwr Factor'!$A$1:$B$52,2)</f>
        <v>#N/A</v>
      </c>
      <c r="S866" s="50">
        <v>1</v>
      </c>
      <c r="T866" s="12"/>
      <c r="U866" s="12"/>
      <c r="V866" s="12"/>
      <c r="W866" s="12"/>
      <c r="X866" s="12"/>
      <c r="Y866" s="12"/>
      <c r="Z866" s="12"/>
      <c r="AA866" s="12"/>
    </row>
    <row r="867" spans="1:29" x14ac:dyDescent="0.2">
      <c r="A867" s="1" t="s">
        <v>138</v>
      </c>
      <c r="B867" s="103">
        <f>IF(AND('AES Indiana Bill Calc.'!$D$17="PH",'AES Indiana Bill Calc.'!$D$18="Yes 100%",'AES Indiana Bill Calc.'!$D$20="Yes 2024"),'AES Indiana Bill Calc.'!$D$19,-1)</f>
        <v>-1</v>
      </c>
      <c r="C867" s="103">
        <f>MAX(E867,$C$783)</f>
        <v>100</v>
      </c>
      <c r="D867" s="103" t="b">
        <f>IF(AND('AES Indiana Bill Calc.'!$D$17="PH",'AES Indiana Bill Calc.'!$D$18="Yes 100%",'AES Indiana Bill Calc.'!$D$20="Yes 2024"),'AES Indiana Bill Calc.'!$D$22)</f>
        <v>0</v>
      </c>
      <c r="E867" s="103" t="b">
        <f>IF(AND('AES Indiana Bill Calc.'!$D$17="PH",'AES Indiana Bill Calc.'!$D$18="Yes 100%",'AES Indiana Bill Calc.'!$D$20="Yes 2024"),'AES Indiana Bill Calc.'!$D$21)</f>
        <v>0</v>
      </c>
      <c r="F867" s="36" t="s">
        <v>288</v>
      </c>
      <c r="G867" s="135" t="e">
        <f>MAX(I867,P866)</f>
        <v>#N/A</v>
      </c>
      <c r="H867" s="19" t="e">
        <f>IF(ISBLANK(B867),0,+#REF!/B867)</f>
        <v>#REF!</v>
      </c>
      <c r="I867" s="115">
        <f>(E867*120*$K$782)+$J$782</f>
        <v>1250</v>
      </c>
      <c r="J867" s="51">
        <f>IF(ISBLANK(B867),0,+J$782)</f>
        <v>1250</v>
      </c>
      <c r="K867" s="16">
        <f>IF($B867&gt;K866,ROUND(K866*K$782,2),ROUND($B867*K$782,2))</f>
        <v>-0.1</v>
      </c>
      <c r="L867" s="17">
        <f>IF($B867&gt;K866,ROUND((B867-K866)*L$782,2),0)</f>
        <v>0</v>
      </c>
      <c r="M867" s="17">
        <f>IF($C867&gt;L$658,ROUND(($C867-L$658)*M$657,2),0)</f>
        <v>0</v>
      </c>
      <c r="N867" s="17">
        <f>SUM(K867:L867)</f>
        <v>-0.1</v>
      </c>
      <c r="O867" s="17"/>
      <c r="P867" s="12"/>
      <c r="Q867" s="17">
        <f t="shared" si="49"/>
        <v>0</v>
      </c>
      <c r="R867" s="16" t="e">
        <f>ROUND(SUM(K867:M867)*(R866-1),2)</f>
        <v>#N/A</v>
      </c>
      <c r="S867" s="17">
        <f>ROUND($B867*S$782*S866,2)</f>
        <v>0</v>
      </c>
      <c r="T867" s="17">
        <f>ROUND($B867*T$782,2)</f>
        <v>0</v>
      </c>
      <c r="U867" s="17">
        <f>ROUND($B867*U$782,2)</f>
        <v>0</v>
      </c>
      <c r="V867" s="17">
        <f>ROUND($B867*V$779,2)</f>
        <v>0</v>
      </c>
      <c r="W867" s="17">
        <f>ROUND($B867*W$782,2)</f>
        <v>0</v>
      </c>
      <c r="X867" s="17">
        <f>ROUND($B867*X$782,2)</f>
        <v>-0.01</v>
      </c>
      <c r="Y867" s="17">
        <f>ROUND($B867*Y$782,2)</f>
        <v>0</v>
      </c>
      <c r="Z867" s="17">
        <f>ROUND($B867*Z$782,2)</f>
        <v>0</v>
      </c>
      <c r="AA867" s="17">
        <f>ROUND($B867*AA$782,2)</f>
        <v>0</v>
      </c>
      <c r="AB867" s="19">
        <f>SUM(U862:AA862)</f>
        <v>0</v>
      </c>
      <c r="AC867" s="67" t="str">
        <f>+F867</f>
        <v>PH4</v>
      </c>
    </row>
    <row r="868" spans="1:29" x14ac:dyDescent="0.2">
      <c r="A868" s="9"/>
      <c r="B868" s="103">
        <v>-1</v>
      </c>
      <c r="D868" s="8"/>
      <c r="E868" s="9"/>
      <c r="F868" s="36"/>
      <c r="H868" s="12"/>
      <c r="I868" s="19"/>
      <c r="J868" s="12"/>
      <c r="K868" s="43">
        <f>ROUND(C869*K$783,0)</f>
        <v>25000</v>
      </c>
      <c r="L868" s="35">
        <f>+B869-K868</f>
        <v>-25001</v>
      </c>
      <c r="M868" s="12"/>
      <c r="N868" s="12"/>
      <c r="O868" s="12"/>
      <c r="P868" s="17" t="e">
        <f>SUM(J869:M869,R869:AA869)</f>
        <v>#N/A</v>
      </c>
      <c r="Q868" s="17">
        <f t="shared" si="49"/>
        <v>0</v>
      </c>
      <c r="R868" s="38" t="e">
        <f>VLOOKUP((D869),'Pwr Factor'!$A$1:$B$52,2)</f>
        <v>#N/A</v>
      </c>
      <c r="S868" s="50">
        <v>0.5</v>
      </c>
      <c r="T868" s="12"/>
      <c r="U868" s="12"/>
      <c r="V868" s="12"/>
      <c r="W868" s="12"/>
      <c r="X868" s="12"/>
      <c r="Y868" s="12"/>
      <c r="Z868" s="12"/>
      <c r="AA868" s="12"/>
    </row>
    <row r="869" spans="1:29" x14ac:dyDescent="0.2">
      <c r="A869" s="1" t="s">
        <v>139</v>
      </c>
      <c r="B869" s="103">
        <f>IF(AND('AES Indiana Bill Calc.'!$D$17="PH",'AES Indiana Bill Calc.'!$D$18="Yes 50%",'AES Indiana Bill Calc.'!$D$20="Yes 2024"),'AES Indiana Bill Calc.'!$D$19,-1)</f>
        <v>-1</v>
      </c>
      <c r="C869" s="103">
        <f>MAX(E869,$C$783)</f>
        <v>100</v>
      </c>
      <c r="D869" s="103" t="b">
        <f>IF(AND('AES Indiana Bill Calc.'!$D$17="PH",'AES Indiana Bill Calc.'!$D$18="Yes 50%",'AES Indiana Bill Calc.'!$D$20="Yes 2024"),'AES Indiana Bill Calc.'!$D$22)</f>
        <v>0</v>
      </c>
      <c r="E869" s="103" t="b">
        <f>IF(AND('AES Indiana Bill Calc.'!$D$17="PH",'AES Indiana Bill Calc.'!$D$18="Yes 50%",'AES Indiana Bill Calc.'!$D$20="Yes 2024"),'AES Indiana Bill Calc.'!$D$21)</f>
        <v>0</v>
      </c>
      <c r="F869" s="36" t="s">
        <v>288</v>
      </c>
      <c r="G869" s="135" t="e">
        <f>MAX(I869,P868)</f>
        <v>#N/A</v>
      </c>
      <c r="H869" s="19" t="e">
        <f>IF(ISBLANK(B869),0,+#REF!/B869)</f>
        <v>#REF!</v>
      </c>
      <c r="I869" s="115">
        <f>(E869*120*$K$782)+$J$782</f>
        <v>1250</v>
      </c>
      <c r="J869" s="51">
        <f>IF(ISBLANK(B869),0,+J$782)</f>
        <v>1250</v>
      </c>
      <c r="K869" s="16">
        <f>IF($B869&gt;K868,ROUND(K868*K$782,2),ROUND($B869*K$782,2))</f>
        <v>-0.1</v>
      </c>
      <c r="L869" s="17">
        <f>IF($B869&gt;K868,ROUND((B869-K868)*L$782,2),0)</f>
        <v>0</v>
      </c>
      <c r="M869" s="17">
        <f>IF($C869&gt;L$658,ROUND(($C869-L$658)*M$657,2),0)</f>
        <v>0</v>
      </c>
      <c r="N869" s="17">
        <f>SUM(K869:L869)</f>
        <v>-0.1</v>
      </c>
      <c r="O869" s="17"/>
      <c r="P869" s="12"/>
      <c r="Q869" s="17">
        <f t="shared" si="49"/>
        <v>0</v>
      </c>
      <c r="R869" s="16" t="e">
        <f>ROUND(SUM(K869:M869)*(R868-1),2)</f>
        <v>#N/A</v>
      </c>
      <c r="S869" s="17">
        <f>ROUND($B869*S$782*S868,2)</f>
        <v>0</v>
      </c>
      <c r="T869" s="17">
        <f>ROUND($B869*T$782,2)</f>
        <v>0</v>
      </c>
      <c r="U869" s="17">
        <f>ROUND($B869*U$782,2)</f>
        <v>0</v>
      </c>
      <c r="V869" s="17">
        <f>ROUND($B869*V$779,2)</f>
        <v>0</v>
      </c>
      <c r="W869" s="17">
        <f>ROUND($B869*W$782,2)</f>
        <v>0</v>
      </c>
      <c r="X869" s="17">
        <f>ROUND($B869*X$782,2)</f>
        <v>-0.01</v>
      </c>
      <c r="Y869" s="17">
        <f>ROUND($B869*Y$782,2)</f>
        <v>0</v>
      </c>
      <c r="Z869" s="17">
        <f>ROUND($B869*Z$782,2)</f>
        <v>0</v>
      </c>
      <c r="AA869" s="17">
        <f>ROUND($B869*AA$782,2)</f>
        <v>0</v>
      </c>
      <c r="AB869" s="19">
        <f>SUM(U864:AA864)</f>
        <v>0</v>
      </c>
      <c r="AC869" s="67" t="str">
        <f>+F869</f>
        <v>PH4</v>
      </c>
    </row>
    <row r="870" spans="1:29" x14ac:dyDescent="0.2">
      <c r="A870" s="9"/>
      <c r="B870" s="103">
        <v>-1</v>
      </c>
      <c r="D870" s="8"/>
      <c r="E870" s="9"/>
      <c r="F870" s="36"/>
      <c r="H870" s="12"/>
      <c r="I870" s="19"/>
      <c r="J870" s="12"/>
      <c r="K870" s="43">
        <f>ROUND(C871*K$783,0)</f>
        <v>25000</v>
      </c>
      <c r="L870" s="35">
        <f>+B871-K870</f>
        <v>-25001</v>
      </c>
      <c r="M870" s="12"/>
      <c r="N870" s="12"/>
      <c r="O870" s="12"/>
      <c r="P870" s="17" t="e">
        <f>SUM(J871:M871,R871:AA871)</f>
        <v>#N/A</v>
      </c>
      <c r="Q870" s="17">
        <f t="shared" si="49"/>
        <v>0</v>
      </c>
      <c r="R870" s="38" t="e">
        <f>VLOOKUP((D871),'Pwr Factor'!$A$1:$B$52,2)</f>
        <v>#N/A</v>
      </c>
      <c r="S870" s="50">
        <v>0.25</v>
      </c>
      <c r="T870" s="12"/>
      <c r="U870" s="12"/>
      <c r="V870" s="12"/>
      <c r="W870" s="12"/>
      <c r="X870" s="12"/>
      <c r="Y870" s="12"/>
      <c r="Z870" s="12"/>
      <c r="AA870" s="12"/>
    </row>
    <row r="871" spans="1:29" x14ac:dyDescent="0.2">
      <c r="A871" s="1" t="s">
        <v>140</v>
      </c>
      <c r="B871" s="103">
        <f>IF(AND('AES Indiana Bill Calc.'!$D$17="PH",'AES Indiana Bill Calc.'!$D$18="Yes 25%",'AES Indiana Bill Calc.'!$D$20="Yes 2024"),'AES Indiana Bill Calc.'!$D$19,-1)</f>
        <v>-1</v>
      </c>
      <c r="C871" s="103">
        <f>MAX(E871,$C$783)</f>
        <v>100</v>
      </c>
      <c r="D871" s="103" t="b">
        <f>IF(AND('AES Indiana Bill Calc.'!$D$17="PH",'AES Indiana Bill Calc.'!$D$18="Yes 25%",'AES Indiana Bill Calc.'!$D$20="Yes 2024"),'AES Indiana Bill Calc.'!$D$22)</f>
        <v>0</v>
      </c>
      <c r="E871" s="103" t="b">
        <f>IF(AND('AES Indiana Bill Calc.'!$D$17="PH",'AES Indiana Bill Calc.'!$D$18="Yes 25%",'AES Indiana Bill Calc.'!$D$20="Yes 2024"),'AES Indiana Bill Calc.'!$D$21)</f>
        <v>0</v>
      </c>
      <c r="F871" s="36" t="s">
        <v>288</v>
      </c>
      <c r="G871" s="135" t="e">
        <f>MAX(I871,P870)</f>
        <v>#N/A</v>
      </c>
      <c r="H871" s="19" t="e">
        <f>IF(ISBLANK(B871),0,+#REF!/B871)</f>
        <v>#REF!</v>
      </c>
      <c r="I871" s="115">
        <f>(E871*120*$K$782)+$J$782</f>
        <v>1250</v>
      </c>
      <c r="J871" s="51">
        <f>IF(ISBLANK(B871),0,+J$782)</f>
        <v>1250</v>
      </c>
      <c r="K871" s="16">
        <f>IF($B871&gt;K870,ROUND(K870*K$782,2),ROUND($B871*K$782,2))</f>
        <v>-0.1</v>
      </c>
      <c r="L871" s="17">
        <f>IF($B871&gt;K870,ROUND((B871-K870)*L$782,2),0)</f>
        <v>0</v>
      </c>
      <c r="M871" s="17">
        <f>IF($C871&gt;L$658,ROUND(($C871-L$658)*M$657,2),0)</f>
        <v>0</v>
      </c>
      <c r="N871" s="17">
        <f>SUM(K871:L871)</f>
        <v>-0.1</v>
      </c>
      <c r="O871" s="17"/>
      <c r="P871" s="12"/>
      <c r="Q871" s="17">
        <f t="shared" si="49"/>
        <v>0</v>
      </c>
      <c r="R871" s="16" t="e">
        <f>ROUND(SUM(K871:M871)*(R870-1),2)</f>
        <v>#N/A</v>
      </c>
      <c r="S871" s="17">
        <f>ROUND($B871*S$782*S870,2)</f>
        <v>0</v>
      </c>
      <c r="T871" s="17">
        <f>ROUND($B871*T$782,2)</f>
        <v>0</v>
      </c>
      <c r="U871" s="17">
        <f>ROUND($B871*U$782,2)</f>
        <v>0</v>
      </c>
      <c r="V871" s="17">
        <f>ROUND($B871*V$779,2)</f>
        <v>0</v>
      </c>
      <c r="W871" s="17">
        <f>ROUND($B871*W$782,2)</f>
        <v>0</v>
      </c>
      <c r="X871" s="17">
        <f>ROUND($B871*X$782,2)</f>
        <v>-0.01</v>
      </c>
      <c r="Y871" s="17">
        <f>ROUND($B871*Y$782,2)</f>
        <v>0</v>
      </c>
      <c r="Z871" s="17">
        <f>ROUND($B871*Z$782,2)</f>
        <v>0</v>
      </c>
      <c r="AA871" s="17">
        <f>ROUND($B871*AA$782,2)</f>
        <v>0</v>
      </c>
      <c r="AB871" s="19">
        <f>SUM(U866:AA866)</f>
        <v>0</v>
      </c>
      <c r="AC871" s="67" t="str">
        <f>+F871</f>
        <v>PH4</v>
      </c>
    </row>
    <row r="872" spans="1:29" x14ac:dyDescent="0.2">
      <c r="A872" s="9"/>
      <c r="B872" s="103">
        <v>-1</v>
      </c>
      <c r="D872" s="8"/>
      <c r="E872" s="9"/>
      <c r="F872" s="36"/>
      <c r="H872" s="12"/>
      <c r="I872" s="19"/>
      <c r="J872" s="12"/>
      <c r="K872" s="43">
        <f>ROUND(C873*K$783,0)</f>
        <v>25000</v>
      </c>
      <c r="L872" s="35">
        <f>+B873-K872</f>
        <v>-25001</v>
      </c>
      <c r="M872" s="12"/>
      <c r="N872" s="12"/>
      <c r="O872" s="12"/>
      <c r="P872" s="17" t="e">
        <f>SUM(J873:M873,R873:AA873)</f>
        <v>#N/A</v>
      </c>
      <c r="Q872" s="17">
        <f>M872</f>
        <v>0</v>
      </c>
      <c r="R872" s="38" t="e">
        <f>VLOOKUP((D873),'Pwr Factor'!$A$1:$B$52,2)</f>
        <v>#N/A</v>
      </c>
      <c r="S872" s="50">
        <v>0.1</v>
      </c>
      <c r="T872" s="12"/>
      <c r="U872" s="12"/>
      <c r="V872" s="12"/>
      <c r="W872" s="12"/>
      <c r="X872" s="12"/>
      <c r="Y872" s="12"/>
      <c r="Z872" s="12"/>
      <c r="AA872" s="12"/>
    </row>
    <row r="873" spans="1:29" x14ac:dyDescent="0.2">
      <c r="A873" s="1" t="s">
        <v>154</v>
      </c>
      <c r="B873" s="103">
        <f>IF(AND('AES Indiana Bill Calc.'!$D$17="PH",'AES Indiana Bill Calc.'!$D$18="Yes 10%",'AES Indiana Bill Calc.'!$D$20="Yes 2024"),'AES Indiana Bill Calc.'!$D$19,-1)</f>
        <v>-1</v>
      </c>
      <c r="C873" s="103">
        <f>MAX(E873,$C$783)</f>
        <v>100</v>
      </c>
      <c r="D873" s="103" t="b">
        <f>IF(AND('AES Indiana Bill Calc.'!$D$17="PH",'AES Indiana Bill Calc.'!$D$18="Yes 10%",'AES Indiana Bill Calc.'!$D$20="Yes 2024"),'AES Indiana Bill Calc.'!$D$22)</f>
        <v>0</v>
      </c>
      <c r="E873" s="103" t="b">
        <f>IF(AND('AES Indiana Bill Calc.'!$D$17="PH",'AES Indiana Bill Calc.'!$D$18="Yes 10%",'AES Indiana Bill Calc.'!$D$20="Yes 2024"),'AES Indiana Bill Calc.'!$D$21)</f>
        <v>0</v>
      </c>
      <c r="F873" s="36" t="s">
        <v>288</v>
      </c>
      <c r="G873" s="135" t="e">
        <f>MAX(I873,P872)</f>
        <v>#N/A</v>
      </c>
      <c r="H873" s="19" t="e">
        <f>IF(ISBLANK(B873),0,+#REF!/B873)</f>
        <v>#REF!</v>
      </c>
      <c r="I873" s="115">
        <f>(E873*120*$K$782)+$J$782</f>
        <v>1250</v>
      </c>
      <c r="J873" s="51">
        <f>IF(ISBLANK(B873),0,+J$782)</f>
        <v>1250</v>
      </c>
      <c r="K873" s="16">
        <f>IF($B873&gt;K872,ROUND(K872*K$782,2),ROUND($B873*K$782,2))</f>
        <v>-0.1</v>
      </c>
      <c r="L873" s="17">
        <f>IF($B873&gt;K872,ROUND((B873-K872)*L$782,2),0)</f>
        <v>0</v>
      </c>
      <c r="M873" s="17">
        <f>IF($C873&gt;L$658,ROUND(($C873-L$658)*M$657,2),0)</f>
        <v>0</v>
      </c>
      <c r="N873" s="17">
        <f>SUM(K873:L873)</f>
        <v>-0.1</v>
      </c>
      <c r="O873" s="17"/>
      <c r="P873" s="12"/>
      <c r="Q873" s="17">
        <f>M873</f>
        <v>0</v>
      </c>
      <c r="R873" s="16" t="e">
        <f>ROUND(SUM(K873:M873)*(R872-1),2)</f>
        <v>#N/A</v>
      </c>
      <c r="S873" s="17">
        <f>ROUND($B873*S$782*S872,2)</f>
        <v>0</v>
      </c>
      <c r="T873" s="17">
        <f>ROUND($B873*T$782,2)</f>
        <v>0</v>
      </c>
      <c r="U873" s="17">
        <f>ROUND($B873*U$782,2)</f>
        <v>0</v>
      </c>
      <c r="V873" s="17">
        <f>ROUND($B873*V$779,2)</f>
        <v>0</v>
      </c>
      <c r="W873" s="17">
        <f>ROUND($B873*W$782,2)</f>
        <v>0</v>
      </c>
      <c r="X873" s="17">
        <f>ROUND($B873*X$782,2)</f>
        <v>-0.01</v>
      </c>
      <c r="Y873" s="17">
        <f>ROUND($B873*Y$782,2)</f>
        <v>0</v>
      </c>
      <c r="Z873" s="17">
        <f>ROUND($B873*Z$782,2)</f>
        <v>0</v>
      </c>
      <c r="AA873" s="17">
        <f>ROUND($B873*AA$782,2)</f>
        <v>0</v>
      </c>
      <c r="AB873" s="19">
        <f>SUM(U868:AA868)</f>
        <v>0</v>
      </c>
      <c r="AC873" s="67" t="str">
        <f>+F873</f>
        <v>PH4</v>
      </c>
    </row>
    <row r="874" spans="1:29" x14ac:dyDescent="0.2">
      <c r="A874" s="9"/>
      <c r="B874" s="103">
        <v>-1</v>
      </c>
      <c r="D874" s="8"/>
      <c r="E874" s="9"/>
      <c r="F874" s="36"/>
      <c r="H874" s="12"/>
      <c r="I874" s="19"/>
      <c r="J874" s="12"/>
      <c r="K874" s="43">
        <f>ROUND(C875*K$783,0)</f>
        <v>25000</v>
      </c>
      <c r="L874" s="35">
        <f>+B875-K874</f>
        <v>-25001</v>
      </c>
      <c r="M874" s="12"/>
      <c r="N874" s="12"/>
      <c r="O874" s="12"/>
      <c r="P874" s="17" t="e">
        <f>SUM(J875:M875,R875:AA875)</f>
        <v>#N/A</v>
      </c>
      <c r="Q874" s="17">
        <f>M874</f>
        <v>0</v>
      </c>
      <c r="R874" s="38" t="e">
        <f>VLOOKUP((D875),'Pwr Factor'!$A$1:$B$52,2)</f>
        <v>#N/A</v>
      </c>
      <c r="S874" s="50">
        <v>0</v>
      </c>
      <c r="T874" s="12"/>
      <c r="U874" s="12"/>
      <c r="V874" s="140"/>
      <c r="W874" s="12"/>
      <c r="X874" s="12"/>
      <c r="Y874" s="12"/>
      <c r="Z874" s="12"/>
      <c r="AA874" s="12"/>
    </row>
    <row r="875" spans="1:29" x14ac:dyDescent="0.2">
      <c r="A875" s="1" t="s">
        <v>137</v>
      </c>
      <c r="B875" s="103">
        <f>IF(AND('AES Indiana Bill Calc.'!$D$17="PH",'AES Indiana Bill Calc.'!$D$18="No",'AES Indiana Bill Calc.'!$D$20="Yes 2024"),'AES Indiana Bill Calc.'!$D$19,-1)</f>
        <v>-1</v>
      </c>
      <c r="C875" s="103">
        <f>MAX(E875,$C$783)</f>
        <v>100</v>
      </c>
      <c r="D875" s="103" t="b">
        <f>IF(AND('AES Indiana Bill Calc.'!$D$17="PH",'AES Indiana Bill Calc.'!$D$18="No",'AES Indiana Bill Calc.'!$D$20="Yes 2024"),'AES Indiana Bill Calc.'!$D$22)</f>
        <v>0</v>
      </c>
      <c r="E875" s="103" t="b">
        <f>IF(AND('AES Indiana Bill Calc.'!$D$17="PH",'AES Indiana Bill Calc.'!$D$18="No",'AES Indiana Bill Calc.'!$D$20="Yes 2024"),'AES Indiana Bill Calc.'!$D$21)</f>
        <v>0</v>
      </c>
      <c r="F875" s="36" t="s">
        <v>288</v>
      </c>
      <c r="G875" s="135" t="e">
        <f>MAX(I875,P874)</f>
        <v>#N/A</v>
      </c>
      <c r="H875" s="19" t="e">
        <f>IF(ISBLANK(B875),0,+#REF!/B875)</f>
        <v>#REF!</v>
      </c>
      <c r="I875" s="115">
        <f>(E875*120*$K$782)+$J$782</f>
        <v>1250</v>
      </c>
      <c r="J875" s="51">
        <f>IF(ISBLANK(B875),0,+J$782)</f>
        <v>1250</v>
      </c>
      <c r="K875" s="16">
        <f>IF($B875&gt;K874,ROUND(K874*K$782,2),ROUND($B875*K$782,2))</f>
        <v>-0.1</v>
      </c>
      <c r="L875" s="17">
        <f>IF($B875&gt;K874,ROUND((B875-K874)*L$782,2),0)</f>
        <v>0</v>
      </c>
      <c r="M875" s="17">
        <f>IF($C875&gt;L$658,ROUND(($C875-L$658)*M$657,2),0)</f>
        <v>0</v>
      </c>
      <c r="N875" s="17">
        <f>SUM(K875:L875)</f>
        <v>-0.1</v>
      </c>
      <c r="O875" s="17"/>
      <c r="P875" s="17"/>
      <c r="Q875" s="17">
        <f>M875</f>
        <v>0</v>
      </c>
      <c r="R875" s="16" t="e">
        <f>ROUND(SUM(K875:M875)*(R874-1),2)</f>
        <v>#N/A</v>
      </c>
      <c r="S875" s="17">
        <f>ROUND($B875*S$782*S874,2)</f>
        <v>0</v>
      </c>
      <c r="T875" s="17">
        <f>ROUND($B875*T$782,2)</f>
        <v>0</v>
      </c>
      <c r="U875" s="17">
        <f>ROUND($B875*U$782,2)</f>
        <v>0</v>
      </c>
      <c r="V875" s="17">
        <f>ROUND($B875*V$779,2)</f>
        <v>0</v>
      </c>
      <c r="W875" s="17">
        <f>ROUND($B875*W$782,2)</f>
        <v>0</v>
      </c>
      <c r="X875" s="17">
        <f>ROUND($B875*X$782,2)</f>
        <v>-0.01</v>
      </c>
      <c r="Y875" s="17">
        <f>ROUND($B875*Y$782,2)</f>
        <v>0</v>
      </c>
      <c r="Z875" s="17">
        <f>ROUND($B875*Z$782,2)</f>
        <v>0</v>
      </c>
      <c r="AA875" s="17">
        <f>ROUND($B875*AA$782,2)</f>
        <v>0</v>
      </c>
      <c r="AB875" s="19">
        <f>SUM(U870:AA870)</f>
        <v>0</v>
      </c>
      <c r="AC875" s="67" t="str">
        <f>+F875</f>
        <v>PH4</v>
      </c>
    </row>
    <row r="876" spans="1:29" x14ac:dyDescent="0.2">
      <c r="A876" s="9"/>
      <c r="B876" s="103">
        <v>-1</v>
      </c>
      <c r="D876" s="8"/>
      <c r="E876" s="9"/>
      <c r="F876" s="36"/>
      <c r="H876" s="12"/>
      <c r="I876" s="19"/>
      <c r="J876" s="12"/>
      <c r="K876" s="43">
        <f>ROUND(C877*K$783,0)</f>
        <v>25000</v>
      </c>
      <c r="L876" s="35">
        <f>+B877-K876</f>
        <v>-25001</v>
      </c>
      <c r="M876" s="12"/>
      <c r="N876" s="12"/>
      <c r="O876" s="12"/>
      <c r="P876" s="17" t="e">
        <f>SUM(J877:M877,R877:AA877)</f>
        <v>#N/A</v>
      </c>
      <c r="Q876" s="17">
        <f t="shared" ref="Q876:Q881" si="50">M876</f>
        <v>0</v>
      </c>
      <c r="R876" s="38" t="e">
        <f>VLOOKUP((D877),'Pwr Factor'!$A$1:$B$52,2)</f>
        <v>#N/A</v>
      </c>
      <c r="S876" s="50">
        <v>1</v>
      </c>
      <c r="T876" s="12"/>
      <c r="U876" s="12"/>
      <c r="V876" s="12"/>
      <c r="W876" s="12"/>
      <c r="X876" s="12"/>
      <c r="Y876" s="12"/>
      <c r="Z876" s="12"/>
      <c r="AA876" s="12"/>
    </row>
    <row r="877" spans="1:29" x14ac:dyDescent="0.2">
      <c r="A877" s="1" t="s">
        <v>138</v>
      </c>
      <c r="B877" s="103">
        <f>IF(AND('AES Indiana Bill Calc.'!$D$17="PH",'AES Indiana Bill Calc.'!$D$18="Yes 100%",'AES Indiana Bill Calc.'!$D$20="Yes 2025"),'AES Indiana Bill Calc.'!$D$19,-1)</f>
        <v>-1</v>
      </c>
      <c r="C877" s="103">
        <f>MAX(E877,$C$783)</f>
        <v>100</v>
      </c>
      <c r="D877" s="103" t="b">
        <f>IF(AND('AES Indiana Bill Calc.'!$D$17="PH",'AES Indiana Bill Calc.'!$D$18="Yes 100%",'AES Indiana Bill Calc.'!$D$20="Yes 2025"),'AES Indiana Bill Calc.'!$D$22)</f>
        <v>0</v>
      </c>
      <c r="E877" s="103" t="b">
        <f>IF(AND('AES Indiana Bill Calc.'!$D$17="PH",'AES Indiana Bill Calc.'!$D$18="Yes 100%",'AES Indiana Bill Calc.'!$D$20="Yes 2025"),'AES Indiana Bill Calc.'!$D$21)</f>
        <v>0</v>
      </c>
      <c r="F877" s="36" t="s">
        <v>320</v>
      </c>
      <c r="G877" s="135" t="e">
        <f>MAX(I877,P876)</f>
        <v>#N/A</v>
      </c>
      <c r="H877" s="19" t="e">
        <f>IF(ISBLANK(B877),0,+#REF!/B877)</f>
        <v>#REF!</v>
      </c>
      <c r="I877" s="115">
        <f>(E877*120*$K$782)+$J$782</f>
        <v>1250</v>
      </c>
      <c r="J877" s="51">
        <f>IF(ISBLANK(B877),0,+J$782)</f>
        <v>1250</v>
      </c>
      <c r="K877" s="16">
        <f>IF($B877&gt;K876,ROUND(K876*K$782,2),ROUND($B877*K$782,2))</f>
        <v>-0.1</v>
      </c>
      <c r="L877" s="17">
        <f>IF($B877&gt;K876,ROUND((B877-K876)*L$782,2),0)</f>
        <v>0</v>
      </c>
      <c r="M877" s="17">
        <f>IF($C877&gt;L$658,ROUND(($C877-L$658)*M$657,2),0)</f>
        <v>0</v>
      </c>
      <c r="N877" s="17">
        <f>SUM(K877:L877)</f>
        <v>-0.1</v>
      </c>
      <c r="O877" s="17"/>
      <c r="P877" s="12"/>
      <c r="Q877" s="17">
        <f t="shared" si="50"/>
        <v>0</v>
      </c>
      <c r="R877" s="16" t="e">
        <f>ROUND(SUM(K877:M877)*(R876-1),2)</f>
        <v>#N/A</v>
      </c>
      <c r="S877" s="17">
        <f>ROUND($B877*S$782*S876,2)</f>
        <v>0</v>
      </c>
      <c r="T877" s="17">
        <f>ROUND($B877*T$782,2)</f>
        <v>0</v>
      </c>
      <c r="U877" s="17">
        <f>ROUND($B877*U$782,2)</f>
        <v>0</v>
      </c>
      <c r="V877" s="17">
        <f>ROUND($B877*V$780,2)</f>
        <v>-0.01</v>
      </c>
      <c r="W877" s="17">
        <f>ROUND($B877*W$782,2)</f>
        <v>0</v>
      </c>
      <c r="X877" s="17">
        <f>ROUND($B877*X$782,2)</f>
        <v>-0.01</v>
      </c>
      <c r="Y877" s="17">
        <f>ROUND($B877*Y$782,2)</f>
        <v>0</v>
      </c>
      <c r="Z877" s="17">
        <f>ROUND($B877*Z$782,2)</f>
        <v>0</v>
      </c>
      <c r="AA877" s="17">
        <f>ROUND($B877*AA$782,2)</f>
        <v>0</v>
      </c>
      <c r="AB877" s="19">
        <f>SUM(U872:AA872)</f>
        <v>0</v>
      </c>
      <c r="AC877" s="67" t="str">
        <f>+F877</f>
        <v>PH5</v>
      </c>
    </row>
    <row r="878" spans="1:29" x14ac:dyDescent="0.2">
      <c r="A878" s="9"/>
      <c r="B878" s="103">
        <v>-1</v>
      </c>
      <c r="D878" s="8"/>
      <c r="E878" s="9"/>
      <c r="F878" s="36"/>
      <c r="H878" s="12"/>
      <c r="I878" s="19"/>
      <c r="J878" s="12"/>
      <c r="K878" s="43">
        <f>ROUND(C879*K$783,0)</f>
        <v>25000</v>
      </c>
      <c r="L878" s="35">
        <f>+B879-K878</f>
        <v>-25001</v>
      </c>
      <c r="M878" s="12"/>
      <c r="N878" s="12"/>
      <c r="O878" s="12"/>
      <c r="P878" s="17" t="e">
        <f>SUM(J879:M879,R879:AA879)</f>
        <v>#N/A</v>
      </c>
      <c r="Q878" s="17">
        <f t="shared" si="50"/>
        <v>0</v>
      </c>
      <c r="R878" s="38" t="e">
        <f>VLOOKUP((D879),'Pwr Factor'!$A$1:$B$52,2)</f>
        <v>#N/A</v>
      </c>
      <c r="S878" s="50">
        <v>0.5</v>
      </c>
      <c r="T878" s="12"/>
      <c r="U878" s="12"/>
      <c r="V878" s="12"/>
      <c r="W878" s="12"/>
      <c r="X878" s="12"/>
      <c r="Y878" s="12"/>
      <c r="Z878" s="12"/>
      <c r="AA878" s="12"/>
    </row>
    <row r="879" spans="1:29" x14ac:dyDescent="0.2">
      <c r="A879" s="1" t="s">
        <v>139</v>
      </c>
      <c r="B879" s="103">
        <f>IF(AND('AES Indiana Bill Calc.'!$D$17="PH",'AES Indiana Bill Calc.'!$D$18="Yes 50%",'AES Indiana Bill Calc.'!$D$20="Yes 2025"),'AES Indiana Bill Calc.'!$D$19,-1)</f>
        <v>-1</v>
      </c>
      <c r="C879" s="103">
        <f>MAX(E879,$C$783)</f>
        <v>100</v>
      </c>
      <c r="D879" s="103" t="b">
        <f>IF(AND('AES Indiana Bill Calc.'!$D$17="PH",'AES Indiana Bill Calc.'!$D$18="Yes 50%",'AES Indiana Bill Calc.'!$D$20="Yes 2025"),'AES Indiana Bill Calc.'!$D$22)</f>
        <v>0</v>
      </c>
      <c r="E879" s="103" t="b">
        <f>IF(AND('AES Indiana Bill Calc.'!$D$17="PH",'AES Indiana Bill Calc.'!$D$18="Yes 50%",'AES Indiana Bill Calc.'!$D$20="Yes 2025"),'AES Indiana Bill Calc.'!$D$21)</f>
        <v>0</v>
      </c>
      <c r="F879" s="36" t="s">
        <v>320</v>
      </c>
      <c r="G879" s="135" t="e">
        <f>MAX(I879,P878)</f>
        <v>#N/A</v>
      </c>
      <c r="H879" s="19" t="e">
        <f>IF(ISBLANK(B879),0,+#REF!/B879)</f>
        <v>#REF!</v>
      </c>
      <c r="I879" s="115">
        <f>(E879*120*$K$782)+$J$782</f>
        <v>1250</v>
      </c>
      <c r="J879" s="51">
        <f>IF(ISBLANK(B879),0,+J$782)</f>
        <v>1250</v>
      </c>
      <c r="K879" s="16">
        <f>IF($B879&gt;K878,ROUND(K878*K$782,2),ROUND($B879*K$782,2))</f>
        <v>-0.1</v>
      </c>
      <c r="L879" s="17">
        <f>IF($B879&gt;K878,ROUND((B879-K878)*L$782,2),0)</f>
        <v>0</v>
      </c>
      <c r="M879" s="17">
        <f>IF($C879&gt;L$658,ROUND(($C879-L$658)*M$657,2),0)</f>
        <v>0</v>
      </c>
      <c r="N879" s="17">
        <f>SUM(K879:L879)</f>
        <v>-0.1</v>
      </c>
      <c r="O879" s="17"/>
      <c r="P879" s="12"/>
      <c r="Q879" s="17">
        <f t="shared" si="50"/>
        <v>0</v>
      </c>
      <c r="R879" s="16" t="e">
        <f>ROUND(SUM(K879:M879)*(R878-1),2)</f>
        <v>#N/A</v>
      </c>
      <c r="S879" s="17">
        <f>ROUND($B879*S$782*S878,2)</f>
        <v>0</v>
      </c>
      <c r="T879" s="17">
        <f>ROUND($B879*T$782,2)</f>
        <v>0</v>
      </c>
      <c r="U879" s="17">
        <f>ROUND($B879*U$782,2)</f>
        <v>0</v>
      </c>
      <c r="V879" s="17">
        <f>ROUND($B879*V$780,2)</f>
        <v>-0.01</v>
      </c>
      <c r="W879" s="17">
        <f>ROUND($B879*W$782,2)</f>
        <v>0</v>
      </c>
      <c r="X879" s="17">
        <f>ROUND($B879*X$782,2)</f>
        <v>-0.01</v>
      </c>
      <c r="Y879" s="17">
        <f>ROUND($B879*Y$782,2)</f>
        <v>0</v>
      </c>
      <c r="Z879" s="17">
        <f>ROUND($B879*Z$782,2)</f>
        <v>0</v>
      </c>
      <c r="AA879" s="17">
        <f>ROUND($B879*AA$782,2)</f>
        <v>0</v>
      </c>
      <c r="AB879" s="19">
        <f>SUM(U874:AA874)</f>
        <v>0</v>
      </c>
      <c r="AC879" s="67" t="str">
        <f>+F879</f>
        <v>PH5</v>
      </c>
    </row>
    <row r="880" spans="1:29" x14ac:dyDescent="0.2">
      <c r="A880" s="9"/>
      <c r="B880" s="103">
        <v>-1</v>
      </c>
      <c r="D880" s="8"/>
      <c r="E880" s="9"/>
      <c r="F880" s="36"/>
      <c r="H880" s="12"/>
      <c r="I880" s="19"/>
      <c r="J880" s="12"/>
      <c r="K880" s="43">
        <f>ROUND(C881*K$783,0)</f>
        <v>25000</v>
      </c>
      <c r="L880" s="35">
        <f>+B881-K880</f>
        <v>-25001</v>
      </c>
      <c r="M880" s="12"/>
      <c r="N880" s="12"/>
      <c r="O880" s="12"/>
      <c r="P880" s="17" t="e">
        <f>SUM(J881:M881,R881:AA881)</f>
        <v>#N/A</v>
      </c>
      <c r="Q880" s="17">
        <f t="shared" si="50"/>
        <v>0</v>
      </c>
      <c r="R880" s="38" t="e">
        <f>VLOOKUP((D881),'Pwr Factor'!$A$1:$B$52,2)</f>
        <v>#N/A</v>
      </c>
      <c r="S880" s="50">
        <v>0.25</v>
      </c>
      <c r="T880" s="12"/>
      <c r="U880" s="12"/>
      <c r="V880" s="12"/>
      <c r="W880" s="12"/>
      <c r="X880" s="12"/>
      <c r="Y880" s="12"/>
      <c r="Z880" s="12"/>
      <c r="AA880" s="12"/>
    </row>
    <row r="881" spans="1:29" x14ac:dyDescent="0.2">
      <c r="A881" s="1" t="s">
        <v>140</v>
      </c>
      <c r="B881" s="103">
        <f>IF(AND('AES Indiana Bill Calc.'!$D$17="PH",'AES Indiana Bill Calc.'!$D$18="Yes 25%",'AES Indiana Bill Calc.'!$D$20="Yes 2025"),'AES Indiana Bill Calc.'!$D$19,-1)</f>
        <v>-1</v>
      </c>
      <c r="C881" s="103">
        <f>MAX(E881,$C$783)</f>
        <v>100</v>
      </c>
      <c r="D881" s="103" t="b">
        <f>IF(AND('AES Indiana Bill Calc.'!$D$17="PH",'AES Indiana Bill Calc.'!$D$18="Yes 25%",'AES Indiana Bill Calc.'!$D$20="Yes 2025"),'AES Indiana Bill Calc.'!$D$22)</f>
        <v>0</v>
      </c>
      <c r="E881" s="103" t="b">
        <f>IF(AND('AES Indiana Bill Calc.'!$D$17="PH",'AES Indiana Bill Calc.'!$D$18="Yes 25%",'AES Indiana Bill Calc.'!$D$20="Yes 2025"),'AES Indiana Bill Calc.'!$D$21)</f>
        <v>0</v>
      </c>
      <c r="F881" s="36" t="s">
        <v>320</v>
      </c>
      <c r="G881" s="135" t="e">
        <f>MAX(I881,P880)</f>
        <v>#N/A</v>
      </c>
      <c r="H881" s="19" t="e">
        <f>IF(ISBLANK(B881),0,+#REF!/B881)</f>
        <v>#REF!</v>
      </c>
      <c r="I881" s="115">
        <f>(E881*120*$K$782)+$J$782</f>
        <v>1250</v>
      </c>
      <c r="J881" s="51">
        <f>IF(ISBLANK(B881),0,+J$782)</f>
        <v>1250</v>
      </c>
      <c r="K881" s="16">
        <f>IF($B881&gt;K880,ROUND(K880*K$782,2),ROUND($B881*K$782,2))</f>
        <v>-0.1</v>
      </c>
      <c r="L881" s="17">
        <f>IF($B881&gt;K880,ROUND((B881-K880)*L$782,2),0)</f>
        <v>0</v>
      </c>
      <c r="M881" s="17">
        <f>IF($C881&gt;L$658,ROUND(($C881-L$658)*M$657,2),0)</f>
        <v>0</v>
      </c>
      <c r="N881" s="17">
        <f>SUM(K881:L881)</f>
        <v>-0.1</v>
      </c>
      <c r="O881" s="17"/>
      <c r="P881" s="12"/>
      <c r="Q881" s="17">
        <f t="shared" si="50"/>
        <v>0</v>
      </c>
      <c r="R881" s="16" t="e">
        <f>ROUND(SUM(K881:M881)*(R880-1),2)</f>
        <v>#N/A</v>
      </c>
      <c r="S881" s="17">
        <f>ROUND($B881*S$782*S880,2)</f>
        <v>0</v>
      </c>
      <c r="T881" s="17">
        <f>ROUND($B881*T$782,2)</f>
        <v>0</v>
      </c>
      <c r="U881" s="17">
        <f>ROUND($B881*U$782,2)</f>
        <v>0</v>
      </c>
      <c r="V881" s="17">
        <f>ROUND($B881*V$780,2)</f>
        <v>-0.01</v>
      </c>
      <c r="W881" s="17">
        <f>ROUND($B881*W$782,2)</f>
        <v>0</v>
      </c>
      <c r="X881" s="17">
        <f>ROUND($B881*X$782,2)</f>
        <v>-0.01</v>
      </c>
      <c r="Y881" s="17">
        <f>ROUND($B881*Y$782,2)</f>
        <v>0</v>
      </c>
      <c r="Z881" s="17">
        <f>ROUND($B881*Z$782,2)</f>
        <v>0</v>
      </c>
      <c r="AA881" s="17">
        <f>ROUND($B881*AA$782,2)</f>
        <v>0</v>
      </c>
      <c r="AB881" s="19">
        <f>SUM(U876:AA876)</f>
        <v>0</v>
      </c>
      <c r="AC881" s="67" t="str">
        <f>+F881</f>
        <v>PH5</v>
      </c>
    </row>
    <row r="882" spans="1:29" x14ac:dyDescent="0.2">
      <c r="A882" s="9"/>
      <c r="B882" s="103">
        <v>-1</v>
      </c>
      <c r="D882" s="8"/>
      <c r="E882" s="9"/>
      <c r="F882" s="36"/>
      <c r="H882" s="12"/>
      <c r="I882" s="19"/>
      <c r="J882" s="12"/>
      <c r="K882" s="43">
        <f>ROUND(C883*K$783,0)</f>
        <v>25000</v>
      </c>
      <c r="L882" s="35">
        <f>+B883-K882</f>
        <v>-25001</v>
      </c>
      <c r="M882" s="12"/>
      <c r="N882" s="12"/>
      <c r="O882" s="12"/>
      <c r="P882" s="17" t="e">
        <f>SUM(J883:M883,R883:AA883)</f>
        <v>#N/A</v>
      </c>
      <c r="Q882" s="17">
        <f>M882</f>
        <v>0</v>
      </c>
      <c r="R882" s="38" t="e">
        <f>VLOOKUP((D883),'Pwr Factor'!$A$1:$B$52,2)</f>
        <v>#N/A</v>
      </c>
      <c r="S882" s="50">
        <v>0.1</v>
      </c>
      <c r="T882" s="12"/>
      <c r="U882" s="12"/>
      <c r="V882" s="12"/>
      <c r="W882" s="12"/>
      <c r="X882" s="12"/>
      <c r="Y882" s="12"/>
      <c r="Z882" s="12"/>
      <c r="AA882" s="12"/>
    </row>
    <row r="883" spans="1:29" x14ac:dyDescent="0.2">
      <c r="A883" s="1" t="s">
        <v>154</v>
      </c>
      <c r="B883" s="103">
        <f>IF(AND('AES Indiana Bill Calc.'!$D$17="PH",'AES Indiana Bill Calc.'!$D$18="Yes 10%",'AES Indiana Bill Calc.'!$D$20="Yes 2025"),'AES Indiana Bill Calc.'!$D$19,-1)</f>
        <v>-1</v>
      </c>
      <c r="C883" s="103">
        <f>MAX(E883,$C$783)</f>
        <v>100</v>
      </c>
      <c r="D883" s="103" t="b">
        <f>IF(AND('AES Indiana Bill Calc.'!$D$17="PH",'AES Indiana Bill Calc.'!$D$18="Yes 10%",'AES Indiana Bill Calc.'!$D$20="Yes 2025"),'AES Indiana Bill Calc.'!$D$22)</f>
        <v>0</v>
      </c>
      <c r="E883" s="103" t="b">
        <f>IF(AND('AES Indiana Bill Calc.'!$D$17="PH",'AES Indiana Bill Calc.'!$D$18="Yes 10%",'AES Indiana Bill Calc.'!$D$20="Yes 2025"),'AES Indiana Bill Calc.'!$D$21)</f>
        <v>0</v>
      </c>
      <c r="F883" s="36" t="s">
        <v>320</v>
      </c>
      <c r="G883" s="135" t="e">
        <f>MAX(I883,P882)</f>
        <v>#N/A</v>
      </c>
      <c r="H883" s="19" t="e">
        <f>IF(ISBLANK(B883),0,+#REF!/B883)</f>
        <v>#REF!</v>
      </c>
      <c r="I883" s="115">
        <f>(E883*120*$K$782)+$J$782</f>
        <v>1250</v>
      </c>
      <c r="J883" s="51">
        <f>IF(ISBLANK(B883),0,+J$782)</f>
        <v>1250</v>
      </c>
      <c r="K883" s="16">
        <f>IF($B883&gt;K882,ROUND(K882*K$782,2),ROUND($B883*K$782,2))</f>
        <v>-0.1</v>
      </c>
      <c r="L883" s="17">
        <f>IF($B883&gt;K882,ROUND((B883-K882)*L$782,2),0)</f>
        <v>0</v>
      </c>
      <c r="M883" s="17">
        <f>IF($C883&gt;L$658,ROUND(($C883-L$658)*M$657,2),0)</f>
        <v>0</v>
      </c>
      <c r="N883" s="17">
        <f>SUM(K883:L883)</f>
        <v>-0.1</v>
      </c>
      <c r="O883" s="17"/>
      <c r="P883" s="12"/>
      <c r="Q883" s="17">
        <f>M883</f>
        <v>0</v>
      </c>
      <c r="R883" s="16" t="e">
        <f>ROUND(SUM(K883:M883)*(R882-1),2)</f>
        <v>#N/A</v>
      </c>
      <c r="S883" s="17">
        <f>ROUND($B883*S$782*S882,2)</f>
        <v>0</v>
      </c>
      <c r="T883" s="17">
        <f>ROUND($B883*T$782,2)</f>
        <v>0</v>
      </c>
      <c r="U883" s="17">
        <f>ROUND($B883*U$782,2)</f>
        <v>0</v>
      </c>
      <c r="V883" s="17">
        <f>ROUND($B883*V$780,2)</f>
        <v>-0.01</v>
      </c>
      <c r="W883" s="17">
        <f>ROUND($B883*W$782,2)</f>
        <v>0</v>
      </c>
      <c r="X883" s="17">
        <f>ROUND($B883*X$782,2)</f>
        <v>-0.01</v>
      </c>
      <c r="Y883" s="17">
        <f>ROUND($B883*Y$782,2)</f>
        <v>0</v>
      </c>
      <c r="Z883" s="17">
        <f>ROUND($B883*Z$782,2)</f>
        <v>0</v>
      </c>
      <c r="AA883" s="17">
        <f>ROUND($B883*AA$782,2)</f>
        <v>0</v>
      </c>
      <c r="AB883" s="19">
        <f>SUM(U878:AA878)</f>
        <v>0</v>
      </c>
      <c r="AC883" s="67" t="str">
        <f>+F883</f>
        <v>PH5</v>
      </c>
    </row>
    <row r="884" spans="1:29" x14ac:dyDescent="0.2">
      <c r="A884" s="9"/>
      <c r="B884" s="103">
        <v>-1</v>
      </c>
      <c r="D884" s="8"/>
      <c r="E884" s="9"/>
      <c r="F884" s="36"/>
      <c r="H884" s="12"/>
      <c r="I884" s="19"/>
      <c r="J884" s="12"/>
      <c r="K884" s="43">
        <f>ROUND(C885*K$783,0)</f>
        <v>25000</v>
      </c>
      <c r="L884" s="35">
        <f>+B885-K884</f>
        <v>-25001</v>
      </c>
      <c r="M884" s="12"/>
      <c r="N884" s="12"/>
      <c r="O884" s="12"/>
      <c r="P884" s="17" t="e">
        <f>SUM(J885:M885,R885:AA885)</f>
        <v>#N/A</v>
      </c>
      <c r="Q884" s="17">
        <f>M884</f>
        <v>0</v>
      </c>
      <c r="R884" s="38" t="e">
        <f>VLOOKUP((D885),'Pwr Factor'!$A$1:$B$52,2)</f>
        <v>#N/A</v>
      </c>
      <c r="S884" s="50">
        <v>0</v>
      </c>
      <c r="T884" s="12"/>
      <c r="U884" s="12"/>
      <c r="V884" s="140"/>
      <c r="W884" s="12"/>
      <c r="X884" s="12"/>
      <c r="Y884" s="12"/>
      <c r="Z884" s="12"/>
      <c r="AA884" s="12"/>
    </row>
    <row r="885" spans="1:29" x14ac:dyDescent="0.2">
      <c r="A885" s="1" t="s">
        <v>137</v>
      </c>
      <c r="B885" s="103">
        <f>IF(AND('AES Indiana Bill Calc.'!$D$17="PH",'AES Indiana Bill Calc.'!$D$18="No",'AES Indiana Bill Calc.'!$D$20="Yes 2025"),'AES Indiana Bill Calc.'!$D$19,-1)</f>
        <v>-1</v>
      </c>
      <c r="C885" s="103">
        <f>MAX(E885,$C$783)</f>
        <v>100</v>
      </c>
      <c r="D885" s="103" t="b">
        <f>IF(AND('AES Indiana Bill Calc.'!$D$17="PH",'AES Indiana Bill Calc.'!$D$18="No",'AES Indiana Bill Calc.'!$D$20="Yes 2025"),'AES Indiana Bill Calc.'!$D$22)</f>
        <v>0</v>
      </c>
      <c r="E885" s="103" t="b">
        <f>IF(AND('AES Indiana Bill Calc.'!$D$17="PH",'AES Indiana Bill Calc.'!$D$18="No",'AES Indiana Bill Calc.'!$D$20="Yes 2025"),'AES Indiana Bill Calc.'!$D$21)</f>
        <v>0</v>
      </c>
      <c r="F885" s="36" t="s">
        <v>320</v>
      </c>
      <c r="G885" s="135" t="e">
        <f>MAX(I885,P884)</f>
        <v>#N/A</v>
      </c>
      <c r="H885" s="19" t="e">
        <f>IF(ISBLANK(B885),0,+#REF!/B885)</f>
        <v>#REF!</v>
      </c>
      <c r="I885" s="115">
        <f>(E885*120*$K$782)+$J$782</f>
        <v>1250</v>
      </c>
      <c r="J885" s="51">
        <f>IF(ISBLANK(B885),0,+J$782)</f>
        <v>1250</v>
      </c>
      <c r="K885" s="16">
        <f>IF($B885&gt;K884,ROUND(K884*K$782,2),ROUND($B885*K$782,2))</f>
        <v>-0.1</v>
      </c>
      <c r="L885" s="17">
        <f>IF($B885&gt;K884,ROUND((B885-K884)*L$782,2),0)</f>
        <v>0</v>
      </c>
      <c r="M885" s="17">
        <f>IF($C885&gt;L$658,ROUND(($C885-L$658)*M$657,2),0)</f>
        <v>0</v>
      </c>
      <c r="N885" s="17">
        <f>SUM(K885:L885)</f>
        <v>-0.1</v>
      </c>
      <c r="O885" s="17"/>
      <c r="P885" s="17"/>
      <c r="Q885" s="17">
        <f>M885</f>
        <v>0</v>
      </c>
      <c r="R885" s="16" t="e">
        <f>ROUND(SUM(K885:M885)*(R884-1),2)</f>
        <v>#N/A</v>
      </c>
      <c r="S885" s="17">
        <f>ROUND($B885*S$782*S884,2)</f>
        <v>0</v>
      </c>
      <c r="T885" s="17">
        <f>ROUND($B885*T$782,2)</f>
        <v>0</v>
      </c>
      <c r="U885" s="17">
        <f>ROUND($B885*U$782,2)</f>
        <v>0</v>
      </c>
      <c r="V885" s="17">
        <f>ROUND($B885*V$780,2)</f>
        <v>-0.01</v>
      </c>
      <c r="W885" s="17">
        <f>ROUND($B885*W$782,2)</f>
        <v>0</v>
      </c>
      <c r="X885" s="17">
        <f>ROUND($B885*X$782,2)</f>
        <v>-0.01</v>
      </c>
      <c r="Y885" s="17">
        <f>ROUND($B885*Y$782,2)</f>
        <v>0</v>
      </c>
      <c r="Z885" s="17">
        <f>ROUND($B885*Z$782,2)</f>
        <v>0</v>
      </c>
      <c r="AA885" s="17">
        <f>ROUND($B885*AA$782,2)</f>
        <v>0</v>
      </c>
      <c r="AB885" s="19">
        <f>SUM(U880:AA880)</f>
        <v>0</v>
      </c>
      <c r="AC885" s="67" t="str">
        <f>+F885</f>
        <v>PH5</v>
      </c>
    </row>
    <row r="886" spans="1:29" x14ac:dyDescent="0.2">
      <c r="A886" s="9"/>
      <c r="B886" s="103">
        <v>-1</v>
      </c>
      <c r="D886" s="8"/>
      <c r="E886" s="9"/>
      <c r="F886" s="36"/>
      <c r="H886" s="12"/>
      <c r="I886" s="19"/>
      <c r="J886" s="12"/>
      <c r="K886" s="43">
        <f>ROUND(C887*K$783,0)</f>
        <v>25000</v>
      </c>
      <c r="L886" s="35">
        <f>+B887-K886</f>
        <v>-25001</v>
      </c>
      <c r="M886" s="12"/>
      <c r="N886" s="12"/>
      <c r="O886" s="12"/>
      <c r="P886" s="17" t="e">
        <f>SUM(J887:M887,R887:AA887)</f>
        <v>#N/A</v>
      </c>
      <c r="Q886" s="17">
        <f t="shared" ref="Q886:Q891" si="51">M886</f>
        <v>0</v>
      </c>
      <c r="R886" s="38" t="e">
        <f>VLOOKUP((D887),'Pwr Factor'!$A$1:$B$52,2)</f>
        <v>#N/A</v>
      </c>
      <c r="S886" s="50">
        <v>1</v>
      </c>
      <c r="T886" s="12"/>
      <c r="U886" s="12"/>
      <c r="V886" s="12"/>
      <c r="W886" s="12"/>
      <c r="X886" s="12"/>
      <c r="Y886" s="12"/>
      <c r="Z886" s="12"/>
      <c r="AA886" s="12"/>
    </row>
    <row r="887" spans="1:29" x14ac:dyDescent="0.2">
      <c r="A887" s="1" t="s">
        <v>138</v>
      </c>
      <c r="B887" s="103">
        <f>IF(AND('AES Indiana Bill Calc.'!$D$17="PH",'AES Indiana Bill Calc.'!$D$18="Yes 100%",'AES Indiana Bill Calc.'!$D$20="Yes 2026"),'AES Indiana Bill Calc.'!$D$19,-1)</f>
        <v>-1</v>
      </c>
      <c r="C887" s="103">
        <f>MAX(E887,$C$783)</f>
        <v>100</v>
      </c>
      <c r="D887" s="103" t="b">
        <f>IF(AND('AES Indiana Bill Calc.'!$D$17="PH",'AES Indiana Bill Calc.'!$D$18="Yes 100%",'AES Indiana Bill Calc.'!$D$20="Yes 2025"),'AES Indiana Bill Calc.'!$D$22)</f>
        <v>0</v>
      </c>
      <c r="E887" s="103" t="b">
        <f>IF(AND('AES Indiana Bill Calc.'!$D$17="PH",'AES Indiana Bill Calc.'!$D$18="Yes 100%",'AES Indiana Bill Calc.'!$D$20="Yes 2025"),'AES Indiana Bill Calc.'!$D$21)</f>
        <v>0</v>
      </c>
      <c r="F887" s="36" t="s">
        <v>381</v>
      </c>
      <c r="G887" s="135" t="e">
        <f>MAX(I887,P886)</f>
        <v>#N/A</v>
      </c>
      <c r="H887" s="19" t="e">
        <f>IF(ISBLANK(B887),0,+#REF!/B887)</f>
        <v>#REF!</v>
      </c>
      <c r="I887" s="115">
        <f>(E887*120*$K$782)+$J$782</f>
        <v>1250</v>
      </c>
      <c r="J887" s="51">
        <f>IF(ISBLANK(B887),0,+J$782)</f>
        <v>1250</v>
      </c>
      <c r="K887" s="16">
        <f>IF($B887&gt;K886,ROUND(K886*K$782,2),ROUND($B887*K$782,2))</f>
        <v>-0.1</v>
      </c>
      <c r="L887" s="17">
        <f>IF($B887&gt;K886,ROUND((B887-K886)*L$782,2),0)</f>
        <v>0</v>
      </c>
      <c r="M887" s="17">
        <f>IF($C887&gt;L$658,ROUND(($C887-L$658)*M$657,2),0)</f>
        <v>0</v>
      </c>
      <c r="N887" s="17">
        <f>SUM(K887:L887)</f>
        <v>-0.1</v>
      </c>
      <c r="O887" s="17"/>
      <c r="P887" s="12"/>
      <c r="Q887" s="17">
        <f t="shared" si="51"/>
        <v>0</v>
      </c>
      <c r="R887" s="16" t="e">
        <f>ROUND(SUM(K887:M887)*(R886-1),2)</f>
        <v>#N/A</v>
      </c>
      <c r="S887" s="17">
        <f>ROUND($B887*S$782*S886,2)</f>
        <v>0</v>
      </c>
      <c r="T887" s="17">
        <f>ROUND($B887*T$782,2)</f>
        <v>0</v>
      </c>
      <c r="U887" s="17">
        <f>ROUND($B887*U$782,2)</f>
        <v>0</v>
      </c>
      <c r="V887" s="17">
        <f>ROUND($B887*V$781,2)</f>
        <v>-0.01</v>
      </c>
      <c r="W887" s="17">
        <f>ROUND($B887*W$782,2)</f>
        <v>0</v>
      </c>
      <c r="X887" s="17">
        <f>ROUND($B887*X$782,2)</f>
        <v>-0.01</v>
      </c>
      <c r="Y887" s="17">
        <f>ROUND($B887*Y$782,2)</f>
        <v>0</v>
      </c>
      <c r="Z887" s="17">
        <f>ROUND($B887*Z$782,2)</f>
        <v>0</v>
      </c>
      <c r="AA887" s="17">
        <f>ROUND($B887*AA$782,2)</f>
        <v>0</v>
      </c>
      <c r="AB887" s="19">
        <f>SUM(U882:AA882)</f>
        <v>0</v>
      </c>
      <c r="AC887" s="67" t="str">
        <f>+F887</f>
        <v>PH6</v>
      </c>
    </row>
    <row r="888" spans="1:29" x14ac:dyDescent="0.2">
      <c r="A888" s="9"/>
      <c r="B888" s="103">
        <v>-1</v>
      </c>
      <c r="D888" s="8"/>
      <c r="E888" s="9"/>
      <c r="F888" s="36"/>
      <c r="H888" s="12"/>
      <c r="I888" s="19"/>
      <c r="J888" s="12"/>
      <c r="K888" s="43">
        <f>ROUND(C889*K$783,0)</f>
        <v>25000</v>
      </c>
      <c r="L888" s="35">
        <f>+B889-K888</f>
        <v>-25001</v>
      </c>
      <c r="M888" s="12"/>
      <c r="N888" s="12"/>
      <c r="O888" s="12"/>
      <c r="P888" s="17" t="e">
        <f>SUM(J889:M889,R889:AA889)</f>
        <v>#N/A</v>
      </c>
      <c r="Q888" s="17">
        <f t="shared" si="51"/>
        <v>0</v>
      </c>
      <c r="R888" s="38" t="e">
        <f>VLOOKUP((D889),'Pwr Factor'!$A$1:$B$52,2)</f>
        <v>#N/A</v>
      </c>
      <c r="S888" s="50">
        <v>0.5</v>
      </c>
      <c r="T888" s="12"/>
      <c r="U888" s="12"/>
      <c r="V888" s="12"/>
      <c r="W888" s="12"/>
      <c r="X888" s="12"/>
      <c r="Y888" s="12"/>
      <c r="Z888" s="12"/>
      <c r="AA888" s="12"/>
    </row>
    <row r="889" spans="1:29" x14ac:dyDescent="0.2">
      <c r="A889" s="1" t="s">
        <v>139</v>
      </c>
      <c r="B889" s="103">
        <f>IF(AND('AES Indiana Bill Calc.'!$D$17="PH",'AES Indiana Bill Calc.'!$D$18="Yes 50%",'AES Indiana Bill Calc.'!$D$20="Yes 2026"),'AES Indiana Bill Calc.'!$D$19,-1)</f>
        <v>-1</v>
      </c>
      <c r="C889" s="103">
        <f>MAX(E889,$C$783)</f>
        <v>100</v>
      </c>
      <c r="D889" s="103" t="b">
        <f>IF(AND('AES Indiana Bill Calc.'!$D$17="PH",'AES Indiana Bill Calc.'!$D$18="Yes 50%",'AES Indiana Bill Calc.'!$D$20="Yes 2025"),'AES Indiana Bill Calc.'!$D$22)</f>
        <v>0</v>
      </c>
      <c r="E889" s="103" t="b">
        <f>IF(AND('AES Indiana Bill Calc.'!$D$17="PH",'AES Indiana Bill Calc.'!$D$18="Yes 50%",'AES Indiana Bill Calc.'!$D$20="Yes 2025"),'AES Indiana Bill Calc.'!$D$21)</f>
        <v>0</v>
      </c>
      <c r="F889" s="36" t="s">
        <v>381</v>
      </c>
      <c r="G889" s="135" t="e">
        <f>MAX(I889,P888)</f>
        <v>#N/A</v>
      </c>
      <c r="H889" s="19" t="e">
        <f>IF(ISBLANK(B889),0,+#REF!/B889)</f>
        <v>#REF!</v>
      </c>
      <c r="I889" s="115">
        <f>(E889*120*$K$782)+$J$782</f>
        <v>1250</v>
      </c>
      <c r="J889" s="51">
        <f>IF(ISBLANK(B889),0,+J$782)</f>
        <v>1250</v>
      </c>
      <c r="K889" s="16">
        <f>IF($B889&gt;K888,ROUND(K888*K$782,2),ROUND($B889*K$782,2))</f>
        <v>-0.1</v>
      </c>
      <c r="L889" s="17">
        <f>IF($B889&gt;K888,ROUND((B889-K888)*L$782,2),0)</f>
        <v>0</v>
      </c>
      <c r="M889" s="17">
        <f>IF($C889&gt;L$658,ROUND(($C889-L$658)*M$657,2),0)</f>
        <v>0</v>
      </c>
      <c r="N889" s="17">
        <f>SUM(K889:L889)</f>
        <v>-0.1</v>
      </c>
      <c r="O889" s="17"/>
      <c r="P889" s="12"/>
      <c r="Q889" s="17">
        <f t="shared" si="51"/>
        <v>0</v>
      </c>
      <c r="R889" s="16" t="e">
        <f>ROUND(SUM(K889:M889)*(R888-1),2)</f>
        <v>#N/A</v>
      </c>
      <c r="S889" s="17">
        <f>ROUND($B889*S$782*S888,2)</f>
        <v>0</v>
      </c>
      <c r="T889" s="17">
        <f>ROUND($B889*T$782,2)</f>
        <v>0</v>
      </c>
      <c r="U889" s="17">
        <f>ROUND($B889*U$782,2)</f>
        <v>0</v>
      </c>
      <c r="V889" s="17">
        <f>ROUND($B889*V$781,2)</f>
        <v>-0.01</v>
      </c>
      <c r="W889" s="17">
        <f>ROUND($B889*W$782,2)</f>
        <v>0</v>
      </c>
      <c r="X889" s="17">
        <f>ROUND($B889*X$782,2)</f>
        <v>-0.01</v>
      </c>
      <c r="Y889" s="17">
        <f>ROUND($B889*Y$782,2)</f>
        <v>0</v>
      </c>
      <c r="Z889" s="17">
        <f>ROUND($B889*Z$782,2)</f>
        <v>0</v>
      </c>
      <c r="AA889" s="17">
        <f>ROUND($B889*AA$782,2)</f>
        <v>0</v>
      </c>
      <c r="AB889" s="19">
        <f>SUM(U884:AA884)</f>
        <v>0</v>
      </c>
      <c r="AC889" s="67" t="str">
        <f>+F889</f>
        <v>PH6</v>
      </c>
    </row>
    <row r="890" spans="1:29" x14ac:dyDescent="0.2">
      <c r="A890" s="9"/>
      <c r="B890" s="103">
        <v>-1</v>
      </c>
      <c r="D890" s="8"/>
      <c r="E890" s="9"/>
      <c r="F890" s="36"/>
      <c r="H890" s="12"/>
      <c r="I890" s="19"/>
      <c r="J890" s="12"/>
      <c r="K890" s="43">
        <f>ROUND(C891*K$783,0)</f>
        <v>25000</v>
      </c>
      <c r="L890" s="35">
        <f>+B891-K890</f>
        <v>-25001</v>
      </c>
      <c r="M890" s="12"/>
      <c r="N890" s="12"/>
      <c r="O890" s="12"/>
      <c r="P890" s="17" t="e">
        <f>SUM(J891:M891,R891:AA891)</f>
        <v>#N/A</v>
      </c>
      <c r="Q890" s="17">
        <f t="shared" si="51"/>
        <v>0</v>
      </c>
      <c r="R890" s="38" t="e">
        <f>VLOOKUP((D891),'Pwr Factor'!$A$1:$B$52,2)</f>
        <v>#N/A</v>
      </c>
      <c r="S890" s="50">
        <v>0.25</v>
      </c>
      <c r="T890" s="12"/>
      <c r="U890" s="12"/>
      <c r="V890" s="12"/>
      <c r="W890" s="12"/>
      <c r="X890" s="12"/>
      <c r="Y890" s="12"/>
      <c r="Z890" s="12"/>
      <c r="AA890" s="12"/>
    </row>
    <row r="891" spans="1:29" x14ac:dyDescent="0.2">
      <c r="A891" s="1" t="s">
        <v>140</v>
      </c>
      <c r="B891" s="103">
        <f>IF(AND('AES Indiana Bill Calc.'!$D$17="PH",'AES Indiana Bill Calc.'!$D$18="Yes 25%",'AES Indiana Bill Calc.'!$D$20="Yes 2026"),'AES Indiana Bill Calc.'!$D$19,-1)</f>
        <v>-1</v>
      </c>
      <c r="C891" s="103">
        <f>MAX(E891,$C$783)</f>
        <v>100</v>
      </c>
      <c r="D891" s="103" t="b">
        <f>IF(AND('AES Indiana Bill Calc.'!$D$17="PH",'AES Indiana Bill Calc.'!$D$18="Yes 25%",'AES Indiana Bill Calc.'!$D$20="Yes 2025"),'AES Indiana Bill Calc.'!$D$22)</f>
        <v>0</v>
      </c>
      <c r="E891" s="103" t="b">
        <f>IF(AND('AES Indiana Bill Calc.'!$D$17="PH",'AES Indiana Bill Calc.'!$D$18="Yes 25%",'AES Indiana Bill Calc.'!$D$20="Yes 2025"),'AES Indiana Bill Calc.'!$D$21)</f>
        <v>0</v>
      </c>
      <c r="F891" s="36" t="s">
        <v>381</v>
      </c>
      <c r="G891" s="135" t="e">
        <f>MAX(I891,P890)</f>
        <v>#N/A</v>
      </c>
      <c r="H891" s="19" t="e">
        <f>IF(ISBLANK(B891),0,+#REF!/B891)</f>
        <v>#REF!</v>
      </c>
      <c r="I891" s="115">
        <f>(E891*120*$K$782)+$J$782</f>
        <v>1250</v>
      </c>
      <c r="J891" s="51">
        <f>IF(ISBLANK(B891),0,+J$782)</f>
        <v>1250</v>
      </c>
      <c r="K891" s="16">
        <f>IF($B891&gt;K890,ROUND(K890*K$782,2),ROUND($B891*K$782,2))</f>
        <v>-0.1</v>
      </c>
      <c r="L891" s="17">
        <f>IF($B891&gt;K890,ROUND((B891-K890)*L$782,2),0)</f>
        <v>0</v>
      </c>
      <c r="M891" s="17">
        <f>IF($C891&gt;L$658,ROUND(($C891-L$658)*M$657,2),0)</f>
        <v>0</v>
      </c>
      <c r="N891" s="17">
        <f>SUM(K891:L891)</f>
        <v>-0.1</v>
      </c>
      <c r="O891" s="17"/>
      <c r="P891" s="12"/>
      <c r="Q891" s="17">
        <f t="shared" si="51"/>
        <v>0</v>
      </c>
      <c r="R891" s="16" t="e">
        <f>ROUND(SUM(K891:M891)*(R890-1),2)</f>
        <v>#N/A</v>
      </c>
      <c r="S891" s="17">
        <f>ROUND($B891*S$782*S890,2)</f>
        <v>0</v>
      </c>
      <c r="T891" s="17">
        <f>ROUND($B891*T$782,2)</f>
        <v>0</v>
      </c>
      <c r="U891" s="17">
        <f>ROUND($B891*U$782,2)</f>
        <v>0</v>
      </c>
      <c r="V891" s="17">
        <f>ROUND($B891*V$781,2)</f>
        <v>-0.01</v>
      </c>
      <c r="W891" s="17">
        <f>ROUND($B891*W$782,2)</f>
        <v>0</v>
      </c>
      <c r="X891" s="17">
        <f>ROUND($B891*X$782,2)</f>
        <v>-0.01</v>
      </c>
      <c r="Y891" s="17">
        <f>ROUND($B891*Y$782,2)</f>
        <v>0</v>
      </c>
      <c r="Z891" s="17">
        <f>ROUND($B891*Z$782,2)</f>
        <v>0</v>
      </c>
      <c r="AA891" s="17">
        <f>ROUND($B891*AA$782,2)</f>
        <v>0</v>
      </c>
      <c r="AB891" s="19">
        <f>SUM(U886:AA886)</f>
        <v>0</v>
      </c>
      <c r="AC891" s="67" t="str">
        <f>+F891</f>
        <v>PH6</v>
      </c>
    </row>
    <row r="892" spans="1:29" x14ac:dyDescent="0.2">
      <c r="A892" s="9"/>
      <c r="B892" s="103">
        <v>-1</v>
      </c>
      <c r="D892" s="8"/>
      <c r="E892" s="9"/>
      <c r="F892" s="36"/>
      <c r="H892" s="12"/>
      <c r="I892" s="19"/>
      <c r="J892" s="12"/>
      <c r="K892" s="43">
        <f>ROUND(C893*K$783,0)</f>
        <v>25000</v>
      </c>
      <c r="L892" s="35">
        <f>+B893-K892</f>
        <v>-25001</v>
      </c>
      <c r="M892" s="12"/>
      <c r="N892" s="12"/>
      <c r="O892" s="12"/>
      <c r="P892" s="17" t="e">
        <f>SUM(J893:M893,R893:AA893)</f>
        <v>#N/A</v>
      </c>
      <c r="Q892" s="17">
        <f>M892</f>
        <v>0</v>
      </c>
      <c r="R892" s="38" t="e">
        <f>VLOOKUP((D893),'Pwr Factor'!$A$1:$B$52,2)</f>
        <v>#N/A</v>
      </c>
      <c r="S892" s="50">
        <v>0.1</v>
      </c>
      <c r="T892" s="12"/>
      <c r="U892" s="12"/>
      <c r="V892" s="12"/>
      <c r="W892" s="12"/>
      <c r="X892" s="12"/>
      <c r="Y892" s="12"/>
      <c r="Z892" s="12"/>
      <c r="AA892" s="12"/>
    </row>
    <row r="893" spans="1:29" x14ac:dyDescent="0.2">
      <c r="A893" s="1" t="s">
        <v>154</v>
      </c>
      <c r="B893" s="103">
        <f>IF(AND('AES Indiana Bill Calc.'!$D$17="PH",'AES Indiana Bill Calc.'!$D$18="Yes 10%",'AES Indiana Bill Calc.'!$D$20="Yes 2026"),'AES Indiana Bill Calc.'!$D$19,-1)</f>
        <v>-1</v>
      </c>
      <c r="C893" s="103">
        <f>MAX(E893,$C$783)</f>
        <v>100</v>
      </c>
      <c r="D893" s="103" t="b">
        <f>IF(AND('AES Indiana Bill Calc.'!$D$17="PH",'AES Indiana Bill Calc.'!$D$18="Yes 10%",'AES Indiana Bill Calc.'!$D$20="Yes 2025"),'AES Indiana Bill Calc.'!$D$22)</f>
        <v>0</v>
      </c>
      <c r="E893" s="103" t="b">
        <f>IF(AND('AES Indiana Bill Calc.'!$D$17="PH",'AES Indiana Bill Calc.'!$D$18="Yes 10%",'AES Indiana Bill Calc.'!$D$20="Yes 2025"),'AES Indiana Bill Calc.'!$D$21)</f>
        <v>0</v>
      </c>
      <c r="F893" s="36" t="s">
        <v>381</v>
      </c>
      <c r="G893" s="135" t="e">
        <f>MAX(I893,P892)</f>
        <v>#N/A</v>
      </c>
      <c r="H893" s="19" t="e">
        <f>IF(ISBLANK(B893),0,+#REF!/B893)</f>
        <v>#REF!</v>
      </c>
      <c r="I893" s="115">
        <f>(E893*120*$K$782)+$J$782</f>
        <v>1250</v>
      </c>
      <c r="J893" s="51">
        <f>IF(ISBLANK(B893),0,+J$782)</f>
        <v>1250</v>
      </c>
      <c r="K893" s="16">
        <f>IF($B893&gt;K892,ROUND(K892*K$782,2),ROUND($B893*K$782,2))</f>
        <v>-0.1</v>
      </c>
      <c r="L893" s="17">
        <f>IF($B893&gt;K892,ROUND((B893-K892)*L$782,2),0)</f>
        <v>0</v>
      </c>
      <c r="M893" s="17">
        <f>IF($C893&gt;L$658,ROUND(($C893-L$658)*M$657,2),0)</f>
        <v>0</v>
      </c>
      <c r="N893" s="17">
        <f>SUM(K893:L893)</f>
        <v>-0.1</v>
      </c>
      <c r="O893" s="17"/>
      <c r="P893" s="12"/>
      <c r="Q893" s="17">
        <f>M893</f>
        <v>0</v>
      </c>
      <c r="R893" s="16" t="e">
        <f>ROUND(SUM(K893:M893)*(R892-1),2)</f>
        <v>#N/A</v>
      </c>
      <c r="S893" s="17">
        <f>ROUND($B893*S$782*S892,2)</f>
        <v>0</v>
      </c>
      <c r="T893" s="17">
        <f>ROUND($B893*T$782,2)</f>
        <v>0</v>
      </c>
      <c r="U893" s="17">
        <f>ROUND($B893*U$782,2)</f>
        <v>0</v>
      </c>
      <c r="V893" s="17">
        <f>ROUND($B893*V$781,2)</f>
        <v>-0.01</v>
      </c>
      <c r="W893" s="17">
        <f>ROUND($B893*W$782,2)</f>
        <v>0</v>
      </c>
      <c r="X893" s="17">
        <f>ROUND($B893*X$782,2)</f>
        <v>-0.01</v>
      </c>
      <c r="Y893" s="17">
        <f>ROUND($B893*Y$782,2)</f>
        <v>0</v>
      </c>
      <c r="Z893" s="17">
        <f>ROUND($B893*Z$782,2)</f>
        <v>0</v>
      </c>
      <c r="AA893" s="17">
        <f>ROUND($B893*AA$782,2)</f>
        <v>0</v>
      </c>
      <c r="AB893" s="19">
        <f>SUM(U888:AA888)</f>
        <v>0</v>
      </c>
      <c r="AC893" s="67" t="str">
        <f>+F893</f>
        <v>PH6</v>
      </c>
    </row>
    <row r="894" spans="1:29" x14ac:dyDescent="0.2">
      <c r="A894" s="9"/>
      <c r="B894" s="103">
        <v>-1</v>
      </c>
      <c r="D894" s="8"/>
      <c r="E894" s="9"/>
      <c r="F894" s="36"/>
      <c r="H894" s="12"/>
      <c r="I894" s="19"/>
      <c r="J894" s="12"/>
      <c r="K894" s="43">
        <f>ROUND(C895*K$783,0)</f>
        <v>25000</v>
      </c>
      <c r="L894" s="35">
        <f>+B895-K894</f>
        <v>-25001</v>
      </c>
      <c r="M894" s="12"/>
      <c r="N894" s="12"/>
      <c r="O894" s="12"/>
      <c r="P894" s="17" t="e">
        <f>SUM(J895:M895,R895:AA895)</f>
        <v>#N/A</v>
      </c>
      <c r="Q894" s="17">
        <f>M894</f>
        <v>0</v>
      </c>
      <c r="R894" s="38" t="e">
        <f>VLOOKUP((D895),'Pwr Factor'!$A$1:$B$52,2)</f>
        <v>#N/A</v>
      </c>
      <c r="S894" s="50">
        <v>0</v>
      </c>
      <c r="T894" s="12"/>
      <c r="U894" s="12"/>
      <c r="V894" s="140"/>
      <c r="W894" s="12"/>
      <c r="X894" s="12"/>
      <c r="Y894" s="12"/>
      <c r="Z894" s="12"/>
      <c r="AA894" s="12"/>
    </row>
    <row r="895" spans="1:29" x14ac:dyDescent="0.2">
      <c r="A895" s="1" t="s">
        <v>137</v>
      </c>
      <c r="B895" s="103">
        <f>IF(AND('AES Indiana Bill Calc.'!$D$17="PH",'AES Indiana Bill Calc.'!$D$18="No",'AES Indiana Bill Calc.'!$D$20="Yes 2026"),'AES Indiana Bill Calc.'!$D$19,-1)</f>
        <v>-1</v>
      </c>
      <c r="C895" s="103">
        <f>MAX(E895,$C$783)</f>
        <v>100</v>
      </c>
      <c r="D895" s="103" t="b">
        <f>IF(AND('AES Indiana Bill Calc.'!$D$17="PH",'AES Indiana Bill Calc.'!$D$18="No",'AES Indiana Bill Calc.'!$D$20="Yes 2025"),'AES Indiana Bill Calc.'!$D$22)</f>
        <v>0</v>
      </c>
      <c r="E895" s="103" t="b">
        <f>IF(AND('AES Indiana Bill Calc.'!$D$17="PH",'AES Indiana Bill Calc.'!$D$18="No",'AES Indiana Bill Calc.'!$D$20="Yes 2025"),'AES Indiana Bill Calc.'!$D$21)</f>
        <v>0</v>
      </c>
      <c r="F895" s="36" t="s">
        <v>381</v>
      </c>
      <c r="G895" s="135" t="e">
        <f>MAX(I895,P894)</f>
        <v>#N/A</v>
      </c>
      <c r="H895" s="19" t="e">
        <f>IF(ISBLANK(B895),0,+#REF!/B895)</f>
        <v>#REF!</v>
      </c>
      <c r="I895" s="115">
        <f>(E895*120*$K$782)+$J$782</f>
        <v>1250</v>
      </c>
      <c r="J895" s="51">
        <f>IF(ISBLANK(B895),0,+J$782)</f>
        <v>1250</v>
      </c>
      <c r="K895" s="16">
        <f>IF($B895&gt;K894,ROUND(K894*K$782,2),ROUND($B895*K$782,2))</f>
        <v>-0.1</v>
      </c>
      <c r="L895" s="17">
        <f>IF($B895&gt;K894,ROUND((B895-K894)*L$782,2),0)</f>
        <v>0</v>
      </c>
      <c r="M895" s="17">
        <f>IF($C895&gt;L$658,ROUND(($C895-L$658)*M$657,2),0)</f>
        <v>0</v>
      </c>
      <c r="N895" s="17">
        <f>SUM(K895:L895)</f>
        <v>-0.1</v>
      </c>
      <c r="O895" s="17"/>
      <c r="P895" s="17"/>
      <c r="Q895" s="17">
        <f>M895</f>
        <v>0</v>
      </c>
      <c r="R895" s="16" t="e">
        <f>ROUND(SUM(K895:M895)*(R894-1),2)</f>
        <v>#N/A</v>
      </c>
      <c r="S895" s="17">
        <f>ROUND($B895*S$782*S894,2)</f>
        <v>0</v>
      </c>
      <c r="T895" s="17">
        <f>ROUND($B895*T$782,2)</f>
        <v>0</v>
      </c>
      <c r="U895" s="17">
        <f>ROUND($B895*U$782,2)</f>
        <v>0</v>
      </c>
      <c r="V895" s="17">
        <f>ROUND($B895*V$781,2)</f>
        <v>-0.01</v>
      </c>
      <c r="W895" s="17">
        <f>ROUND($B895*W$782,2)</f>
        <v>0</v>
      </c>
      <c r="X895" s="17">
        <f>ROUND($B895*X$782,2)</f>
        <v>-0.01</v>
      </c>
      <c r="Y895" s="17">
        <f>ROUND($B895*Y$782,2)</f>
        <v>0</v>
      </c>
      <c r="Z895" s="17">
        <f>ROUND($B895*Z$782,2)</f>
        <v>0</v>
      </c>
      <c r="AA895" s="17">
        <f>ROUND($B895*AA$782,2)</f>
        <v>0</v>
      </c>
      <c r="AB895" s="19">
        <f>SUM(U890:AA890)</f>
        <v>0</v>
      </c>
      <c r="AC895" s="67" t="str">
        <f>+F895</f>
        <v>PH6</v>
      </c>
    </row>
    <row r="896" spans="1:29" x14ac:dyDescent="0.2">
      <c r="A896" s="80"/>
      <c r="B896" s="103">
        <v>-1</v>
      </c>
      <c r="C896" s="9"/>
      <c r="D896" s="8"/>
      <c r="F896" s="36"/>
      <c r="G896" s="42"/>
      <c r="H896" s="19"/>
      <c r="I896" s="19"/>
      <c r="J896" s="41"/>
      <c r="K896" s="42"/>
      <c r="L896" s="42"/>
      <c r="M896" s="41"/>
      <c r="N896" s="41"/>
      <c r="O896" s="41"/>
      <c r="P896" s="41"/>
      <c r="Q896" s="41"/>
      <c r="R896" s="41"/>
      <c r="S896" s="42"/>
      <c r="T896" s="42"/>
      <c r="U896" s="42"/>
      <c r="V896" s="42"/>
      <c r="W896" s="42"/>
      <c r="X896" s="42"/>
      <c r="Y896" s="42"/>
      <c r="Z896" s="42"/>
      <c r="AA896" s="42"/>
      <c r="AB896" s="19"/>
    </row>
    <row r="897" spans="1:28" x14ac:dyDescent="0.2">
      <c r="B897" s="103">
        <v>-1</v>
      </c>
      <c r="C897" s="9"/>
      <c r="D897" s="8"/>
      <c r="G897" s="17"/>
      <c r="H897" s="19"/>
      <c r="I897" s="19"/>
      <c r="J897" s="8"/>
      <c r="K897" s="17"/>
      <c r="L897" s="17"/>
      <c r="M897" s="8"/>
      <c r="N897" s="8"/>
      <c r="O897" s="8"/>
      <c r="P897" s="8"/>
      <c r="Q897" s="8"/>
      <c r="R897" s="8"/>
      <c r="S897" s="17"/>
      <c r="T897" s="17"/>
      <c r="U897" s="17"/>
      <c r="V897" s="27">
        <f>+T8</f>
        <v>0</v>
      </c>
      <c r="W897" s="6" t="s">
        <v>148</v>
      </c>
      <c r="X897" s="17"/>
      <c r="Y897" s="17"/>
      <c r="Z897" s="17"/>
      <c r="AA897" s="17"/>
      <c r="AB897" s="19">
        <f>+AB$909-V$909+V897</f>
        <v>1.1679999999999999E-2</v>
      </c>
    </row>
    <row r="898" spans="1:28" x14ac:dyDescent="0.2">
      <c r="B898" s="103">
        <v>-1</v>
      </c>
      <c r="C898" s="9"/>
      <c r="D898" s="8"/>
      <c r="L898" t="s">
        <v>183</v>
      </c>
      <c r="M898" t="s">
        <v>183</v>
      </c>
      <c r="S898" s="6"/>
      <c r="T898" s="6"/>
      <c r="U898" s="6"/>
      <c r="V898" s="27">
        <f>+$T$12</f>
        <v>0</v>
      </c>
      <c r="W898" s="6" t="s">
        <v>144</v>
      </c>
      <c r="X898" s="6"/>
      <c r="Y898" s="6"/>
      <c r="Z898" s="6"/>
      <c r="AA898" s="6"/>
      <c r="AB898" s="19" t="e">
        <f>+AB$909-V$909+#REF!</f>
        <v>#REF!</v>
      </c>
    </row>
    <row r="899" spans="1:28" x14ac:dyDescent="0.2">
      <c r="B899" s="103">
        <v>-1</v>
      </c>
      <c r="C899" s="9"/>
      <c r="D899" s="8"/>
      <c r="S899" s="6"/>
      <c r="T899" s="6"/>
      <c r="U899" s="6"/>
      <c r="V899" s="27">
        <f>+$T$14</f>
        <v>0</v>
      </c>
      <c r="W899" s="6" t="s">
        <v>145</v>
      </c>
      <c r="X899" s="6"/>
      <c r="Y899" s="6"/>
      <c r="Z899" s="6"/>
      <c r="AA899" s="6"/>
      <c r="AB899" s="19">
        <f>+AB$909-V$909+V898</f>
        <v>1.1679999999999999E-2</v>
      </c>
    </row>
    <row r="900" spans="1:28" x14ac:dyDescent="0.2">
      <c r="B900" s="103">
        <v>-1</v>
      </c>
      <c r="C900" s="9"/>
      <c r="D900" s="8"/>
      <c r="S900" s="6"/>
      <c r="T900" s="6"/>
      <c r="U900" s="6"/>
      <c r="V900" s="27">
        <f>$T$16</f>
        <v>0</v>
      </c>
      <c r="W900" s="6" t="s">
        <v>146</v>
      </c>
      <c r="X900" s="6"/>
      <c r="Y900" s="6"/>
      <c r="Z900" s="6"/>
      <c r="AA900" s="6"/>
      <c r="AB900" s="19"/>
    </row>
    <row r="901" spans="1:28" x14ac:dyDescent="0.2">
      <c r="B901" s="103">
        <v>-1</v>
      </c>
      <c r="C901" s="9"/>
      <c r="D901" s="8"/>
      <c r="S901" s="6"/>
      <c r="T901" s="6"/>
      <c r="U901" s="6"/>
      <c r="V901" s="27">
        <f>$T$19</f>
        <v>0</v>
      </c>
      <c r="W901" s="6" t="s">
        <v>147</v>
      </c>
      <c r="X901" s="6"/>
      <c r="Y901" s="6"/>
      <c r="Z901" s="6"/>
      <c r="AA901" s="6"/>
      <c r="AB901" s="19"/>
    </row>
    <row r="902" spans="1:28" x14ac:dyDescent="0.2">
      <c r="B902" s="103">
        <v>-1</v>
      </c>
      <c r="C902" s="9"/>
      <c r="D902" s="8"/>
      <c r="S902" s="6"/>
      <c r="T902" s="6"/>
      <c r="U902" s="6"/>
      <c r="V902" s="27">
        <f>$T$21</f>
        <v>0</v>
      </c>
      <c r="W902" s="6" t="s">
        <v>148</v>
      </c>
      <c r="X902" s="6"/>
      <c r="Y902" s="6"/>
      <c r="Z902" s="6"/>
      <c r="AA902" s="6"/>
      <c r="AB902" s="19"/>
    </row>
    <row r="903" spans="1:28" x14ac:dyDescent="0.2">
      <c r="B903" s="103">
        <v>-1</v>
      </c>
      <c r="C903" s="9"/>
      <c r="D903" s="8"/>
      <c r="S903" s="6"/>
      <c r="T903" s="6"/>
      <c r="U903" s="6"/>
      <c r="V903" s="27">
        <f>$T$23</f>
        <v>-4.0299999999999998E-4</v>
      </c>
      <c r="W903" s="6" t="s">
        <v>149</v>
      </c>
      <c r="X903" s="6"/>
      <c r="Y903" s="6"/>
      <c r="Z903" s="6"/>
      <c r="AA903" s="6"/>
      <c r="AB903" s="19"/>
    </row>
    <row r="904" spans="1:28" x14ac:dyDescent="0.2">
      <c r="B904" s="103">
        <v>-1</v>
      </c>
      <c r="C904" s="33" t="s">
        <v>184</v>
      </c>
      <c r="D904" s="8"/>
      <c r="S904" s="6"/>
      <c r="T904" s="6"/>
      <c r="U904" s="6"/>
      <c r="V904" s="27">
        <f>$T$25</f>
        <v>0</v>
      </c>
      <c r="W904" s="6" t="s">
        <v>150</v>
      </c>
      <c r="X904" s="6"/>
      <c r="Y904" s="6"/>
      <c r="Z904" s="6"/>
      <c r="AA904" s="6"/>
      <c r="AB904" s="19"/>
    </row>
    <row r="905" spans="1:28" x14ac:dyDescent="0.2">
      <c r="B905" s="103">
        <v>-1</v>
      </c>
      <c r="C905" s="9">
        <v>2000</v>
      </c>
      <c r="D905" s="8"/>
      <c r="S905" s="6"/>
      <c r="T905" s="6"/>
      <c r="U905" s="6"/>
      <c r="V905" s="19">
        <f>T27</f>
        <v>0</v>
      </c>
      <c r="W905" s="6" t="s">
        <v>151</v>
      </c>
      <c r="X905" s="6"/>
      <c r="Y905" s="6"/>
      <c r="Z905" s="6"/>
      <c r="AA905" s="6"/>
      <c r="AB905" s="19"/>
    </row>
    <row r="906" spans="1:28" x14ac:dyDescent="0.2">
      <c r="B906" s="103">
        <v>-1</v>
      </c>
      <c r="C906" s="9"/>
      <c r="D906" s="8"/>
      <c r="S906" s="6"/>
      <c r="T906" s="6"/>
      <c r="U906" s="6"/>
      <c r="V906" s="19">
        <f>T29</f>
        <v>3.3769999999999998E-3</v>
      </c>
      <c r="W906" s="6" t="s">
        <v>285</v>
      </c>
      <c r="X906" s="6"/>
      <c r="Y906" s="6"/>
      <c r="Z906" s="6"/>
      <c r="AA906" s="6"/>
      <c r="AB906" s="19"/>
    </row>
    <row r="907" spans="1:28" x14ac:dyDescent="0.2">
      <c r="B907" s="103">
        <v>-1</v>
      </c>
      <c r="C907" s="9"/>
      <c r="D907" s="8"/>
      <c r="S907" s="6"/>
      <c r="T907" s="6"/>
      <c r="U907" s="6"/>
      <c r="V907" s="19">
        <f>T31</f>
        <v>7.6290000000000004E-3</v>
      </c>
      <c r="W907" s="6" t="s">
        <v>162</v>
      </c>
      <c r="X907" s="6"/>
      <c r="Y907" s="6"/>
      <c r="Z907" s="6"/>
      <c r="AA907" s="6"/>
      <c r="AB907" s="19"/>
    </row>
    <row r="908" spans="1:28" x14ac:dyDescent="0.2">
      <c r="B908" s="103">
        <v>-1</v>
      </c>
      <c r="C908" s="9"/>
      <c r="D908" s="8"/>
      <c r="S908" s="6"/>
      <c r="T908" s="6"/>
      <c r="U908" s="6"/>
      <c r="V908" s="19">
        <f>T33</f>
        <v>9.0039999999999999E-3</v>
      </c>
      <c r="W908" s="6" t="s">
        <v>144</v>
      </c>
      <c r="X908" s="6"/>
      <c r="Y908" s="6"/>
      <c r="Z908" s="6"/>
      <c r="AA908" s="6"/>
      <c r="AB908" s="19"/>
    </row>
    <row r="909" spans="1:28" x14ac:dyDescent="0.2">
      <c r="B909" s="103">
        <v>-1</v>
      </c>
      <c r="C909" s="9"/>
      <c r="D909" s="8"/>
      <c r="F909" s="70"/>
      <c r="G909" s="70"/>
      <c r="H909" s="70"/>
      <c r="I909" s="70"/>
      <c r="J909" s="157">
        <v>130</v>
      </c>
      <c r="K909" s="158">
        <v>4.0606000000000003E-2</v>
      </c>
      <c r="L909" s="157">
        <v>27.95</v>
      </c>
      <c r="M909" s="157">
        <v>27.95</v>
      </c>
      <c r="N909" s="72"/>
      <c r="O909" s="72"/>
      <c r="P909" s="72"/>
      <c r="Q909" s="72"/>
      <c r="R909" s="5"/>
      <c r="S909" s="27">
        <f>+S657</f>
        <v>1.8E-3</v>
      </c>
      <c r="T909" s="27">
        <f>+T657</f>
        <v>2.3900000000000001E-4</v>
      </c>
      <c r="U909" s="27">
        <f>+$S$34</f>
        <v>1.6930000000000001E-3</v>
      </c>
      <c r="V909" s="27">
        <f>+V657</f>
        <v>1.5089999999999999E-2</v>
      </c>
      <c r="W909" s="27">
        <f>+W657</f>
        <v>0</v>
      </c>
      <c r="X909" s="27">
        <f>+V34</f>
        <v>7.084E-3</v>
      </c>
      <c r="Y909" s="27">
        <f>+W34</f>
        <v>-2.5599999999999999E-4</v>
      </c>
      <c r="Z909" s="27">
        <f>+X34</f>
        <v>3.1589999999999999E-3</v>
      </c>
      <c r="AA909" s="27">
        <f>+Y34</f>
        <v>5.6300000000000002E-4</v>
      </c>
      <c r="AB909" s="19">
        <f>SUM(U909:Z909)</f>
        <v>2.6769999999999999E-2</v>
      </c>
    </row>
    <row r="910" spans="1:28" x14ac:dyDescent="0.2">
      <c r="A910" s="1"/>
      <c r="B910" s="103">
        <v>-1</v>
      </c>
      <c r="C910" s="9"/>
      <c r="D910" s="8"/>
      <c r="F910" s="70"/>
      <c r="G910" s="70"/>
      <c r="H910" s="70"/>
      <c r="I910" s="70"/>
      <c r="J910" s="70"/>
      <c r="K910" s="70"/>
      <c r="L910" s="73">
        <v>4000</v>
      </c>
      <c r="M910" s="70"/>
      <c r="N910" s="70"/>
      <c r="O910" s="70"/>
      <c r="P910" s="70"/>
      <c r="Q910" s="70"/>
    </row>
    <row r="911" spans="1:28" x14ac:dyDescent="0.2">
      <c r="B911" s="103">
        <v>-1</v>
      </c>
      <c r="C911" s="9"/>
      <c r="D911" s="8"/>
      <c r="F911" s="12"/>
      <c r="J911" s="12" t="s">
        <v>127</v>
      </c>
      <c r="K911" s="12" t="s">
        <v>187</v>
      </c>
      <c r="L911" s="254" t="s">
        <v>30</v>
      </c>
      <c r="M911" s="254"/>
      <c r="N911" s="12"/>
      <c r="O911" s="12"/>
      <c r="P911" s="12"/>
      <c r="Q911" s="140" t="s">
        <v>163</v>
      </c>
      <c r="R911" s="12" t="s">
        <v>186</v>
      </c>
      <c r="S911" s="12">
        <v>21</v>
      </c>
      <c r="T911" s="12">
        <v>6</v>
      </c>
      <c r="U911" s="12">
        <v>3</v>
      </c>
      <c r="V911" s="12">
        <v>22</v>
      </c>
      <c r="W911" s="12">
        <v>13</v>
      </c>
      <c r="X911" s="12">
        <v>20</v>
      </c>
      <c r="Y911" s="12">
        <v>24</v>
      </c>
      <c r="Z911" s="12">
        <v>25</v>
      </c>
      <c r="AA911" s="12">
        <v>26</v>
      </c>
    </row>
    <row r="912" spans="1:28" x14ac:dyDescent="0.2">
      <c r="A912" s="13"/>
      <c r="B912" s="103">
        <v>-1</v>
      </c>
      <c r="C912" s="99" t="s">
        <v>199</v>
      </c>
      <c r="D912" s="100" t="s">
        <v>200</v>
      </c>
      <c r="E912" s="130" t="s">
        <v>189</v>
      </c>
      <c r="F912" s="13" t="s">
        <v>131</v>
      </c>
      <c r="G912" s="13" t="s">
        <v>132</v>
      </c>
      <c r="H912" s="13" t="s">
        <v>133</v>
      </c>
      <c r="I912" s="12"/>
      <c r="J912" s="13" t="s">
        <v>134</v>
      </c>
      <c r="K912" s="13" t="s">
        <v>134</v>
      </c>
      <c r="L912" s="13" t="s">
        <v>222</v>
      </c>
      <c r="M912" s="13" t="s">
        <v>223</v>
      </c>
      <c r="N912" s="140" t="s">
        <v>128</v>
      </c>
      <c r="O912" s="13"/>
      <c r="P912" s="13"/>
      <c r="Q912" s="13"/>
      <c r="R912" s="13" t="s">
        <v>191</v>
      </c>
      <c r="S912" s="13" t="s">
        <v>96</v>
      </c>
      <c r="T912" s="13" t="s">
        <v>36</v>
      </c>
      <c r="U912" s="136" t="s">
        <v>38</v>
      </c>
      <c r="V912" s="13" t="s">
        <v>97</v>
      </c>
      <c r="W912" s="13" t="s">
        <v>98</v>
      </c>
      <c r="X912" s="13" t="s">
        <v>99</v>
      </c>
      <c r="Y912" s="136" t="s">
        <v>44</v>
      </c>
      <c r="Z912" s="136" t="s">
        <v>46</v>
      </c>
      <c r="AA912" s="136" t="s">
        <v>48</v>
      </c>
      <c r="AB912" s="66" t="s">
        <v>100</v>
      </c>
    </row>
    <row r="913" spans="1:29" x14ac:dyDescent="0.2">
      <c r="B913" s="103">
        <v>-1</v>
      </c>
      <c r="C913" s="9"/>
      <c r="D913" s="8"/>
      <c r="F913" s="36"/>
      <c r="G913" s="17"/>
      <c r="H913" s="19"/>
      <c r="I913" s="12"/>
      <c r="J913" s="12"/>
      <c r="K913" s="12"/>
      <c r="L913" s="12"/>
      <c r="M913" s="12"/>
      <c r="N913" s="12"/>
      <c r="O913" s="12"/>
      <c r="P913" s="12"/>
      <c r="Q913" s="12"/>
      <c r="R913" s="38" t="e">
        <f>VLOOKUP((D914),'Pwr Factor'!$A$1:$B$52,2)</f>
        <v>#N/A</v>
      </c>
      <c r="S913" s="50">
        <v>1</v>
      </c>
      <c r="T913" s="12"/>
      <c r="U913" s="12"/>
      <c r="V913" s="12"/>
      <c r="W913" s="12"/>
      <c r="X913" s="12"/>
      <c r="Y913" s="12"/>
      <c r="Z913" s="12"/>
      <c r="AA913" s="12"/>
    </row>
    <row r="914" spans="1:29" x14ac:dyDescent="0.2">
      <c r="A914" s="1" t="s">
        <v>138</v>
      </c>
      <c r="B914" s="103">
        <f>IF(AND('AES Indiana Bill Calc.'!$D$17="HL1",'AES Indiana Bill Calc.'!$D$18="Yes 100%",'AES Indiana Bill Calc.'!$D$20="No"),'AES Indiana Bill Calc.'!$D$19,-1)</f>
        <v>-1</v>
      </c>
      <c r="C914" s="103">
        <f>MAX(E914,$C$905)</f>
        <v>2000</v>
      </c>
      <c r="D914" s="103" t="b">
        <f>IF(AND('AES Indiana Bill Calc.'!$D$17="HL1",'AES Indiana Bill Calc.'!$D$18="Yes 100%",'AES Indiana Bill Calc.'!$D$20="No"),'AES Indiana Bill Calc.'!$D$22)</f>
        <v>0</v>
      </c>
      <c r="E914" s="103" t="b">
        <f>IF(AND('AES Indiana Bill Calc.'!$D$17="HL1",'AES Indiana Bill Calc.'!$D$18="Yes 100%",'AES Indiana Bill Calc.'!$D$20="No"),'AES Indiana Bill Calc.'!$D$21)</f>
        <v>0</v>
      </c>
      <c r="F914" s="36" t="s">
        <v>65</v>
      </c>
      <c r="G914" s="92" t="e">
        <f>SUM(J914:M914,R914:AA914)</f>
        <v>#N/A</v>
      </c>
      <c r="H914" s="19" t="e">
        <f>IF(ISBLANK(B914),0,+#REF!/B914)</f>
        <v>#REF!</v>
      </c>
      <c r="I914" s="19"/>
      <c r="J914" s="51">
        <f>IF(ISBLANK(B914),0,+J$909)</f>
        <v>130</v>
      </c>
      <c r="K914" s="17">
        <f>ROUND($B914*K$909,2)</f>
        <v>-0.04</v>
      </c>
      <c r="L914" s="16">
        <f>IF(ISBLANK($C914),0,IF($C914&lt;$C$910,ROUND($C$910*$L$909,2),IF($C914&gt;L$910,ROUND(L$910*L$909,2),ROUND($C914*L$909,2))))</f>
        <v>55900</v>
      </c>
      <c r="M914" s="17">
        <f>IF($C914&gt;L$910,ROUND(($C914-L$910)*M$909,2),0)</f>
        <v>0</v>
      </c>
      <c r="N914" s="17">
        <f>K914</f>
        <v>-0.04</v>
      </c>
      <c r="O914" s="17"/>
      <c r="P914" s="17"/>
      <c r="Q914" s="17">
        <f>SUM(L914:M914)</f>
        <v>55900</v>
      </c>
      <c r="R914" s="16" t="e">
        <f>ROUND(SUM(K914:M914)*(R913-1),2)</f>
        <v>#N/A</v>
      </c>
      <c r="S914" s="17">
        <f>ROUND($B914*S$909*S913,2)</f>
        <v>0</v>
      </c>
      <c r="T914" s="17">
        <f t="shared" ref="T914:AA914" si="52">ROUND($B914*T$909,2)</f>
        <v>0</v>
      </c>
      <c r="U914" s="17">
        <f t="shared" si="52"/>
        <v>0</v>
      </c>
      <c r="V914" s="17">
        <f t="shared" si="52"/>
        <v>-0.02</v>
      </c>
      <c r="W914" s="17">
        <f t="shared" si="52"/>
        <v>0</v>
      </c>
      <c r="X914" s="17">
        <f t="shared" si="52"/>
        <v>-0.01</v>
      </c>
      <c r="Y914" s="17">
        <f t="shared" si="52"/>
        <v>0</v>
      </c>
      <c r="Z914" s="17">
        <f t="shared" si="52"/>
        <v>0</v>
      </c>
      <c r="AA914" s="17">
        <f t="shared" si="52"/>
        <v>0</v>
      </c>
      <c r="AB914" s="19">
        <f>SUM(U909:AA909)</f>
        <v>2.7333E-2</v>
      </c>
      <c r="AC914" s="67" t="str">
        <f>+F914</f>
        <v>HL1</v>
      </c>
    </row>
    <row r="915" spans="1:29" x14ac:dyDescent="0.2">
      <c r="A915" s="9"/>
      <c r="B915" s="103">
        <v>-1</v>
      </c>
      <c r="D915" s="8"/>
      <c r="E915" s="9"/>
      <c r="F915" s="36"/>
      <c r="G915" s="17"/>
      <c r="H915" s="19"/>
      <c r="I915" s="12"/>
      <c r="J915" s="12"/>
      <c r="K915" s="12"/>
      <c r="L915" s="12"/>
      <c r="M915" s="12"/>
      <c r="N915" s="12"/>
      <c r="O915" s="12"/>
      <c r="P915" s="12"/>
      <c r="Q915" s="12"/>
      <c r="R915" s="38" t="e">
        <f>VLOOKUP((D916),'Pwr Factor'!$A$1:$B$52,2)</f>
        <v>#N/A</v>
      </c>
      <c r="S915" s="50">
        <v>0.5</v>
      </c>
      <c r="T915" s="12"/>
      <c r="U915" s="12"/>
      <c r="V915" s="12"/>
      <c r="W915" s="12"/>
      <c r="X915" s="12"/>
      <c r="Y915" s="12"/>
      <c r="Z915" s="12"/>
      <c r="AA915" s="12"/>
    </row>
    <row r="916" spans="1:29" x14ac:dyDescent="0.2">
      <c r="A916" s="1" t="s">
        <v>139</v>
      </c>
      <c r="B916" s="103">
        <f>IF(AND('AES Indiana Bill Calc.'!$D$17="HL1",'AES Indiana Bill Calc.'!$D$18="Yes 50%",'AES Indiana Bill Calc.'!$D$20="No"),'AES Indiana Bill Calc.'!$D$19,-1)</f>
        <v>-1</v>
      </c>
      <c r="C916" s="103">
        <f>MAX(E916,$C$905)</f>
        <v>2000</v>
      </c>
      <c r="D916" s="103" t="b">
        <f>IF(AND('AES Indiana Bill Calc.'!$D$17="HL1",'AES Indiana Bill Calc.'!$D$18="Yes 50%",'AES Indiana Bill Calc.'!$D$20="No"),'AES Indiana Bill Calc.'!$D$22)</f>
        <v>0</v>
      </c>
      <c r="E916" s="103" t="b">
        <f>IF(AND('AES Indiana Bill Calc.'!$D$17="HL1",'AES Indiana Bill Calc.'!$D$18="Yes 50%",'AES Indiana Bill Calc.'!$D$20="No"),'AES Indiana Bill Calc.'!$D$21)</f>
        <v>0</v>
      </c>
      <c r="F916" s="36" t="s">
        <v>65</v>
      </c>
      <c r="G916" s="92" t="e">
        <f>SUM(J916:M916,R916:AA916)</f>
        <v>#N/A</v>
      </c>
      <c r="H916" s="19" t="e">
        <f>IF(ISBLANK(B916),0,+#REF!/B916)</f>
        <v>#REF!</v>
      </c>
      <c r="I916" s="19"/>
      <c r="J916" s="51">
        <f>IF(ISBLANK(B916),0,+J$909)</f>
        <v>130</v>
      </c>
      <c r="K916" s="17">
        <f>ROUND($B916*K$909,2)</f>
        <v>-0.04</v>
      </c>
      <c r="L916" s="16">
        <f>IF(ISBLANK($C916),0,IF($C916&lt;$C$910,ROUND($C$910*$L$909,2),IF($C916&gt;L$910,ROUND(L$910*L$909,2),ROUND($C916*L$909,2))))</f>
        <v>55900</v>
      </c>
      <c r="M916" s="17">
        <f>IF($C916&gt;L$910,ROUND(($C916-L$910)*M$909,2),0)</f>
        <v>0</v>
      </c>
      <c r="N916" s="17">
        <f>K916</f>
        <v>-0.04</v>
      </c>
      <c r="O916" s="17"/>
      <c r="P916" s="17"/>
      <c r="Q916" s="17">
        <f>SUM(L916:M916)</f>
        <v>55900</v>
      </c>
      <c r="R916" s="16" t="e">
        <f>ROUND(SUM(K916:M916)*(R915-1),2)</f>
        <v>#N/A</v>
      </c>
      <c r="S916" s="17">
        <f>ROUND($B916*S$909*S915,2)</f>
        <v>0</v>
      </c>
      <c r="T916" s="17">
        <f t="shared" ref="T916:AA916" si="53">ROUND($B916*T$909,2)</f>
        <v>0</v>
      </c>
      <c r="U916" s="17">
        <f t="shared" si="53"/>
        <v>0</v>
      </c>
      <c r="V916" s="17">
        <f t="shared" si="53"/>
        <v>-0.02</v>
      </c>
      <c r="W916" s="17">
        <f t="shared" si="53"/>
        <v>0</v>
      </c>
      <c r="X916" s="17">
        <f t="shared" si="53"/>
        <v>-0.01</v>
      </c>
      <c r="Y916" s="17">
        <f t="shared" si="53"/>
        <v>0</v>
      </c>
      <c r="Z916" s="17">
        <f t="shared" si="53"/>
        <v>0</v>
      </c>
      <c r="AA916" s="17">
        <f t="shared" si="53"/>
        <v>0</v>
      </c>
      <c r="AB916" s="19">
        <f>SUM(U911:AA911)</f>
        <v>133</v>
      </c>
      <c r="AC916" s="67" t="str">
        <f>+F916</f>
        <v>HL1</v>
      </c>
    </row>
    <row r="917" spans="1:29" x14ac:dyDescent="0.2">
      <c r="A917" s="9"/>
      <c r="B917" s="103">
        <v>-1</v>
      </c>
      <c r="D917" s="8"/>
      <c r="E917" s="9"/>
      <c r="F917" s="36"/>
      <c r="G917" s="17"/>
      <c r="H917" s="19"/>
      <c r="I917" s="12"/>
      <c r="J917" s="12"/>
      <c r="K917" s="12"/>
      <c r="L917" s="12"/>
      <c r="M917" s="12"/>
      <c r="N917" s="12"/>
      <c r="O917" s="12"/>
      <c r="P917" s="12"/>
      <c r="Q917" s="12"/>
      <c r="R917" s="38" t="e">
        <f>VLOOKUP((D918),'Pwr Factor'!$A$1:$B$52,2)</f>
        <v>#N/A</v>
      </c>
      <c r="S917" s="50">
        <v>0.25</v>
      </c>
      <c r="T917" s="12"/>
      <c r="U917" s="12"/>
      <c r="V917" s="12"/>
      <c r="W917" s="12"/>
      <c r="X917" s="12"/>
      <c r="Y917" s="12"/>
      <c r="Z917" s="12"/>
      <c r="AA917" s="12"/>
    </row>
    <row r="918" spans="1:29" x14ac:dyDescent="0.2">
      <c r="A918" s="1" t="s">
        <v>140</v>
      </c>
      <c r="B918" s="103">
        <f>IF(AND('AES Indiana Bill Calc.'!$D$17="HL1",'AES Indiana Bill Calc.'!$D$18="Yes 25%",'AES Indiana Bill Calc.'!$D$20="No"),'AES Indiana Bill Calc.'!$D$19,-1)</f>
        <v>-1</v>
      </c>
      <c r="C918" s="103">
        <f>MAX(E918,$C$905)</f>
        <v>2000</v>
      </c>
      <c r="D918" s="103" t="b">
        <f>IF(AND('AES Indiana Bill Calc.'!$D$17="HL1",'AES Indiana Bill Calc.'!$D$18="Yes 25%",'AES Indiana Bill Calc.'!$D$20="No"),'AES Indiana Bill Calc.'!$D$22)</f>
        <v>0</v>
      </c>
      <c r="E918" s="103" t="b">
        <f>IF(AND('AES Indiana Bill Calc.'!$D$17="HL1",'AES Indiana Bill Calc.'!$D$18="Yes 25%",'AES Indiana Bill Calc.'!$D$20="No"),'AES Indiana Bill Calc.'!$D$21)</f>
        <v>0</v>
      </c>
      <c r="F918" s="36" t="s">
        <v>65</v>
      </c>
      <c r="G918" s="92" t="e">
        <f>SUM(J918:M918,R918:AA918)</f>
        <v>#N/A</v>
      </c>
      <c r="H918" s="19" t="e">
        <f>IF(ISBLANK(B918),0,+#REF!/B918)</f>
        <v>#REF!</v>
      </c>
      <c r="I918" s="19"/>
      <c r="J918" s="51">
        <f>IF(ISBLANK(B918),0,+J$909)</f>
        <v>130</v>
      </c>
      <c r="K918" s="17">
        <f>ROUND($B918*K$909,2)</f>
        <v>-0.04</v>
      </c>
      <c r="L918" s="16">
        <f>IF(ISBLANK($C918),0,IF($C918&lt;$C$910,ROUND($C$910*$L$909,2),IF($C918&gt;L$910,ROUND(L$910*L$909,2),ROUND($C918*L$909,2))))</f>
        <v>55900</v>
      </c>
      <c r="M918" s="17">
        <f>IF($C918&gt;L$910,ROUND(($C918-L$910)*M$909,2),0)</f>
        <v>0</v>
      </c>
      <c r="N918" s="17">
        <f>K918</f>
        <v>-0.04</v>
      </c>
      <c r="O918" s="17"/>
      <c r="P918" s="17"/>
      <c r="Q918" s="17">
        <f>SUM(L918:M918)</f>
        <v>55900</v>
      </c>
      <c r="R918" s="16" t="e">
        <f>ROUND(SUM(K918:M918)*(R917-1),2)</f>
        <v>#N/A</v>
      </c>
      <c r="S918" s="17">
        <f>ROUND($B918*S$909*S917,2)</f>
        <v>0</v>
      </c>
      <c r="T918" s="17">
        <f t="shared" ref="T918:AA918" si="54">ROUND($B918*T$909,2)</f>
        <v>0</v>
      </c>
      <c r="U918" s="17">
        <f t="shared" si="54"/>
        <v>0</v>
      </c>
      <c r="V918" s="17">
        <f t="shared" si="54"/>
        <v>-0.02</v>
      </c>
      <c r="W918" s="17">
        <f t="shared" si="54"/>
        <v>0</v>
      </c>
      <c r="X918" s="17">
        <f t="shared" si="54"/>
        <v>-0.01</v>
      </c>
      <c r="Y918" s="17">
        <f t="shared" si="54"/>
        <v>0</v>
      </c>
      <c r="Z918" s="17">
        <f t="shared" si="54"/>
        <v>0</v>
      </c>
      <c r="AA918" s="17">
        <f t="shared" si="54"/>
        <v>0</v>
      </c>
      <c r="AB918" s="19">
        <f>SUM(U913:AA913)</f>
        <v>0</v>
      </c>
      <c r="AC918" s="67" t="str">
        <f>+F918</f>
        <v>HL1</v>
      </c>
    </row>
    <row r="919" spans="1:29" x14ac:dyDescent="0.2">
      <c r="A919" s="9"/>
      <c r="B919" s="103">
        <v>-1</v>
      </c>
      <c r="D919" s="8"/>
      <c r="E919" s="9"/>
      <c r="F919" s="36"/>
      <c r="G919" s="17"/>
      <c r="H919" s="19"/>
      <c r="I919" s="12"/>
      <c r="J919" s="12"/>
      <c r="K919" s="12"/>
      <c r="L919" s="12"/>
      <c r="M919" s="12"/>
      <c r="N919" s="12"/>
      <c r="O919" s="12"/>
      <c r="P919" s="12"/>
      <c r="Q919" s="17"/>
      <c r="R919" s="38" t="e">
        <f>VLOOKUP((D920),'Pwr Factor'!$A$1:$B$52,2)</f>
        <v>#N/A</v>
      </c>
      <c r="S919" s="50">
        <v>0.1</v>
      </c>
      <c r="T919" s="12"/>
      <c r="U919" s="12"/>
      <c r="V919" s="12"/>
      <c r="W919" s="12"/>
      <c r="X919" s="12"/>
      <c r="Y919" s="12"/>
      <c r="Z919" s="12"/>
      <c r="AA919" s="12"/>
    </row>
    <row r="920" spans="1:29" x14ac:dyDescent="0.2">
      <c r="A920" s="1" t="s">
        <v>154</v>
      </c>
      <c r="B920" s="103">
        <f>IF(AND('AES Indiana Bill Calc.'!$D$17="HL1",'AES Indiana Bill Calc.'!$D$18="Yes 10%",'AES Indiana Bill Calc.'!$D$20="No"),'AES Indiana Bill Calc.'!$D$19,-1)</f>
        <v>-1</v>
      </c>
      <c r="C920" s="103">
        <f>MAX(E920,$C$905)</f>
        <v>2000</v>
      </c>
      <c r="D920" s="103" t="b">
        <f>IF(AND('AES Indiana Bill Calc.'!$D$17="HL1",'AES Indiana Bill Calc.'!$D$18="Yes 10%",'AES Indiana Bill Calc.'!$D$20="No"),'AES Indiana Bill Calc.'!$D$22)</f>
        <v>0</v>
      </c>
      <c r="E920" s="103" t="b">
        <f>IF(AND('AES Indiana Bill Calc.'!$D$17="HL1",'AES Indiana Bill Calc.'!$D$18="Yes 10%",'AES Indiana Bill Calc.'!$D$20="No"),'AES Indiana Bill Calc.'!$D$21)</f>
        <v>0</v>
      </c>
      <c r="F920" s="36" t="s">
        <v>65</v>
      </c>
      <c r="G920" s="92" t="e">
        <f>SUM(J920:M920,R920:AA920)</f>
        <v>#N/A</v>
      </c>
      <c r="H920" s="19" t="e">
        <f>IF(ISBLANK(B920),0,+#REF!/B920)</f>
        <v>#REF!</v>
      </c>
      <c r="I920" s="19"/>
      <c r="J920" s="51">
        <f>IF(ISBLANK(B920),0,+J$909)</f>
        <v>130</v>
      </c>
      <c r="K920" s="17">
        <f>ROUND($B920*K$909,2)</f>
        <v>-0.04</v>
      </c>
      <c r="L920" s="16">
        <f>IF(ISBLANK($C920),0,IF($C920&lt;$C$910,ROUND($C$910*$L$909,2),IF($C920&gt;L$910,ROUND(L$910*L$909,2),ROUND($C920*L$909,2))))</f>
        <v>55900</v>
      </c>
      <c r="M920" s="17">
        <f>IF($C920&gt;L$910,ROUND(($C920-L$910)*M$909,2),0)</f>
        <v>0</v>
      </c>
      <c r="N920" s="17">
        <f>K920</f>
        <v>-0.04</v>
      </c>
      <c r="O920" s="17"/>
      <c r="P920" s="17"/>
      <c r="Q920" s="17">
        <f>SUM(L920:M920)</f>
        <v>55900</v>
      </c>
      <c r="R920" s="16" t="e">
        <f>ROUND(SUM(K920:M920)*(R919-1),2)</f>
        <v>#N/A</v>
      </c>
      <c r="S920" s="17">
        <f>ROUND($B920*S$909*S919,2)</f>
        <v>0</v>
      </c>
      <c r="T920" s="17">
        <f t="shared" ref="T920:AA920" si="55">ROUND($B920*T$909,2)</f>
        <v>0</v>
      </c>
      <c r="U920" s="17">
        <f t="shared" si="55"/>
        <v>0</v>
      </c>
      <c r="V920" s="17">
        <f t="shared" si="55"/>
        <v>-0.02</v>
      </c>
      <c r="W920" s="17">
        <f t="shared" si="55"/>
        <v>0</v>
      </c>
      <c r="X920" s="17">
        <f t="shared" si="55"/>
        <v>-0.01</v>
      </c>
      <c r="Y920" s="17">
        <f t="shared" si="55"/>
        <v>0</v>
      </c>
      <c r="Z920" s="17">
        <f t="shared" si="55"/>
        <v>0</v>
      </c>
      <c r="AA920" s="17">
        <f t="shared" si="55"/>
        <v>0</v>
      </c>
      <c r="AB920" s="19">
        <f>SUM(U915:AA915)</f>
        <v>0</v>
      </c>
      <c r="AC920" s="67" t="str">
        <f>+F920</f>
        <v>HL1</v>
      </c>
    </row>
    <row r="921" spans="1:29" x14ac:dyDescent="0.2">
      <c r="A921" s="9"/>
      <c r="B921" s="103">
        <v>-1</v>
      </c>
      <c r="D921" s="8"/>
      <c r="E921" s="9"/>
      <c r="F921" s="36"/>
      <c r="G921" s="17"/>
      <c r="H921" s="19"/>
      <c r="I921" s="12"/>
      <c r="J921" s="12"/>
      <c r="K921" s="12"/>
      <c r="L921" s="12"/>
      <c r="M921" s="12"/>
      <c r="N921" s="12"/>
      <c r="O921" s="12"/>
      <c r="P921" s="12"/>
      <c r="Q921" s="12"/>
      <c r="R921" s="38" t="e">
        <f>VLOOKUP((D922),'Pwr Factor'!$A$1:$B$52,2)</f>
        <v>#N/A</v>
      </c>
      <c r="S921" s="50">
        <v>0</v>
      </c>
      <c r="T921" s="12"/>
      <c r="U921" s="12"/>
      <c r="V921" s="12"/>
      <c r="W921" s="12"/>
      <c r="X921" s="12"/>
      <c r="Y921" s="12"/>
      <c r="Z921" s="12"/>
      <c r="AA921" s="12"/>
    </row>
    <row r="922" spans="1:29" x14ac:dyDescent="0.2">
      <c r="A922" s="1" t="s">
        <v>137</v>
      </c>
      <c r="B922" s="103">
        <f>IF(AND('AES Indiana Bill Calc.'!$D$17="HL1",'AES Indiana Bill Calc.'!$D$18="No",'AES Indiana Bill Calc.'!$D$20="No"),'AES Indiana Bill Calc.'!$D$19,-1)</f>
        <v>-1</v>
      </c>
      <c r="C922" s="103">
        <f>MAX(E922,$C$905)</f>
        <v>2000</v>
      </c>
      <c r="D922" s="103" t="b">
        <f>IF(AND('AES Indiana Bill Calc.'!$D$17="HL1",'AES Indiana Bill Calc.'!$D$18="No",'AES Indiana Bill Calc.'!$D$20="No"),'AES Indiana Bill Calc.'!$D$22)</f>
        <v>0</v>
      </c>
      <c r="E922" s="103" t="b">
        <f>IF(AND('AES Indiana Bill Calc.'!$D$17="HL1",'AES Indiana Bill Calc.'!$D$18="No",'AES Indiana Bill Calc.'!$D$20="No"),'AES Indiana Bill Calc.'!$D$21)</f>
        <v>0</v>
      </c>
      <c r="F922" s="36" t="s">
        <v>65</v>
      </c>
      <c r="G922" s="92" t="e">
        <f>SUM(J922:M922,R922:AA922)</f>
        <v>#N/A</v>
      </c>
      <c r="H922" s="19" t="e">
        <f>IF(ISBLANK(B922),0,+#REF!/B922)</f>
        <v>#REF!</v>
      </c>
      <c r="I922" s="19"/>
      <c r="J922" s="51">
        <f>IF(ISBLANK(B922),0,+J$909)</f>
        <v>130</v>
      </c>
      <c r="K922" s="17">
        <f>ROUND($B922*K$909,2)</f>
        <v>-0.04</v>
      </c>
      <c r="L922" s="16">
        <f>IF(ISBLANK($C922),0,IF($C922&lt;$C$910,ROUND($C$910*$L$909,2),IF($C922&gt;L$910,ROUND(L$910*L$909,2),ROUND($C922*L$909,2))))</f>
        <v>55900</v>
      </c>
      <c r="M922" s="17">
        <f>IF($C922&gt;L$910,ROUND(($C922-L$910)*M$909,2),0)</f>
        <v>0</v>
      </c>
      <c r="N922" s="17">
        <f>K922</f>
        <v>-0.04</v>
      </c>
      <c r="O922" s="17"/>
      <c r="P922" s="17"/>
      <c r="Q922" s="17">
        <f>SUM(L922:M922)</f>
        <v>55900</v>
      </c>
      <c r="R922" s="16" t="e">
        <f>ROUND(SUM(K922:M922)*(R921-1),2)</f>
        <v>#N/A</v>
      </c>
      <c r="S922" s="17">
        <f>ROUND($B922*S$909*S921,2)</f>
        <v>0</v>
      </c>
      <c r="T922" s="17">
        <f t="shared" ref="T922:AA922" si="56">ROUND($B922*T$909,2)</f>
        <v>0</v>
      </c>
      <c r="U922" s="17">
        <f t="shared" si="56"/>
        <v>0</v>
      </c>
      <c r="V922" s="17">
        <f t="shared" si="56"/>
        <v>-0.02</v>
      </c>
      <c r="W922" s="17">
        <f t="shared" si="56"/>
        <v>0</v>
      </c>
      <c r="X922" s="17">
        <f t="shared" si="56"/>
        <v>-0.01</v>
      </c>
      <c r="Y922" s="17">
        <f t="shared" si="56"/>
        <v>0</v>
      </c>
      <c r="Z922" s="17">
        <f t="shared" si="56"/>
        <v>0</v>
      </c>
      <c r="AA922" s="17">
        <f t="shared" si="56"/>
        <v>0</v>
      </c>
      <c r="AB922" s="19">
        <f>SUM(U917:AA917)</f>
        <v>0</v>
      </c>
      <c r="AC922" s="67" t="str">
        <f>+F922</f>
        <v>HL1</v>
      </c>
    </row>
    <row r="923" spans="1:29" x14ac:dyDescent="0.2">
      <c r="B923" s="103">
        <v>-1</v>
      </c>
      <c r="D923" s="8"/>
      <c r="E923" s="9"/>
      <c r="F923" s="36"/>
      <c r="G923" s="17"/>
      <c r="H923" s="19"/>
      <c r="J923" s="51"/>
      <c r="K923" s="17"/>
      <c r="L923" s="16"/>
      <c r="M923" s="17"/>
      <c r="N923" s="17"/>
      <c r="O923" s="17"/>
      <c r="P923" s="17"/>
      <c r="Q923" s="17"/>
      <c r="R923" s="38" t="e">
        <f>VLOOKUP((D924),'Pwr Factor'!$A$1:$B$52,2)</f>
        <v>#N/A</v>
      </c>
      <c r="S923" s="50">
        <v>1</v>
      </c>
      <c r="T923" s="17"/>
      <c r="U923" s="17"/>
      <c r="V923" s="8"/>
      <c r="W923" s="17"/>
      <c r="X923" s="17"/>
      <c r="Y923" s="17"/>
      <c r="Z923" s="17"/>
      <c r="AA923" s="17"/>
      <c r="AB923" s="19"/>
      <c r="AC923" s="67"/>
    </row>
    <row r="924" spans="1:29" x14ac:dyDescent="0.2">
      <c r="A924" s="1" t="s">
        <v>138</v>
      </c>
      <c r="B924" s="103">
        <f>IF(AND('AES Indiana Bill Calc.'!$D$17="HL1",'AES Indiana Bill Calc.'!$D$18="Yes 100%",'AES Indiana Bill Calc.'!$D$20="Yes Before 2018"),'AES Indiana Bill Calc.'!$D$19,-1)</f>
        <v>-1</v>
      </c>
      <c r="C924" s="103">
        <f>MAX(E924,$C$905)</f>
        <v>2000</v>
      </c>
      <c r="D924" s="103" t="b">
        <f>IF(AND('AES Indiana Bill Calc.'!$D$17="HL1",'AES Indiana Bill Calc.'!$D$18="Yes 100%",'AES Indiana Bill Calc.'!$D$20="Yes Before 2018"),'AES Indiana Bill Calc.'!$D$22)</f>
        <v>0</v>
      </c>
      <c r="E924" s="103" t="b">
        <f>IF(AND('AES Indiana Bill Calc.'!$D$17="HL1",'AES Indiana Bill Calc.'!$D$18="Yes 100%",'AES Indiana Bill Calc.'!$D$20="Yes Before 2018"),'AES Indiana Bill Calc.'!$D$21)</f>
        <v>0</v>
      </c>
      <c r="F924" s="36" t="s">
        <v>224</v>
      </c>
      <c r="G924" s="92" t="e">
        <f>SUM(J924:M924,R924:AA924)</f>
        <v>#N/A</v>
      </c>
      <c r="H924" s="19" t="e">
        <f>IF(ISBLANK(B924),0,+#REF!/B924)</f>
        <v>#REF!</v>
      </c>
      <c r="J924" s="88">
        <f>IF(ISBLANK(B924),0,+J$909)</f>
        <v>130</v>
      </c>
      <c r="K924" s="42">
        <f>ROUND($B924*K$909,2)</f>
        <v>-0.04</v>
      </c>
      <c r="L924" s="16">
        <f>IF(ISBLANK($C924),0,IF($C924&lt;$C$910,ROUND($C$910*$L$909,2),IF($C924&gt;L$910,ROUND(L$910*L$909,2),ROUND($C924*L$909,2))))</f>
        <v>55900</v>
      </c>
      <c r="M924" s="17">
        <f>IF($C924&gt;L$910,ROUND(($C924-L$910)*M$909,2),0)</f>
        <v>0</v>
      </c>
      <c r="N924" s="17">
        <f>K924</f>
        <v>-0.04</v>
      </c>
      <c r="O924" s="42"/>
      <c r="P924" s="42"/>
      <c r="Q924" s="17">
        <f>SUM(L924:M924)</f>
        <v>55900</v>
      </c>
      <c r="R924" s="104" t="e">
        <f>ROUND(SUM(K924:M924)*(R923-1),2)</f>
        <v>#N/A</v>
      </c>
      <c r="S924" s="42">
        <f>ROUND($B924*S$909*S923,2)</f>
        <v>0</v>
      </c>
      <c r="T924" s="42">
        <f>ROUND($B924*T$909,2)</f>
        <v>0</v>
      </c>
      <c r="U924" s="42">
        <f>ROUND($B924*U$909,2)</f>
        <v>0</v>
      </c>
      <c r="V924" s="41">
        <f>ROUND($B924*V$899,2)</f>
        <v>0</v>
      </c>
      <c r="W924" s="42">
        <f>ROUND($B924*W$909,2)</f>
        <v>0</v>
      </c>
      <c r="X924" s="42">
        <f>ROUND($B924*X$909,2)</f>
        <v>-0.01</v>
      </c>
      <c r="Y924" s="42">
        <f>ROUND($B924*Y$909,2)</f>
        <v>0</v>
      </c>
      <c r="Z924" s="42">
        <f>ROUND($B924*Z$909,2)</f>
        <v>0</v>
      </c>
      <c r="AA924" s="42">
        <f>ROUND($B924*AA$909,2)</f>
        <v>0</v>
      </c>
      <c r="AB924" s="19">
        <f>SUM(U$909:AA$909)+(-V$909+V899)</f>
        <v>1.2243E-2</v>
      </c>
      <c r="AC924" s="94" t="str">
        <f>+F924</f>
        <v>HL17</v>
      </c>
    </row>
    <row r="925" spans="1:29" x14ac:dyDescent="0.2">
      <c r="A925" s="9"/>
      <c r="B925" s="103">
        <v>-1</v>
      </c>
      <c r="D925" s="8"/>
      <c r="E925" s="9"/>
      <c r="F925" s="36"/>
      <c r="G925" s="17"/>
      <c r="H925" s="19"/>
      <c r="J925" s="51"/>
      <c r="K925" s="17"/>
      <c r="L925" s="16"/>
      <c r="M925" s="17"/>
      <c r="N925" s="17"/>
      <c r="O925" s="17"/>
      <c r="P925" s="17"/>
      <c r="Q925" s="17"/>
      <c r="R925" s="38" t="e">
        <f>VLOOKUP((D926),'Pwr Factor'!$A$1:$B$52,2)</f>
        <v>#N/A</v>
      </c>
      <c r="S925" s="50">
        <v>0.5</v>
      </c>
      <c r="T925" s="17"/>
      <c r="U925" s="17"/>
      <c r="V925" s="8"/>
      <c r="W925" s="17"/>
      <c r="X925" s="17"/>
      <c r="Y925" s="17"/>
      <c r="Z925" s="17"/>
      <c r="AA925" s="17"/>
      <c r="AB925" s="19"/>
      <c r="AC925" s="67"/>
    </row>
    <row r="926" spans="1:29" x14ac:dyDescent="0.2">
      <c r="A926" s="1" t="s">
        <v>139</v>
      </c>
      <c r="B926" s="103">
        <f>IF(AND('AES Indiana Bill Calc.'!$D$17="HL1",'AES Indiana Bill Calc.'!$D$18="Yes 50%",'AES Indiana Bill Calc.'!$D$20="Yes Before 2018"),'AES Indiana Bill Calc.'!$D$19,-1)</f>
        <v>-1</v>
      </c>
      <c r="C926" s="103">
        <f>MAX(E926,$C$905)</f>
        <v>2000</v>
      </c>
      <c r="D926" s="103" t="b">
        <f>IF(AND('AES Indiana Bill Calc.'!$D$17="HL1",'AES Indiana Bill Calc.'!$D$18="Yes 50%",'AES Indiana Bill Calc.'!$D$20="Yes Before 2018"),'AES Indiana Bill Calc.'!$D$22)</f>
        <v>0</v>
      </c>
      <c r="E926" s="103" t="b">
        <f>IF(AND('AES Indiana Bill Calc.'!$D$17="HL1",'AES Indiana Bill Calc.'!$D$18="Yes 50%",'AES Indiana Bill Calc.'!$D$20="Yes Before 2018"),'AES Indiana Bill Calc.'!$D$21)</f>
        <v>0</v>
      </c>
      <c r="F926" s="36" t="s">
        <v>224</v>
      </c>
      <c r="G926" s="92" t="e">
        <f>SUM(J926:M926,R926:AA926)</f>
        <v>#N/A</v>
      </c>
      <c r="H926" s="19" t="e">
        <f>IF(ISBLANK(B926),0,+#REF!/B926)</f>
        <v>#REF!</v>
      </c>
      <c r="J926" s="88">
        <f>IF(ISBLANK(B926),0,+J$909)</f>
        <v>130</v>
      </c>
      <c r="K926" s="42">
        <f>ROUND($B926*K$909,2)</f>
        <v>-0.04</v>
      </c>
      <c r="L926" s="16">
        <f>IF(ISBLANK($C926),0,IF($C926&lt;$C$910,ROUND($C$910*$L$909,2),IF($C926&gt;L$910,ROUND(L$910*L$909,2),ROUND($C926*L$909,2))))</f>
        <v>55900</v>
      </c>
      <c r="M926" s="17">
        <f>IF($C926&gt;L$910,ROUND(($C926-L$910)*M$909,2),0)</f>
        <v>0</v>
      </c>
      <c r="N926" s="17">
        <f>K926</f>
        <v>-0.04</v>
      </c>
      <c r="O926" s="42"/>
      <c r="P926" s="42"/>
      <c r="Q926" s="17">
        <f>SUM(L926:M926)</f>
        <v>55900</v>
      </c>
      <c r="R926" s="104" t="e">
        <f>ROUND(SUM(K926:M926)*(R925-1),2)</f>
        <v>#N/A</v>
      </c>
      <c r="S926" s="42">
        <f>ROUND($B926*S$909*S925,2)</f>
        <v>0</v>
      </c>
      <c r="T926" s="42">
        <f>ROUND($B926*T$909,2)</f>
        <v>0</v>
      </c>
      <c r="U926" s="42">
        <f>ROUND($B926*U$909,2)</f>
        <v>0</v>
      </c>
      <c r="V926" s="41">
        <f>ROUND($B926*V$899,2)</f>
        <v>0</v>
      </c>
      <c r="W926" s="42">
        <f>ROUND($B926*W$909,2)</f>
        <v>0</v>
      </c>
      <c r="X926" s="42">
        <f>ROUND($B926*X$909,2)</f>
        <v>-0.01</v>
      </c>
      <c r="Y926" s="42">
        <f>ROUND($B926*Y$909,2)</f>
        <v>0</v>
      </c>
      <c r="Z926" s="42">
        <f>ROUND($B926*Z$909,2)</f>
        <v>0</v>
      </c>
      <c r="AA926" s="42">
        <f>ROUND($B926*AA$909,2)</f>
        <v>0</v>
      </c>
      <c r="AB926" s="19">
        <f>SUM(U$909:AA$909)+(-V$909+V901)</f>
        <v>1.2243E-2</v>
      </c>
      <c r="AC926" s="94" t="str">
        <f>+F926</f>
        <v>HL17</v>
      </c>
    </row>
    <row r="927" spans="1:29" x14ac:dyDescent="0.2">
      <c r="A927" s="9"/>
      <c r="B927" s="103">
        <v>-1</v>
      </c>
      <c r="D927" s="8"/>
      <c r="E927" s="9"/>
      <c r="F927" s="36"/>
      <c r="G927" s="17"/>
      <c r="H927" s="19"/>
      <c r="J927" s="51"/>
      <c r="K927" s="17"/>
      <c r="L927" s="16"/>
      <c r="M927" s="17"/>
      <c r="N927" s="17"/>
      <c r="O927" s="17"/>
      <c r="P927" s="17"/>
      <c r="Q927" s="17"/>
      <c r="R927" s="38" t="e">
        <f>VLOOKUP((D928),'Pwr Factor'!$A$1:$B$52,2)</f>
        <v>#N/A</v>
      </c>
      <c r="S927" s="50">
        <v>0.25</v>
      </c>
      <c r="T927" s="17"/>
      <c r="U927" s="17"/>
      <c r="V927" s="8"/>
      <c r="W927" s="17"/>
      <c r="X927" s="17"/>
      <c r="Y927" s="17"/>
      <c r="Z927" s="17"/>
      <c r="AA927" s="17"/>
      <c r="AB927" s="19"/>
      <c r="AC927" s="67"/>
    </row>
    <row r="928" spans="1:29" x14ac:dyDescent="0.2">
      <c r="A928" s="1" t="s">
        <v>140</v>
      </c>
      <c r="B928" s="103">
        <f>IF(AND('AES Indiana Bill Calc.'!$D$17="HL1",'AES Indiana Bill Calc.'!$D$18="Yes 25%",'AES Indiana Bill Calc.'!$D$20="Yes Before 2018"),'AES Indiana Bill Calc.'!$D$19,-1)</f>
        <v>-1</v>
      </c>
      <c r="C928" s="103">
        <f>MAX(E928,$C$905)</f>
        <v>2000</v>
      </c>
      <c r="D928" s="103" t="b">
        <f>IF(AND('AES Indiana Bill Calc.'!$D$17="HL1",'AES Indiana Bill Calc.'!$D$18="Yes 25%",'AES Indiana Bill Calc.'!$D$20="Yes Before 2018"),'AES Indiana Bill Calc.'!$D$22)</f>
        <v>0</v>
      </c>
      <c r="E928" s="103" t="b">
        <f>IF(AND('AES Indiana Bill Calc.'!$D$17="HL1",'AES Indiana Bill Calc.'!$D$18="Yes 25%",'AES Indiana Bill Calc.'!$D$20="Yes Before 2018"),'AES Indiana Bill Calc.'!$D$21)</f>
        <v>0</v>
      </c>
      <c r="F928" s="36" t="s">
        <v>224</v>
      </c>
      <c r="G928" s="92" t="e">
        <f>SUM(J928:M928,R928:AA928)</f>
        <v>#N/A</v>
      </c>
      <c r="H928" s="19" t="e">
        <f>IF(ISBLANK(B928),0,+#REF!/B928)</f>
        <v>#REF!</v>
      </c>
      <c r="J928" s="88">
        <f>IF(ISBLANK(B928),0,+J$909)</f>
        <v>130</v>
      </c>
      <c r="K928" s="42">
        <f>ROUND($B928*K$909,2)</f>
        <v>-0.04</v>
      </c>
      <c r="L928" s="16">
        <f>IF(ISBLANK($C928),0,IF($C928&lt;$C$910,ROUND($C$910*$L$909,2),IF($C928&gt;L$910,ROUND(L$910*L$909,2),ROUND($C928*L$909,2))))</f>
        <v>55900</v>
      </c>
      <c r="M928" s="17">
        <f>IF($C928&gt;L$910,ROUND(($C928-L$910)*M$909,2),0)</f>
        <v>0</v>
      </c>
      <c r="N928" s="17">
        <f>K928</f>
        <v>-0.04</v>
      </c>
      <c r="O928" s="42"/>
      <c r="P928" s="42"/>
      <c r="Q928" s="17">
        <f>SUM(L928:M928)</f>
        <v>55900</v>
      </c>
      <c r="R928" s="104" t="e">
        <f>ROUND(SUM(K928:M928)*(R927-1),2)</f>
        <v>#N/A</v>
      </c>
      <c r="S928" s="42">
        <f>ROUND($B928*S$909*S927,2)</f>
        <v>0</v>
      </c>
      <c r="T928" s="42">
        <f>ROUND($B928*T$909,2)</f>
        <v>0</v>
      </c>
      <c r="U928" s="42">
        <f>ROUND($B928*U$909,2)</f>
        <v>0</v>
      </c>
      <c r="V928" s="41">
        <f>ROUND($B928*V$899,2)</f>
        <v>0</v>
      </c>
      <c r="W928" s="42">
        <f>ROUND($B928*W$909,2)</f>
        <v>0</v>
      </c>
      <c r="X928" s="42">
        <f>ROUND($B928*X$909,2)</f>
        <v>-0.01</v>
      </c>
      <c r="Y928" s="42">
        <f>ROUND($B928*Y$909,2)</f>
        <v>0</v>
      </c>
      <c r="Z928" s="42">
        <f>ROUND($B928*Z$909,2)</f>
        <v>0</v>
      </c>
      <c r="AA928" s="42">
        <f>ROUND($B928*AA$909,2)</f>
        <v>0</v>
      </c>
      <c r="AB928" s="19">
        <f>SUM(U$909:AA$909)+(-V$909+V903)</f>
        <v>1.184E-2</v>
      </c>
      <c r="AC928" s="94" t="str">
        <f>+F928</f>
        <v>HL17</v>
      </c>
    </row>
    <row r="929" spans="1:238" x14ac:dyDescent="0.2">
      <c r="A929" s="9"/>
      <c r="B929" s="103">
        <v>-1</v>
      </c>
      <c r="D929" s="8"/>
      <c r="E929" s="9"/>
      <c r="F929" s="36"/>
      <c r="G929" s="17"/>
      <c r="H929" s="19"/>
      <c r="J929" s="51"/>
      <c r="K929" s="17"/>
      <c r="L929" s="16"/>
      <c r="M929" s="17"/>
      <c r="N929" s="17"/>
      <c r="O929" s="17"/>
      <c r="P929" s="17"/>
      <c r="Q929" s="17"/>
      <c r="R929" s="38" t="e">
        <f>VLOOKUP((D930),'Pwr Factor'!$A$1:$B$52,2)</f>
        <v>#N/A</v>
      </c>
      <c r="S929" s="50">
        <v>0.1</v>
      </c>
      <c r="T929" s="17"/>
      <c r="U929" s="17"/>
      <c r="V929" s="8"/>
      <c r="W929" s="17"/>
      <c r="X929" s="17"/>
      <c r="Y929" s="17"/>
      <c r="Z929" s="17"/>
      <c r="AA929" s="17"/>
      <c r="AB929" s="19"/>
      <c r="AC929" s="67"/>
    </row>
    <row r="930" spans="1:238" x14ac:dyDescent="0.2">
      <c r="A930" s="1" t="s">
        <v>154</v>
      </c>
      <c r="B930" s="103">
        <f>IF(AND('AES Indiana Bill Calc.'!$D$17="HL1",'AES Indiana Bill Calc.'!$D$18="Yes 10%",'AES Indiana Bill Calc.'!$D$20="Yes Before 2018"),'AES Indiana Bill Calc.'!$D$19,-1)</f>
        <v>-1</v>
      </c>
      <c r="C930" s="103">
        <f>MAX(E930,$C$905)</f>
        <v>2000</v>
      </c>
      <c r="D930" s="103" t="b">
        <f>IF(AND('AES Indiana Bill Calc.'!$D$17="HL1",'AES Indiana Bill Calc.'!$D$18="Yes 10%",'AES Indiana Bill Calc.'!$D$20="Yes Before 2018"),'AES Indiana Bill Calc.'!$D$22)</f>
        <v>0</v>
      </c>
      <c r="E930" s="103" t="b">
        <f>IF(AND('AES Indiana Bill Calc.'!$D$17="HL1",'AES Indiana Bill Calc.'!$D$18="Yes 10%",'AES Indiana Bill Calc.'!$D$20="Yes Before 2018"),'AES Indiana Bill Calc.'!$D$21)</f>
        <v>0</v>
      </c>
      <c r="F930" s="36" t="s">
        <v>224</v>
      </c>
      <c r="G930" s="92" t="e">
        <f>SUM(J930:M930,R930:AA930)</f>
        <v>#N/A</v>
      </c>
      <c r="H930" s="19" t="e">
        <f>IF(ISBLANK(B930),0,+#REF!/B930)</f>
        <v>#REF!</v>
      </c>
      <c r="J930" s="88">
        <f>IF(ISBLANK(B930),0,+J$909)</f>
        <v>130</v>
      </c>
      <c r="K930" s="42">
        <f>ROUND($B930*K$909,2)</f>
        <v>-0.04</v>
      </c>
      <c r="L930" s="16">
        <f>IF(ISBLANK($C930),0,IF($C930&lt;$C$910,ROUND($C$910*$L$909,2),IF($C930&gt;L$910,ROUND(L$910*L$909,2),ROUND($C930*L$909,2))))</f>
        <v>55900</v>
      </c>
      <c r="M930" s="17">
        <f>IF($C930&gt;L$910,ROUND(($C930-L$910)*M$909,2),0)</f>
        <v>0</v>
      </c>
      <c r="N930" s="17">
        <f>K930</f>
        <v>-0.04</v>
      </c>
      <c r="O930" s="42"/>
      <c r="P930" s="42"/>
      <c r="Q930" s="17">
        <f>SUM(L930:M930)</f>
        <v>55900</v>
      </c>
      <c r="R930" s="104" t="e">
        <f>ROUND(SUM(K930:M930)*(R929-1),2)</f>
        <v>#N/A</v>
      </c>
      <c r="S930" s="42">
        <f>ROUND($B930*S$909*S929,2)</f>
        <v>0</v>
      </c>
      <c r="T930" s="42">
        <f>ROUND($B930*T$909,2)</f>
        <v>0</v>
      </c>
      <c r="U930" s="42">
        <f>ROUND($B930*U$909,2)</f>
        <v>0</v>
      </c>
      <c r="V930" s="41">
        <f>ROUND($B930*V$899,2)</f>
        <v>0</v>
      </c>
      <c r="W930" s="42">
        <f>ROUND($B930*W$909,2)</f>
        <v>0</v>
      </c>
      <c r="X930" s="42">
        <f>ROUND($B930*X$909,2)</f>
        <v>-0.01</v>
      </c>
      <c r="Y930" s="42">
        <f>ROUND($B930*Y$909,2)</f>
        <v>0</v>
      </c>
      <c r="Z930" s="42">
        <f>ROUND($B930*Z$909,2)</f>
        <v>0</v>
      </c>
      <c r="AA930" s="42">
        <f>ROUND($B930*AA$909,2)</f>
        <v>0</v>
      </c>
      <c r="AB930" s="19">
        <f>SUM(U$909:AA$909)+(-V$909+V909)</f>
        <v>2.7333E-2</v>
      </c>
      <c r="AC930" s="94" t="str">
        <f>+F930</f>
        <v>HL17</v>
      </c>
    </row>
    <row r="931" spans="1:238" x14ac:dyDescent="0.2">
      <c r="A931" s="9"/>
      <c r="B931" s="103">
        <v>-1</v>
      </c>
      <c r="D931" s="8"/>
      <c r="E931" s="9"/>
      <c r="F931" s="36"/>
      <c r="G931" s="17"/>
      <c r="H931" s="19"/>
      <c r="J931" s="51"/>
      <c r="K931" s="17"/>
      <c r="L931" s="16"/>
      <c r="M931" s="17"/>
      <c r="N931" s="17"/>
      <c r="O931" s="17"/>
      <c r="P931" s="17"/>
      <c r="Q931" s="17"/>
      <c r="R931" s="38" t="e">
        <f>VLOOKUP((D932),'Pwr Factor'!$A$1:$B$52,2)</f>
        <v>#N/A</v>
      </c>
      <c r="S931" s="50">
        <v>0</v>
      </c>
      <c r="T931" s="17"/>
      <c r="U931" s="17"/>
      <c r="V931" s="8"/>
      <c r="W931" s="17"/>
      <c r="X931" s="17"/>
      <c r="Y931" s="17"/>
      <c r="Z931" s="17"/>
      <c r="AA931" s="17"/>
      <c r="AB931" s="19"/>
      <c r="AC931" s="67"/>
    </row>
    <row r="932" spans="1:238" x14ac:dyDescent="0.2">
      <c r="A932" s="1" t="s">
        <v>137</v>
      </c>
      <c r="B932" s="103">
        <f>IF(AND('AES Indiana Bill Calc.'!$D$17="HL1",'AES Indiana Bill Calc.'!$D$18="No",'AES Indiana Bill Calc.'!$D$20="Yes Before 2018"),'AES Indiana Bill Calc.'!$D$19,-1)</f>
        <v>-1</v>
      </c>
      <c r="C932" s="103">
        <f>MAX(E932,$C$905)</f>
        <v>2000</v>
      </c>
      <c r="D932" s="103" t="b">
        <f>IF(AND('AES Indiana Bill Calc.'!$D$17="HL1",'AES Indiana Bill Calc.'!$D$18="No",'AES Indiana Bill Calc.'!$D$20="Yes Before 2018"),'AES Indiana Bill Calc.'!$D$22)</f>
        <v>0</v>
      </c>
      <c r="E932" s="103" t="b">
        <f>IF(AND('AES Indiana Bill Calc.'!$D$17="HL1",'AES Indiana Bill Calc.'!$D$18="No",'AES Indiana Bill Calc.'!$D$20="Yes Before 2018"),'AES Indiana Bill Calc.'!$D$21)</f>
        <v>0</v>
      </c>
      <c r="F932" s="36" t="s">
        <v>224</v>
      </c>
      <c r="G932" s="92" t="e">
        <f>SUM(J932:M932,R932:AA932)</f>
        <v>#N/A</v>
      </c>
      <c r="H932" s="19" t="e">
        <f>IF(ISBLANK(B932),0,+#REF!/B932)</f>
        <v>#REF!</v>
      </c>
      <c r="J932" s="88">
        <f>IF(ISBLANK(B932),0,+J$909)</f>
        <v>130</v>
      </c>
      <c r="K932" s="42">
        <f>ROUND($B932*K$909,2)</f>
        <v>-0.04</v>
      </c>
      <c r="L932" s="16">
        <f>IF(ISBLANK($C932),0,IF($C932&lt;$C$910,ROUND($C$910*$L$909,2),IF($C932&gt;L$910,ROUND(L$910*L$909,2),ROUND($C932*L$909,2))))</f>
        <v>55900</v>
      </c>
      <c r="M932" s="17">
        <f>IF($C932&gt;L$910,ROUND(($C932-L$910)*M$909,2),0)</f>
        <v>0</v>
      </c>
      <c r="N932" s="17">
        <f>K932</f>
        <v>-0.04</v>
      </c>
      <c r="O932" s="42"/>
      <c r="P932" s="42"/>
      <c r="Q932" s="17">
        <f>SUM(L932:M932)</f>
        <v>55900</v>
      </c>
      <c r="R932" s="104" t="e">
        <f>ROUND(SUM(K932:M932)*(R931-1),2)</f>
        <v>#N/A</v>
      </c>
      <c r="S932" s="42">
        <f>ROUND($B932*S$909*S931,2)</f>
        <v>0</v>
      </c>
      <c r="T932" s="42">
        <f>ROUND($B932*T$909,2)</f>
        <v>0</v>
      </c>
      <c r="U932" s="42">
        <f>ROUND($B932*U$909,2)</f>
        <v>0</v>
      </c>
      <c r="V932" s="41">
        <f>ROUND($B932*V$899,2)</f>
        <v>0</v>
      </c>
      <c r="W932" s="42">
        <f>ROUND($B932*W$909,2)</f>
        <v>0</v>
      </c>
      <c r="X932" s="42">
        <f>ROUND($B932*X$909,2)</f>
        <v>-0.01</v>
      </c>
      <c r="Y932" s="42">
        <f>ROUND($B932*Y$909,2)</f>
        <v>0</v>
      </c>
      <c r="Z932" s="42">
        <f>ROUND($B932*Z$909,2)</f>
        <v>0</v>
      </c>
      <c r="AA932" s="42">
        <f>ROUND($B932*AA$909,2)</f>
        <v>0</v>
      </c>
      <c r="AB932" s="19">
        <f>SUM(U$909:AA$909)+(-V$909+V911)</f>
        <v>22.012242999999998</v>
      </c>
      <c r="AC932" s="94" t="str">
        <f>+F932</f>
        <v>HL17</v>
      </c>
    </row>
    <row r="933" spans="1:238" x14ac:dyDescent="0.2">
      <c r="B933" s="103">
        <v>-1</v>
      </c>
      <c r="D933" s="8"/>
      <c r="E933" s="9"/>
      <c r="F933" s="36"/>
      <c r="G933" s="17"/>
      <c r="H933" s="19"/>
      <c r="I933" s="12"/>
      <c r="J933" s="12"/>
      <c r="K933" s="12"/>
      <c r="L933" s="12"/>
      <c r="M933" s="12"/>
      <c r="N933" s="12"/>
      <c r="O933" s="12"/>
      <c r="P933" s="12"/>
      <c r="Q933" s="12"/>
      <c r="R933" s="38" t="e">
        <f>VLOOKUP((D934),'Pwr Factor'!$A$1:$B$52,2)</f>
        <v>#N/A</v>
      </c>
      <c r="S933" s="50">
        <v>1</v>
      </c>
      <c r="T933" s="12"/>
      <c r="U933" s="12"/>
      <c r="V933" s="12"/>
      <c r="W933" s="12"/>
      <c r="X933" s="12"/>
      <c r="Y933" s="12"/>
      <c r="Z933" s="12"/>
      <c r="AA933" s="12"/>
    </row>
    <row r="934" spans="1:238" x14ac:dyDescent="0.2">
      <c r="A934" s="1" t="s">
        <v>138</v>
      </c>
      <c r="B934" s="103">
        <f>IF(AND('AES Indiana Bill Calc.'!$D$17="HL1",'AES Indiana Bill Calc.'!$D$18="Yes 100%",'AES Indiana Bill Calc.'!$D$20="Yes 2018"),'AES Indiana Bill Calc.'!$D$19,-1)</f>
        <v>-1</v>
      </c>
      <c r="C934" s="103">
        <f>MAX(E934,$C$905)</f>
        <v>2000</v>
      </c>
      <c r="D934" s="103" t="b">
        <f>IF(AND('AES Indiana Bill Calc.'!$D$17="HL1",'AES Indiana Bill Calc.'!$D$18="Yes 100%",'AES Indiana Bill Calc.'!$D$20="Yes 2018"),'AES Indiana Bill Calc.'!$D$22)</f>
        <v>0</v>
      </c>
      <c r="E934" s="103" t="b">
        <f>IF(AND('AES Indiana Bill Calc.'!$D$17="HL1",'AES Indiana Bill Calc.'!$D$18="Yes 100%",'AES Indiana Bill Calc.'!$D$20="Yes 2018"),'AES Indiana Bill Calc.'!$D$21)</f>
        <v>0</v>
      </c>
      <c r="F934" s="36" t="s">
        <v>225</v>
      </c>
      <c r="G934" s="92" t="e">
        <f>SUM(J934:M934,R934:AA934)</f>
        <v>#N/A</v>
      </c>
      <c r="H934" s="19" t="e">
        <f>IF(ISBLANK(B934),0,+#REF!/B934)</f>
        <v>#REF!</v>
      </c>
      <c r="I934" s="19"/>
      <c r="J934" s="88">
        <f>IF(ISBLANK(B934),0,+J$909)</f>
        <v>130</v>
      </c>
      <c r="K934" s="42">
        <f>ROUND($B934*K$909,2)</f>
        <v>-0.04</v>
      </c>
      <c r="L934" s="16">
        <f>IF(ISBLANK($C934),0,IF($C934&lt;$C$910,ROUND($C$910*$L$909,2),IF($C934&gt;L$910,ROUND(L$910*L$909,2),ROUND($C934*L$909,2))))</f>
        <v>55900</v>
      </c>
      <c r="M934" s="17">
        <f>IF($C934&gt;L$910,ROUND(($C934-L$910)*M$909,2),0)</f>
        <v>0</v>
      </c>
      <c r="N934" s="17">
        <f>K934</f>
        <v>-0.04</v>
      </c>
      <c r="O934" s="42"/>
      <c r="P934" s="42"/>
      <c r="Q934" s="17">
        <f>SUM(L934:M934)</f>
        <v>55900</v>
      </c>
      <c r="R934" s="82" t="e">
        <f>ROUND(SUM(K934:M934)*(R933-1),2)</f>
        <v>#N/A</v>
      </c>
      <c r="S934" s="42">
        <f>ROUND($B934*S$909*S933,2)</f>
        <v>0</v>
      </c>
      <c r="T934" s="42">
        <f>ROUND($B934*T$909,2)</f>
        <v>0</v>
      </c>
      <c r="U934" s="42">
        <f>ROUND($B934*U$909,2)</f>
        <v>0</v>
      </c>
      <c r="V934" s="42">
        <f>ROUND($B934*V$900,2)</f>
        <v>0</v>
      </c>
      <c r="W934" s="42">
        <f>ROUND($B934*W$909,2)</f>
        <v>0</v>
      </c>
      <c r="X934" s="42">
        <f>ROUND($B934*X$909,2)</f>
        <v>-0.01</v>
      </c>
      <c r="Y934" s="42">
        <f>ROUND($B934*Y$909,2)</f>
        <v>0</v>
      </c>
      <c r="Z934" s="42">
        <f>ROUND($B934*Z$909,2)</f>
        <v>0</v>
      </c>
      <c r="AA934" s="42">
        <f>ROUND($B934*AA$909,2)</f>
        <v>0</v>
      </c>
      <c r="AB934" s="19" t="e">
        <f>SUM(#REF!)</f>
        <v>#REF!</v>
      </c>
      <c r="AC934" s="94" t="str">
        <f>+F934</f>
        <v>HL18</v>
      </c>
    </row>
    <row r="935" spans="1:238" x14ac:dyDescent="0.2">
      <c r="A935" s="9"/>
      <c r="B935" s="103">
        <v>-1</v>
      </c>
      <c r="D935" s="8"/>
      <c r="E935" s="9"/>
      <c r="F935" s="36"/>
      <c r="G935" s="17"/>
      <c r="H935" s="19"/>
      <c r="I935" s="12"/>
      <c r="J935" s="12"/>
      <c r="K935" s="12"/>
      <c r="L935" s="12"/>
      <c r="M935" s="12"/>
      <c r="N935" s="12"/>
      <c r="O935" s="12"/>
      <c r="P935" s="12"/>
      <c r="Q935" s="12"/>
      <c r="R935" s="38" t="e">
        <f>VLOOKUP((D936),'Pwr Factor'!$A$1:$B$52,2)</f>
        <v>#N/A</v>
      </c>
      <c r="S935" s="50">
        <v>0.5</v>
      </c>
      <c r="T935" s="12"/>
      <c r="U935" s="12"/>
      <c r="V935" s="12"/>
      <c r="W935" s="12"/>
      <c r="X935" s="12"/>
      <c r="Y935" s="12"/>
      <c r="Z935" s="12"/>
      <c r="AA935" s="12"/>
    </row>
    <row r="936" spans="1:238" x14ac:dyDescent="0.2">
      <c r="A936" s="1" t="s">
        <v>139</v>
      </c>
      <c r="B936" s="103">
        <f>IF(AND('AES Indiana Bill Calc.'!$D$17="HL1",'AES Indiana Bill Calc.'!$D$18="Yes 50%",'AES Indiana Bill Calc.'!$D$20="Yes 2018"),'AES Indiana Bill Calc.'!$D$19,-1)</f>
        <v>-1</v>
      </c>
      <c r="C936" s="103">
        <f>MAX(E936,$C$905)</f>
        <v>2000</v>
      </c>
      <c r="D936" s="103" t="b">
        <f>IF(AND('AES Indiana Bill Calc.'!$D$17="HL1",'AES Indiana Bill Calc.'!$D$18="Yes 50%",'AES Indiana Bill Calc.'!$D$20="Yes 2018"),'AES Indiana Bill Calc.'!$D$22)</f>
        <v>0</v>
      </c>
      <c r="E936" s="103" t="b">
        <f>IF(AND('AES Indiana Bill Calc.'!$D$17="HL1",'AES Indiana Bill Calc.'!$D$18="Yes 50%",'AES Indiana Bill Calc.'!$D$20="Yes 2018"),'AES Indiana Bill Calc.'!$D$21)</f>
        <v>0</v>
      </c>
      <c r="F936" s="36" t="s">
        <v>225</v>
      </c>
      <c r="G936" s="92" t="e">
        <f>SUM(J936:M936,R936:AA936)</f>
        <v>#N/A</v>
      </c>
      <c r="H936" s="19" t="e">
        <f>IF(ISBLANK(B936),0,+#REF!/B936)</f>
        <v>#REF!</v>
      </c>
      <c r="I936" s="19"/>
      <c r="J936" s="88">
        <f>IF(ISBLANK(B936),0,+J$909)</f>
        <v>130</v>
      </c>
      <c r="K936" s="42">
        <f>ROUND($B936*K$909,2)</f>
        <v>-0.04</v>
      </c>
      <c r="L936" s="16">
        <f>IF(ISBLANK($C936),0,IF($C936&lt;$C$910,ROUND($C$910*$L$909,2),IF($C936&gt;L$910,ROUND(L$910*L$909,2),ROUND($C936*L$909,2))))</f>
        <v>55900</v>
      </c>
      <c r="M936" s="17">
        <f>IF($C936&gt;L$910,ROUND(($C936-L$910)*M$909,2),0)</f>
        <v>0</v>
      </c>
      <c r="N936" s="17">
        <f>K936</f>
        <v>-0.04</v>
      </c>
      <c r="O936" s="42"/>
      <c r="P936" s="42"/>
      <c r="Q936" s="17">
        <f>SUM(L936:M936)</f>
        <v>55900</v>
      </c>
      <c r="R936" s="82" t="e">
        <f>ROUND(SUM(K936:M936)*(R935-1),2)</f>
        <v>#N/A</v>
      </c>
      <c r="S936" s="42">
        <f>ROUND($B936*S$909*S935,2)</f>
        <v>0</v>
      </c>
      <c r="T936" s="42">
        <f>ROUND($B936*T$909,2)</f>
        <v>0</v>
      </c>
      <c r="U936" s="42">
        <f>ROUND($B936*U$909,2)</f>
        <v>0</v>
      </c>
      <c r="V936" s="42">
        <f>ROUND($B936*V$900,2)</f>
        <v>0</v>
      </c>
      <c r="W936" s="42">
        <f>ROUND($B936*W$909,2)</f>
        <v>0</v>
      </c>
      <c r="X936" s="42">
        <f>ROUND($B936*X$909,2)</f>
        <v>-0.01</v>
      </c>
      <c r="Y936" s="42">
        <f>ROUND($B936*Y$909,2)</f>
        <v>0</v>
      </c>
      <c r="Z936" s="42">
        <f>ROUND($B936*Z$909,2)</f>
        <v>0</v>
      </c>
      <c r="AA936" s="42">
        <f>ROUND($B936*AA$909,2)</f>
        <v>0</v>
      </c>
      <c r="AB936" s="19" t="e">
        <f>SUM(#REF!)</f>
        <v>#REF!</v>
      </c>
      <c r="AC936" s="94" t="str">
        <f>+F936</f>
        <v>HL18</v>
      </c>
    </row>
    <row r="937" spans="1:238" x14ac:dyDescent="0.2">
      <c r="A937" s="9"/>
      <c r="B937" s="103">
        <v>-1</v>
      </c>
      <c r="D937" s="8"/>
      <c r="E937" s="9"/>
      <c r="F937" s="36"/>
      <c r="G937" s="17"/>
      <c r="H937" s="19"/>
      <c r="I937" s="12"/>
      <c r="J937" s="12"/>
      <c r="K937" s="12"/>
      <c r="L937" s="12"/>
      <c r="M937" s="12"/>
      <c r="N937" s="12"/>
      <c r="O937" s="12"/>
      <c r="P937" s="12"/>
      <c r="Q937" s="12"/>
      <c r="R937" s="38" t="e">
        <f>VLOOKUP((D938),'Pwr Factor'!$A$1:$B$52,2)</f>
        <v>#N/A</v>
      </c>
      <c r="S937" s="50">
        <v>0.25</v>
      </c>
      <c r="T937" s="12"/>
      <c r="U937" s="12"/>
      <c r="V937" s="12"/>
      <c r="W937" s="12"/>
      <c r="X937" s="12"/>
      <c r="Y937" s="12"/>
      <c r="Z937" s="12"/>
      <c r="AA937" s="12"/>
    </row>
    <row r="938" spans="1:238" x14ac:dyDescent="0.2">
      <c r="A938" s="1" t="s">
        <v>140</v>
      </c>
      <c r="B938" s="103">
        <f>IF(AND('AES Indiana Bill Calc.'!$D$17="HL1",'AES Indiana Bill Calc.'!$D$18="Yes 25%",'AES Indiana Bill Calc.'!$D$20="Yes 2018"),'AES Indiana Bill Calc.'!$D$19,-1)</f>
        <v>-1</v>
      </c>
      <c r="C938" s="103">
        <f>MAX(E938,$C$905)</f>
        <v>2000</v>
      </c>
      <c r="D938" s="103" t="b">
        <f>IF(AND('AES Indiana Bill Calc.'!$D$17="HL1",'AES Indiana Bill Calc.'!$D$18="Yes 25%",'AES Indiana Bill Calc.'!$D$20="Yes 2018"),'AES Indiana Bill Calc.'!$D$22)</f>
        <v>0</v>
      </c>
      <c r="E938" s="103" t="b">
        <f>IF(AND('AES Indiana Bill Calc.'!$D$17="HL1",'AES Indiana Bill Calc.'!$D$18="Yes 25%",'AES Indiana Bill Calc.'!$D$20="Yes 2018"),'AES Indiana Bill Calc.'!$D$21)</f>
        <v>0</v>
      </c>
      <c r="F938" s="36" t="s">
        <v>225</v>
      </c>
      <c r="G938" s="92" t="e">
        <f>SUM(J938:M938,R938:AA938)</f>
        <v>#N/A</v>
      </c>
      <c r="H938" s="19" t="e">
        <f>IF(ISBLANK(B938),0,+#REF!/B938)</f>
        <v>#REF!</v>
      </c>
      <c r="I938" s="19"/>
      <c r="J938" s="88">
        <f>IF(ISBLANK(B938),0,+J$909)</f>
        <v>130</v>
      </c>
      <c r="K938" s="42">
        <f>ROUND($B938*K$909,2)</f>
        <v>-0.04</v>
      </c>
      <c r="L938" s="16">
        <f>IF(ISBLANK($C938),0,IF($C938&lt;$C$910,ROUND($C$910*$L$909,2),IF($C938&gt;L$910,ROUND(L$910*L$909,2),ROUND($C938*L$909,2))))</f>
        <v>55900</v>
      </c>
      <c r="M938" s="17">
        <f>IF($C938&gt;L$910,ROUND(($C938-L$910)*M$909,2),0)</f>
        <v>0</v>
      </c>
      <c r="N938" s="17">
        <f>K938</f>
        <v>-0.04</v>
      </c>
      <c r="O938" s="42"/>
      <c r="P938" s="42"/>
      <c r="Q938" s="17">
        <f>SUM(L938:M938)</f>
        <v>55900</v>
      </c>
      <c r="R938" s="82" t="e">
        <f>ROUND(SUM(K938:M938)*(R937-1),2)</f>
        <v>#N/A</v>
      </c>
      <c r="S938" s="42">
        <f>ROUND($B938*S$909*S937,2)</f>
        <v>0</v>
      </c>
      <c r="T938" s="42">
        <f>ROUND($B938*T$909,2)</f>
        <v>0</v>
      </c>
      <c r="U938" s="42">
        <f>ROUND($B938*U$909,2)</f>
        <v>0</v>
      </c>
      <c r="V938" s="42">
        <f>ROUND($B938*V$900,2)</f>
        <v>0</v>
      </c>
      <c r="W938" s="42">
        <f>ROUND($B938*W$909,2)</f>
        <v>0</v>
      </c>
      <c r="X938" s="42">
        <f>ROUND($B938*X$909,2)</f>
        <v>-0.01</v>
      </c>
      <c r="Y938" s="42">
        <f>ROUND($B938*Y$909,2)</f>
        <v>0</v>
      </c>
      <c r="Z938" s="42">
        <f>ROUND($B938*Z$909,2)</f>
        <v>0</v>
      </c>
      <c r="AA938" s="42">
        <f>ROUND($B938*AA$909,2)</f>
        <v>0</v>
      </c>
      <c r="AB938" s="19" t="e">
        <f>SUM(#REF!)</f>
        <v>#REF!</v>
      </c>
      <c r="AC938" s="94" t="str">
        <f>+F938</f>
        <v>HL18</v>
      </c>
    </row>
    <row r="939" spans="1:238" x14ac:dyDescent="0.2">
      <c r="A939" s="9"/>
      <c r="B939" s="103">
        <v>-1</v>
      </c>
      <c r="D939" s="8"/>
      <c r="E939" s="9"/>
      <c r="F939" s="36"/>
      <c r="G939" s="17"/>
      <c r="H939" s="19"/>
      <c r="I939" s="12"/>
      <c r="J939" s="12"/>
      <c r="K939" s="12"/>
      <c r="L939" s="12"/>
      <c r="M939" s="12"/>
      <c r="N939" s="12"/>
      <c r="O939" s="12"/>
      <c r="P939" s="12"/>
      <c r="Q939" s="12"/>
      <c r="R939" s="38" t="e">
        <f>VLOOKUP((D940),'Pwr Factor'!$A$1:$B$52,2)</f>
        <v>#N/A</v>
      </c>
      <c r="S939" s="50">
        <v>0.1</v>
      </c>
      <c r="T939" s="12"/>
      <c r="U939" s="12"/>
      <c r="V939" s="12"/>
      <c r="W939" s="12"/>
      <c r="X939" s="12"/>
      <c r="Y939" s="12"/>
      <c r="Z939" s="12"/>
      <c r="AA939" s="12"/>
    </row>
    <row r="940" spans="1:238" x14ac:dyDescent="0.2">
      <c r="A940" s="1" t="s">
        <v>154</v>
      </c>
      <c r="B940" s="103">
        <f>IF(AND('AES Indiana Bill Calc.'!$D$17="HL1",'AES Indiana Bill Calc.'!$D$18="Yes 10%",'AES Indiana Bill Calc.'!$D$20="Yes 2018"),'AES Indiana Bill Calc.'!$D$19,-1)</f>
        <v>-1</v>
      </c>
      <c r="C940" s="103">
        <f>MAX(E940,$C$905)</f>
        <v>2000</v>
      </c>
      <c r="D940" s="103" t="b">
        <f>IF(AND('AES Indiana Bill Calc.'!$D$17="HL1",'AES Indiana Bill Calc.'!$D$18="Yes 10%",'AES Indiana Bill Calc.'!$D$20="Yes 2018"),'AES Indiana Bill Calc.'!$D$22)</f>
        <v>0</v>
      </c>
      <c r="E940" s="103" t="b">
        <f>IF(AND('AES Indiana Bill Calc.'!$D$17="HL1",'AES Indiana Bill Calc.'!$D$18="Yes 10%",'AES Indiana Bill Calc.'!$D$20="Yes 2018"),'AES Indiana Bill Calc.'!$D$21)</f>
        <v>0</v>
      </c>
      <c r="F940" s="36" t="s">
        <v>225</v>
      </c>
      <c r="G940" s="92" t="e">
        <f>SUM(J940:M940,R940:AA940)</f>
        <v>#N/A</v>
      </c>
      <c r="H940" s="19" t="e">
        <f>IF(ISBLANK(B940),0,+#REF!/B940)</f>
        <v>#REF!</v>
      </c>
      <c r="I940" s="19"/>
      <c r="J940" s="88">
        <f>IF(ISBLANK(B940),0,+J$909)</f>
        <v>130</v>
      </c>
      <c r="K940" s="42">
        <f>ROUND($B940*K$909,2)</f>
        <v>-0.04</v>
      </c>
      <c r="L940" s="16">
        <f>IF(ISBLANK($C940),0,IF($C940&lt;$C$910,ROUND($C$910*$L$909,2),IF($C940&gt;L$910,ROUND(L$910*L$909,2),ROUND($C940*L$909,2))))</f>
        <v>55900</v>
      </c>
      <c r="M940" s="17">
        <f>IF($C940&gt;L$910,ROUND(($C940-L$910)*M$909,2),0)</f>
        <v>0</v>
      </c>
      <c r="N940" s="17">
        <f>K940</f>
        <v>-0.04</v>
      </c>
      <c r="O940" s="42"/>
      <c r="P940" s="42"/>
      <c r="Q940" s="17">
        <f>SUM(L940:M940)</f>
        <v>55900</v>
      </c>
      <c r="R940" s="82" t="e">
        <f>ROUND(SUM(K940:M940)*(R939-1),2)</f>
        <v>#N/A</v>
      </c>
      <c r="S940" s="42">
        <f>ROUND($B940*S$909*S939,2)</f>
        <v>0</v>
      </c>
      <c r="T940" s="42">
        <f>ROUND($B940*T$909,2)</f>
        <v>0</v>
      </c>
      <c r="U940" s="42">
        <f>ROUND($B940*U$909,2)</f>
        <v>0</v>
      </c>
      <c r="V940" s="42">
        <f>ROUND($B940*V$900,2)</f>
        <v>0</v>
      </c>
      <c r="W940" s="42">
        <f>ROUND($B940*W$909,2)</f>
        <v>0</v>
      </c>
      <c r="X940" s="42">
        <f>ROUND($B940*X$909,2)</f>
        <v>-0.01</v>
      </c>
      <c r="Y940" s="42">
        <f>ROUND($B940*Y$909,2)</f>
        <v>0</v>
      </c>
      <c r="Z940" s="42">
        <f>ROUND($B940*Z$909,2)</f>
        <v>0</v>
      </c>
      <c r="AA940" s="42">
        <f>ROUND($B940*AA$909,2)</f>
        <v>0</v>
      </c>
      <c r="AB940" s="19" t="e">
        <f>SUM(#REF!)</f>
        <v>#REF!</v>
      </c>
      <c r="AC940" s="94" t="str">
        <f>+F940</f>
        <v>HL18</v>
      </c>
    </row>
    <row r="941" spans="1:238" x14ac:dyDescent="0.2">
      <c r="A941" s="9"/>
      <c r="B941" s="103">
        <v>-1</v>
      </c>
      <c r="D941" s="8"/>
      <c r="E941" s="9"/>
      <c r="F941" s="36"/>
      <c r="G941" s="17"/>
      <c r="H941" s="19"/>
      <c r="I941" s="12"/>
      <c r="J941" s="12"/>
      <c r="K941" s="12"/>
      <c r="L941" s="12"/>
      <c r="M941" s="12"/>
      <c r="N941" s="12"/>
      <c r="O941" s="12"/>
      <c r="P941" s="12"/>
      <c r="Q941" s="12"/>
      <c r="R941" s="38" t="e">
        <f>VLOOKUP((D942),'Pwr Factor'!$A$1:$B$52,2)</f>
        <v>#N/A</v>
      </c>
      <c r="S941" s="50">
        <v>0</v>
      </c>
      <c r="T941" s="12"/>
      <c r="U941" s="12"/>
      <c r="V941" s="12"/>
      <c r="W941" s="12"/>
      <c r="X941" s="12"/>
      <c r="Y941" s="12"/>
      <c r="Z941" s="12"/>
      <c r="AA941" s="12"/>
    </row>
    <row r="942" spans="1:238" x14ac:dyDescent="0.2">
      <c r="A942" s="1" t="s">
        <v>137</v>
      </c>
      <c r="B942" s="103">
        <f>IF(AND('AES Indiana Bill Calc.'!$D$17="HL1",'AES Indiana Bill Calc.'!$D$18="No",'AES Indiana Bill Calc.'!$D$20="Yes 2018"),'AES Indiana Bill Calc.'!$D$19,-1)</f>
        <v>-1</v>
      </c>
      <c r="C942" s="103">
        <f>MAX(E942,$C$905)</f>
        <v>2000</v>
      </c>
      <c r="D942" s="103" t="b">
        <f>IF(AND('AES Indiana Bill Calc.'!$D$17="HL1",'AES Indiana Bill Calc.'!$D$18="No",'AES Indiana Bill Calc.'!$D$20="Yes 2018"),'AES Indiana Bill Calc.'!$D$22)</f>
        <v>0</v>
      </c>
      <c r="E942" s="103" t="b">
        <f>IF(AND('AES Indiana Bill Calc.'!$D$17="HL1",'AES Indiana Bill Calc.'!$D$18="No",'AES Indiana Bill Calc.'!$D$20="Yes 2018"),'AES Indiana Bill Calc.'!$D$21)</f>
        <v>0</v>
      </c>
      <c r="F942" s="36" t="s">
        <v>225</v>
      </c>
      <c r="G942" s="92" t="e">
        <f>SUM(J942:M942,R942:AA942)</f>
        <v>#N/A</v>
      </c>
      <c r="H942" s="19" t="e">
        <f>IF(ISBLANK(B942),0,+#REF!/B942)</f>
        <v>#REF!</v>
      </c>
      <c r="I942" s="19"/>
      <c r="J942" s="88">
        <f>IF(ISBLANK(B942),0,+J$909)</f>
        <v>130</v>
      </c>
      <c r="K942" s="42">
        <f>ROUND($B942*K$909,2)</f>
        <v>-0.04</v>
      </c>
      <c r="L942" s="16">
        <f>IF(ISBLANK($C942),0,IF($C942&lt;$C$910,ROUND($C$910*$L$909,2),IF($C942&gt;L$910,ROUND(L$910*L$909,2),ROUND($C942*L$909,2))))</f>
        <v>55900</v>
      </c>
      <c r="M942" s="17">
        <f>IF($C942&gt;L$910,ROUND(($C942-L$910)*M$909,2),0)</f>
        <v>0</v>
      </c>
      <c r="N942" s="17">
        <f>K942</f>
        <v>-0.04</v>
      </c>
      <c r="O942" s="42"/>
      <c r="P942" s="42"/>
      <c r="Q942" s="17">
        <f>SUM(L942:M942)</f>
        <v>55900</v>
      </c>
      <c r="R942" s="82" t="e">
        <f>ROUND(SUM(K942:M942)*(R941-1),2)</f>
        <v>#N/A</v>
      </c>
      <c r="S942" s="42">
        <f>ROUND($B942*S$909*S941,2)</f>
        <v>0</v>
      </c>
      <c r="T942" s="42">
        <f>ROUND($B942*T$909,2)</f>
        <v>0</v>
      </c>
      <c r="U942" s="42">
        <f>ROUND($B942*U$909,2)</f>
        <v>0</v>
      </c>
      <c r="V942" s="42">
        <f>ROUND($B942*V$900,2)</f>
        <v>0</v>
      </c>
      <c r="W942" s="42">
        <f>ROUND($B942*W$909,2)</f>
        <v>0</v>
      </c>
      <c r="X942" s="42">
        <f>ROUND($B942*X$909,2)</f>
        <v>-0.01</v>
      </c>
      <c r="Y942" s="42">
        <f>ROUND($B942*Y$909,2)</f>
        <v>0</v>
      </c>
      <c r="Z942" s="42">
        <f>ROUND($B942*Z$909,2)</f>
        <v>0</v>
      </c>
      <c r="AA942" s="42">
        <f>ROUND($B942*AA$909,2)</f>
        <v>0</v>
      </c>
      <c r="AB942" s="19" t="e">
        <f>SUM(#REF!)</f>
        <v>#REF!</v>
      </c>
      <c r="AC942" s="94" t="str">
        <f>+F942</f>
        <v>HL18</v>
      </c>
    </row>
    <row r="943" spans="1:238" x14ac:dyDescent="0.2">
      <c r="B943" s="103">
        <v>-1</v>
      </c>
      <c r="D943" s="8"/>
      <c r="E943" s="9"/>
      <c r="F943" s="36"/>
      <c r="G943" s="17"/>
      <c r="H943" s="19"/>
      <c r="I943" s="12"/>
      <c r="J943" s="12"/>
      <c r="K943" s="12"/>
      <c r="L943" s="12"/>
      <c r="M943" s="12"/>
      <c r="N943" s="12"/>
      <c r="O943" s="12"/>
      <c r="P943" s="12"/>
      <c r="Q943" s="12"/>
      <c r="R943" s="38" t="e">
        <f>VLOOKUP((D944),'Pwr Factor'!$A$1:$B$52,2)</f>
        <v>#N/A</v>
      </c>
      <c r="S943" s="50">
        <v>1</v>
      </c>
      <c r="T943" s="12"/>
      <c r="U943" s="12"/>
      <c r="V943" s="12"/>
      <c r="W943" s="12"/>
      <c r="X943" s="12"/>
      <c r="Y943" s="12"/>
      <c r="Z943" s="12"/>
      <c r="AA943" s="12"/>
    </row>
    <row r="944" spans="1:238" s="21" customFormat="1" ht="13.5" thickBot="1" x14ac:dyDescent="0.25">
      <c r="A944" s="1" t="s">
        <v>138</v>
      </c>
      <c r="B944" s="103">
        <f>IF(AND('AES Indiana Bill Calc.'!$D$17="HL1",'AES Indiana Bill Calc.'!$D$18="Yes 100%",'AES Indiana Bill Calc.'!$D$20="Yes 2019"),'AES Indiana Bill Calc.'!$D$19,-1)</f>
        <v>-1</v>
      </c>
      <c r="C944" s="103">
        <f>MAX(E944,$C$905)</f>
        <v>2000</v>
      </c>
      <c r="D944" s="103" t="b">
        <f>IF(AND('AES Indiana Bill Calc.'!$D$17="HL1",'AES Indiana Bill Calc.'!$D$18="Yes 100%",'AES Indiana Bill Calc.'!$D$20="Yes 2019"),'AES Indiana Bill Calc.'!$D$22)</f>
        <v>0</v>
      </c>
      <c r="E944" s="103" t="b">
        <f>IF(AND('AES Indiana Bill Calc.'!$D$17="HL1",'AES Indiana Bill Calc.'!$D$18="Yes 100%",'AES Indiana Bill Calc.'!$D$20="Yes 2019"),'AES Indiana Bill Calc.'!$D$21)</f>
        <v>0</v>
      </c>
      <c r="F944" s="36" t="s">
        <v>226</v>
      </c>
      <c r="G944" s="92" t="e">
        <f>SUM(J944:M944,R944:AA944)</f>
        <v>#N/A</v>
      </c>
      <c r="H944" s="19" t="e">
        <f>IF(ISBLANK(B944),0,+#REF!/B944)</f>
        <v>#REF!</v>
      </c>
      <c r="I944" s="19"/>
      <c r="J944" s="88">
        <f>IF(ISBLANK(B944),0,+J$909)</f>
        <v>130</v>
      </c>
      <c r="K944" s="42">
        <f>ROUND($B944*K$909,2)</f>
        <v>-0.04</v>
      </c>
      <c r="L944" s="16">
        <f>IF(ISBLANK($C944),0,IF($C944&lt;$C$910,ROUND($C$910*$L$909,2),IF($C944&gt;L$910,ROUND(L$910*L$909,2),ROUND($C944*L$909,2))))</f>
        <v>55900</v>
      </c>
      <c r="M944" s="17">
        <f>IF($C944&gt;L$910,ROUND(($C944-L$910)*M$909,2),0)</f>
        <v>0</v>
      </c>
      <c r="N944" s="17">
        <f>K944</f>
        <v>-0.04</v>
      </c>
      <c r="O944" s="42"/>
      <c r="P944" s="42"/>
      <c r="Q944" s="17">
        <f>SUM(L944:M944)</f>
        <v>55900</v>
      </c>
      <c r="R944" s="82" t="e">
        <f>ROUND(SUM(K944:M944)*(R943-1),2)</f>
        <v>#N/A</v>
      </c>
      <c r="S944" s="42">
        <f>ROUND($B944*S$909*S943,2)</f>
        <v>0</v>
      </c>
      <c r="T944" s="42">
        <f>ROUND($B944*T$909,2)</f>
        <v>0</v>
      </c>
      <c r="U944" s="42">
        <f>ROUND($B944*U$909,2)</f>
        <v>0</v>
      </c>
      <c r="V944" s="42">
        <f>ROUND($B944*V$901,2)</f>
        <v>0</v>
      </c>
      <c r="W944" s="42">
        <f>ROUND($B944*W$909,2)</f>
        <v>0</v>
      </c>
      <c r="X944" s="42">
        <f>ROUND($B944*X$909,2)</f>
        <v>-0.01</v>
      </c>
      <c r="Y944" s="42">
        <f>ROUND($B944*Y$909,2)</f>
        <v>0</v>
      </c>
      <c r="Z944" s="42">
        <f>ROUND($B944*Z$909,2)</f>
        <v>0</v>
      </c>
      <c r="AA944" s="42">
        <f>ROUND($B944*AA$909,2)</f>
        <v>0</v>
      </c>
      <c r="AB944" s="19" t="e">
        <f>SUM(#REF!)</f>
        <v>#REF!</v>
      </c>
      <c r="AC944" s="94" t="str">
        <f>+F944</f>
        <v>HL19</v>
      </c>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row>
    <row r="945" spans="1:29" x14ac:dyDescent="0.2">
      <c r="A945" s="9"/>
      <c r="B945" s="103">
        <v>-1</v>
      </c>
      <c r="D945" s="8"/>
      <c r="E945" s="9"/>
      <c r="F945" s="36"/>
      <c r="G945" s="17"/>
      <c r="H945" s="19"/>
      <c r="I945" s="12"/>
      <c r="J945" s="12"/>
      <c r="K945" s="12"/>
      <c r="L945" s="12"/>
      <c r="M945" s="12"/>
      <c r="N945" s="12"/>
      <c r="O945" s="12"/>
      <c r="P945" s="12"/>
      <c r="Q945" s="12"/>
      <c r="R945" s="38" t="e">
        <f>VLOOKUP((D946),'Pwr Factor'!$A$1:$B$52,2)</f>
        <v>#N/A</v>
      </c>
      <c r="S945" s="50">
        <v>0.5</v>
      </c>
      <c r="T945" s="12"/>
      <c r="U945" s="12"/>
      <c r="V945" s="12"/>
      <c r="W945" s="12"/>
      <c r="X945" s="12"/>
      <c r="Y945" s="12"/>
      <c r="Z945" s="12"/>
      <c r="AA945" s="12"/>
    </row>
    <row r="946" spans="1:29" x14ac:dyDescent="0.2">
      <c r="A946" s="1" t="s">
        <v>139</v>
      </c>
      <c r="B946" s="103">
        <f>IF(AND('AES Indiana Bill Calc.'!$D$17="HL1",'AES Indiana Bill Calc.'!$D$18="Yes 50%",'AES Indiana Bill Calc.'!$D$20="Yes 2019"),'AES Indiana Bill Calc.'!$D$19,-1)</f>
        <v>-1</v>
      </c>
      <c r="C946" s="103">
        <f>MAX(E946,$C$905)</f>
        <v>2000</v>
      </c>
      <c r="D946" s="103" t="b">
        <f>IF(AND('AES Indiana Bill Calc.'!$D$17="HL1",'AES Indiana Bill Calc.'!$D$18="Yes 50%",'AES Indiana Bill Calc.'!$D$20="Yes 2019"),'AES Indiana Bill Calc.'!$D$22)</f>
        <v>0</v>
      </c>
      <c r="E946" s="103" t="b">
        <f>IF(AND('AES Indiana Bill Calc.'!$D$17="HL1",'AES Indiana Bill Calc.'!$D$18="Yes 50%",'AES Indiana Bill Calc.'!$D$20="Yes 2019"),'AES Indiana Bill Calc.'!$D$21)</f>
        <v>0</v>
      </c>
      <c r="F946" s="36" t="s">
        <v>226</v>
      </c>
      <c r="G946" s="92" t="e">
        <f>SUM(J946:M946,R946:AA946)</f>
        <v>#N/A</v>
      </c>
      <c r="H946" s="19" t="e">
        <f>IF(ISBLANK(B946),0,+#REF!/B946)</f>
        <v>#REF!</v>
      </c>
      <c r="I946" s="19"/>
      <c r="J946" s="88">
        <f>IF(ISBLANK(B946),0,+J$909)</f>
        <v>130</v>
      </c>
      <c r="K946" s="42">
        <f>ROUND($B946*K$909,2)</f>
        <v>-0.04</v>
      </c>
      <c r="L946" s="16">
        <f>IF(ISBLANK($C946),0,IF($C946&lt;$C$910,ROUND($C$910*$L$909,2),IF($C946&gt;L$910,ROUND(L$910*L$909,2),ROUND($C946*L$909,2))))</f>
        <v>55900</v>
      </c>
      <c r="M946" s="17">
        <f>IF($C946&gt;L$910,ROUND(($C946-L$910)*M$909,2),0)</f>
        <v>0</v>
      </c>
      <c r="N946" s="17">
        <f>K946</f>
        <v>-0.04</v>
      </c>
      <c r="O946" s="42"/>
      <c r="P946" s="42"/>
      <c r="Q946" s="17">
        <f>SUM(L946:M946)</f>
        <v>55900</v>
      </c>
      <c r="R946" s="82" t="e">
        <f>ROUND(SUM(K946:M946)*(R945-1),2)</f>
        <v>#N/A</v>
      </c>
      <c r="S946" s="42">
        <f>ROUND($B946*S$909*S945,2)</f>
        <v>0</v>
      </c>
      <c r="T946" s="42">
        <f>ROUND($B946*T$909,2)</f>
        <v>0</v>
      </c>
      <c r="U946" s="42">
        <f>ROUND($B946*U$909,2)</f>
        <v>0</v>
      </c>
      <c r="V946" s="42">
        <f>ROUND($B946*V$901,2)</f>
        <v>0</v>
      </c>
      <c r="W946" s="42">
        <f>ROUND($B946*W$909,2)</f>
        <v>0</v>
      </c>
      <c r="X946" s="42">
        <f>ROUND($B946*X$909,2)</f>
        <v>-0.01</v>
      </c>
      <c r="Y946" s="42">
        <f>ROUND($B946*Y$909,2)</f>
        <v>0</v>
      </c>
      <c r="Z946" s="42">
        <f>ROUND($B946*Z$909,2)</f>
        <v>0</v>
      </c>
      <c r="AA946" s="42">
        <f>ROUND($B946*AA$909,2)</f>
        <v>0</v>
      </c>
      <c r="AB946" s="19" t="e">
        <f>SUM(#REF!)</f>
        <v>#REF!</v>
      </c>
      <c r="AC946" s="94" t="str">
        <f>+F946</f>
        <v>HL19</v>
      </c>
    </row>
    <row r="947" spans="1:29" x14ac:dyDescent="0.2">
      <c r="A947" s="9"/>
      <c r="B947" s="103">
        <v>-1</v>
      </c>
      <c r="D947" s="8"/>
      <c r="E947" s="9"/>
      <c r="F947" s="36"/>
      <c r="G947" s="17"/>
      <c r="H947" s="19"/>
      <c r="I947" s="12"/>
      <c r="J947" s="12"/>
      <c r="K947" s="12"/>
      <c r="L947" s="12"/>
      <c r="M947" s="12"/>
      <c r="N947" s="12"/>
      <c r="O947" s="12"/>
      <c r="P947" s="12"/>
      <c r="Q947" s="12"/>
      <c r="R947" s="38" t="e">
        <f>VLOOKUP((D948),'Pwr Factor'!$A$1:$B$52,2)</f>
        <v>#N/A</v>
      </c>
      <c r="S947" s="50">
        <v>0.25</v>
      </c>
      <c r="T947" s="12"/>
      <c r="U947" s="12"/>
      <c r="V947" s="12"/>
      <c r="W947" s="12"/>
      <c r="X947" s="12"/>
      <c r="Y947" s="12"/>
      <c r="Z947" s="12"/>
      <c r="AA947" s="12"/>
    </row>
    <row r="948" spans="1:29" x14ac:dyDescent="0.2">
      <c r="A948" s="1" t="s">
        <v>140</v>
      </c>
      <c r="B948" s="103">
        <f>IF(AND('AES Indiana Bill Calc.'!$D$17="HL1",'AES Indiana Bill Calc.'!$D$18="Yes 25%",'AES Indiana Bill Calc.'!$D$20="Yes 2019"),'AES Indiana Bill Calc.'!$D$19,-1)</f>
        <v>-1</v>
      </c>
      <c r="C948" s="103">
        <f>MAX(E948,$C$905)</f>
        <v>2000</v>
      </c>
      <c r="D948" s="103" t="b">
        <f>IF(AND('AES Indiana Bill Calc.'!$D$17="HL1",'AES Indiana Bill Calc.'!$D$18="Yes 25%",'AES Indiana Bill Calc.'!$D$20="Yes 2019"),'AES Indiana Bill Calc.'!$D$22)</f>
        <v>0</v>
      </c>
      <c r="E948" s="103" t="b">
        <f>IF(AND('AES Indiana Bill Calc.'!$D$17="HL1",'AES Indiana Bill Calc.'!$D$18="Yes 25%",'AES Indiana Bill Calc.'!$D$20="Yes 2019"),'AES Indiana Bill Calc.'!$D$21)</f>
        <v>0</v>
      </c>
      <c r="F948" s="36" t="s">
        <v>226</v>
      </c>
      <c r="G948" s="92" t="e">
        <f>SUM(J948:M948,R948:AA948)</f>
        <v>#N/A</v>
      </c>
      <c r="H948" s="19" t="e">
        <f>IF(ISBLANK(B948),0,+#REF!/B948)</f>
        <v>#REF!</v>
      </c>
      <c r="I948" s="19"/>
      <c r="J948" s="88">
        <f>IF(ISBLANK(B948),0,+J$909)</f>
        <v>130</v>
      </c>
      <c r="K948" s="42">
        <f>ROUND($B948*K$909,2)</f>
        <v>-0.04</v>
      </c>
      <c r="L948" s="16">
        <f>IF(ISBLANK($C948),0,IF($C948&lt;$C$910,ROUND($C$910*$L$909,2),IF($C948&gt;L$910,ROUND(L$910*L$909,2),ROUND($C948*L$909,2))))</f>
        <v>55900</v>
      </c>
      <c r="M948" s="17">
        <f>IF($C948&gt;L$910,ROUND(($C948-L$910)*M$909,2),0)</f>
        <v>0</v>
      </c>
      <c r="N948" s="17">
        <f>K948</f>
        <v>-0.04</v>
      </c>
      <c r="O948" s="42"/>
      <c r="P948" s="42"/>
      <c r="Q948" s="17">
        <f>SUM(L948:M948)</f>
        <v>55900</v>
      </c>
      <c r="R948" s="82" t="e">
        <f>ROUND(SUM(K948:M948)*(R947-1),2)</f>
        <v>#N/A</v>
      </c>
      <c r="S948" s="42">
        <f>ROUND($B948*S$909*S947,2)</f>
        <v>0</v>
      </c>
      <c r="T948" s="42">
        <f>ROUND($B948*T$909,2)</f>
        <v>0</v>
      </c>
      <c r="U948" s="42">
        <f>ROUND($B948*U$909,2)</f>
        <v>0</v>
      </c>
      <c r="V948" s="42">
        <f>ROUND($B948*V$901,2)</f>
        <v>0</v>
      </c>
      <c r="W948" s="42">
        <f>ROUND($B948*W$909,2)</f>
        <v>0</v>
      </c>
      <c r="X948" s="42">
        <f>ROUND($B948*X$909,2)</f>
        <v>-0.01</v>
      </c>
      <c r="Y948" s="42">
        <f>ROUND($B948*Y$909,2)</f>
        <v>0</v>
      </c>
      <c r="Z948" s="42">
        <f>ROUND($B948*Z$909,2)</f>
        <v>0</v>
      </c>
      <c r="AA948" s="42">
        <f>ROUND($B948*AA$909,2)</f>
        <v>0</v>
      </c>
      <c r="AB948" s="19" t="e">
        <f>SUM(#REF!)</f>
        <v>#REF!</v>
      </c>
      <c r="AC948" s="94" t="str">
        <f>+F948</f>
        <v>HL19</v>
      </c>
    </row>
    <row r="949" spans="1:29" x14ac:dyDescent="0.2">
      <c r="A949" s="9"/>
      <c r="B949" s="103">
        <v>-1</v>
      </c>
      <c r="D949" s="8"/>
      <c r="E949" s="9"/>
      <c r="F949" s="36"/>
      <c r="G949" s="17"/>
      <c r="H949" s="19"/>
      <c r="I949" s="12"/>
      <c r="J949" s="12"/>
      <c r="K949" s="12"/>
      <c r="L949" s="12"/>
      <c r="M949" s="12"/>
      <c r="N949" s="12"/>
      <c r="O949" s="12"/>
      <c r="P949" s="12"/>
      <c r="Q949" s="12"/>
      <c r="R949" s="38" t="e">
        <f>VLOOKUP((D950),'Pwr Factor'!$A$1:$B$52,2)</f>
        <v>#N/A</v>
      </c>
      <c r="S949" s="50">
        <v>0.1</v>
      </c>
      <c r="T949" s="12"/>
      <c r="U949" s="12"/>
      <c r="V949" s="12"/>
      <c r="W949" s="12"/>
      <c r="X949" s="12"/>
      <c r="Y949" s="12"/>
      <c r="Z949" s="12"/>
      <c r="AA949" s="12"/>
    </row>
    <row r="950" spans="1:29" x14ac:dyDescent="0.2">
      <c r="A950" s="1" t="s">
        <v>154</v>
      </c>
      <c r="B950" s="103">
        <f>IF(AND('AES Indiana Bill Calc.'!$D$17="HL1",'AES Indiana Bill Calc.'!$D$18="Yes 10%",'AES Indiana Bill Calc.'!$D$20="Yes 2019"),'AES Indiana Bill Calc.'!$D$19,-1)</f>
        <v>-1</v>
      </c>
      <c r="C950" s="103">
        <f>MAX(E950,$C$905)</f>
        <v>2000</v>
      </c>
      <c r="D950" s="103" t="b">
        <f>IF(AND('AES Indiana Bill Calc.'!$D$17="HL1",'AES Indiana Bill Calc.'!$D$18="Yes 10%",'AES Indiana Bill Calc.'!$D$20="Yes 2019"),'AES Indiana Bill Calc.'!$D$22)</f>
        <v>0</v>
      </c>
      <c r="E950" s="103" t="b">
        <f>IF(AND('AES Indiana Bill Calc.'!$D$17="HL1",'AES Indiana Bill Calc.'!$D$18="Yes 10%",'AES Indiana Bill Calc.'!$D$20="Yes 2019"),'AES Indiana Bill Calc.'!$D$21)</f>
        <v>0</v>
      </c>
      <c r="F950" s="36" t="s">
        <v>226</v>
      </c>
      <c r="G950" s="92" t="e">
        <f>SUM(J950:M950,R950:AA950)</f>
        <v>#N/A</v>
      </c>
      <c r="H950" s="19" t="e">
        <f>IF(ISBLANK(B950),0,+#REF!/B950)</f>
        <v>#REF!</v>
      </c>
      <c r="I950" s="19"/>
      <c r="J950" s="88">
        <f>IF(ISBLANK(B950),0,+J$909)</f>
        <v>130</v>
      </c>
      <c r="K950" s="42">
        <f>ROUND($B950*K$909,2)</f>
        <v>-0.04</v>
      </c>
      <c r="L950" s="16">
        <f>IF(ISBLANK($C950),0,IF($C950&lt;$C$910,ROUND($C$910*$L$909,2),IF($C950&gt;L$910,ROUND(L$910*L$909,2),ROUND($C950*L$909,2))))</f>
        <v>55900</v>
      </c>
      <c r="M950" s="17">
        <f>IF($C950&gt;L$910,ROUND(($C950-L$910)*M$909,2),0)</f>
        <v>0</v>
      </c>
      <c r="N950" s="17">
        <f>K950</f>
        <v>-0.04</v>
      </c>
      <c r="O950" s="42"/>
      <c r="P950" s="42"/>
      <c r="Q950" s="17">
        <f>SUM(L950:M950)</f>
        <v>55900</v>
      </c>
      <c r="R950" s="82" t="e">
        <f>ROUND(SUM(K950:M950)*(R949-1),2)</f>
        <v>#N/A</v>
      </c>
      <c r="S950" s="42">
        <f>ROUND($B950*S$909*S949,2)</f>
        <v>0</v>
      </c>
      <c r="T950" s="42">
        <f>ROUND($B950*T$909,2)</f>
        <v>0</v>
      </c>
      <c r="U950" s="42">
        <f>ROUND($B950*U$909,2)</f>
        <v>0</v>
      </c>
      <c r="V950" s="42">
        <f>ROUND($B950*V$901,2)</f>
        <v>0</v>
      </c>
      <c r="W950" s="42">
        <f>ROUND($B950*W$909,2)</f>
        <v>0</v>
      </c>
      <c r="X950" s="42">
        <f>ROUND($B950*X$909,2)</f>
        <v>-0.01</v>
      </c>
      <c r="Y950" s="42">
        <f>ROUND($B950*Y$909,2)</f>
        <v>0</v>
      </c>
      <c r="Z950" s="42">
        <f>ROUND($B950*Z$909,2)</f>
        <v>0</v>
      </c>
      <c r="AA950" s="42">
        <f>ROUND($B950*AA$909,2)</f>
        <v>0</v>
      </c>
      <c r="AB950" s="19" t="e">
        <f>SUM(#REF!)</f>
        <v>#REF!</v>
      </c>
      <c r="AC950" s="94" t="str">
        <f>+F950</f>
        <v>HL19</v>
      </c>
    </row>
    <row r="951" spans="1:29" x14ac:dyDescent="0.2">
      <c r="A951" s="9"/>
      <c r="B951" s="103">
        <v>-1</v>
      </c>
      <c r="D951" s="8"/>
      <c r="E951" s="9"/>
      <c r="F951" s="36"/>
      <c r="G951" s="17"/>
      <c r="H951" s="19"/>
      <c r="I951" s="12"/>
      <c r="J951" s="12"/>
      <c r="K951" s="12"/>
      <c r="L951" s="12"/>
      <c r="M951" s="12"/>
      <c r="N951" s="12"/>
      <c r="O951" s="12"/>
      <c r="P951" s="12"/>
      <c r="Q951" s="12"/>
      <c r="R951" s="38" t="e">
        <f>VLOOKUP((D952),'Pwr Factor'!$A$1:$B$52,2)</f>
        <v>#N/A</v>
      </c>
      <c r="S951" s="50">
        <v>0</v>
      </c>
      <c r="T951" s="12"/>
      <c r="U951" s="12"/>
      <c r="V951" s="12"/>
      <c r="W951" s="12"/>
      <c r="X951" s="12"/>
      <c r="Y951" s="12"/>
      <c r="Z951" s="12"/>
      <c r="AA951" s="12"/>
    </row>
    <row r="952" spans="1:29" x14ac:dyDescent="0.2">
      <c r="A952" s="1" t="s">
        <v>137</v>
      </c>
      <c r="B952" s="103">
        <f>IF(AND('AES Indiana Bill Calc.'!$D$17="HL1",'AES Indiana Bill Calc.'!$D$18="No",'AES Indiana Bill Calc.'!$D$20="Yes 2019"),'AES Indiana Bill Calc.'!$D$19,-1)</f>
        <v>-1</v>
      </c>
      <c r="C952" s="103">
        <f>MAX(E952,$C$905)</f>
        <v>2000</v>
      </c>
      <c r="D952" s="103" t="b">
        <f>IF(AND('AES Indiana Bill Calc.'!$D$17="HL1",'AES Indiana Bill Calc.'!$D$18="No",'AES Indiana Bill Calc.'!$D$20="Yes 2019"),'AES Indiana Bill Calc.'!$D$22)</f>
        <v>0</v>
      </c>
      <c r="E952" s="103" t="b">
        <f>IF(AND('AES Indiana Bill Calc.'!$D$17="HL1",'AES Indiana Bill Calc.'!$D$18="No",'AES Indiana Bill Calc.'!$D$20="Yes 2019"),'AES Indiana Bill Calc.'!$D$21)</f>
        <v>0</v>
      </c>
      <c r="F952" s="36" t="s">
        <v>226</v>
      </c>
      <c r="G952" s="92" t="e">
        <f>SUM(J952:M952,R952:AA952)</f>
        <v>#N/A</v>
      </c>
      <c r="H952" s="19" t="e">
        <f>IF(ISBLANK(B952),0,+#REF!/B952)</f>
        <v>#REF!</v>
      </c>
      <c r="I952" s="19"/>
      <c r="J952" s="88">
        <f>IF(ISBLANK(B952),0,+J$909)</f>
        <v>130</v>
      </c>
      <c r="K952" s="42">
        <f>ROUND($B952*K$909,2)</f>
        <v>-0.04</v>
      </c>
      <c r="L952" s="16">
        <f>IF(ISBLANK($C952),0,IF($C952&lt;$C$910,ROUND($C$910*$L$909,2),IF($C952&gt;L$910,ROUND(L$910*L$909,2),ROUND($C952*L$909,2))))</f>
        <v>55900</v>
      </c>
      <c r="M952" s="17">
        <f>IF($C952&gt;L$910,ROUND(($C952-L$910)*M$909,2),0)</f>
        <v>0</v>
      </c>
      <c r="N952" s="17">
        <f>K952</f>
        <v>-0.04</v>
      </c>
      <c r="O952" s="42"/>
      <c r="P952" s="42"/>
      <c r="Q952" s="17">
        <f>SUM(L952:M952)</f>
        <v>55900</v>
      </c>
      <c r="R952" s="82" t="e">
        <f>ROUND(SUM(K952:M952)*(R951-1),2)</f>
        <v>#N/A</v>
      </c>
      <c r="S952" s="42">
        <f>ROUND($B952*S$909*S951,2)</f>
        <v>0</v>
      </c>
      <c r="T952" s="42">
        <f>ROUND($B952*T$909,2)</f>
        <v>0</v>
      </c>
      <c r="U952" s="42">
        <f>ROUND($B952*U$909,2)</f>
        <v>0</v>
      </c>
      <c r="V952" s="42">
        <f>ROUND($B952*V$901,2)</f>
        <v>0</v>
      </c>
      <c r="W952" s="42">
        <f>ROUND($B952*W$909,2)</f>
        <v>0</v>
      </c>
      <c r="X952" s="42">
        <f>ROUND($B952*X$909,2)</f>
        <v>-0.01</v>
      </c>
      <c r="Y952" s="42">
        <f>ROUND($B952*Y$909,2)</f>
        <v>0</v>
      </c>
      <c r="Z952" s="42">
        <f>ROUND($B952*Z$909,2)</f>
        <v>0</v>
      </c>
      <c r="AA952" s="42">
        <f>ROUND($B952*AA$909,2)</f>
        <v>0</v>
      </c>
      <c r="AB952" s="19" t="e">
        <f>SUM(#REF!)</f>
        <v>#REF!</v>
      </c>
      <c r="AC952" s="94" t="str">
        <f>+F952</f>
        <v>HL19</v>
      </c>
    </row>
    <row r="953" spans="1:29" x14ac:dyDescent="0.2">
      <c r="A953" s="53"/>
      <c r="B953" s="97">
        <v>-1</v>
      </c>
      <c r="D953" s="41"/>
      <c r="E953" s="80"/>
      <c r="F953" s="36"/>
      <c r="G953" s="98"/>
      <c r="H953" s="19"/>
      <c r="I953" s="19"/>
      <c r="J953" s="88"/>
      <c r="K953" s="42"/>
      <c r="L953" s="82"/>
      <c r="M953" s="42"/>
      <c r="N953" s="42"/>
      <c r="O953" s="42"/>
      <c r="P953" s="42"/>
      <c r="Q953" s="42"/>
      <c r="R953" s="38" t="e">
        <f>VLOOKUP((D954),'Pwr Factor'!$A$1:$B$52,2)</f>
        <v>#N/A</v>
      </c>
      <c r="S953" s="50">
        <v>1</v>
      </c>
      <c r="T953" s="42"/>
      <c r="U953" s="42"/>
      <c r="V953" s="42"/>
      <c r="W953" s="42"/>
      <c r="X953" s="42"/>
      <c r="Y953" s="42"/>
      <c r="Z953" s="42"/>
      <c r="AA953" s="42"/>
      <c r="AB953" s="19"/>
      <c r="AC953" s="94"/>
    </row>
    <row r="954" spans="1:29" x14ac:dyDescent="0.2">
      <c r="A954" s="1" t="s">
        <v>138</v>
      </c>
      <c r="B954" s="103">
        <f>IF(AND('AES Indiana Bill Calc.'!$D$17="HL1",'AES Indiana Bill Calc.'!$D$18="Yes 100%",'AES Indiana Bill Calc.'!$D$20="Yes 2020"),'AES Indiana Bill Calc.'!$D$19,-1)</f>
        <v>-1</v>
      </c>
      <c r="C954" s="103">
        <f>MAX(E954,$C$905)</f>
        <v>2000</v>
      </c>
      <c r="D954" s="103" t="b">
        <f>IF(AND('AES Indiana Bill Calc.'!$D$17="HL1",'AES Indiana Bill Calc.'!$D$18="Yes 100%",'AES Indiana Bill Calc.'!$D$20="Yes 2020"),'AES Indiana Bill Calc.'!$D$22)</f>
        <v>0</v>
      </c>
      <c r="E954" s="103" t="b">
        <f>IF(AND('AES Indiana Bill Calc.'!$D$17="HL1",'AES Indiana Bill Calc.'!$D$18="Yes 100%",'AES Indiana Bill Calc.'!$D$20="Yes 2020"),'AES Indiana Bill Calc.'!$D$21)</f>
        <v>0</v>
      </c>
      <c r="F954" s="36" t="s">
        <v>227</v>
      </c>
      <c r="G954" s="92" t="e">
        <f>SUM(J954:M954,R954:AA954)</f>
        <v>#N/A</v>
      </c>
      <c r="H954" s="19" t="e">
        <f>IF(ISBLANK(B954),0,+#REF!/B954)</f>
        <v>#REF!</v>
      </c>
      <c r="I954" s="19"/>
      <c r="J954" s="88">
        <f>IF(ISBLANK(B954),0,+J$909)</f>
        <v>130</v>
      </c>
      <c r="K954" s="42">
        <f>ROUND($B954*K$909,2)</f>
        <v>-0.04</v>
      </c>
      <c r="L954" s="16">
        <f>IF(ISBLANK($C954),0,IF($C954&lt;$C$910,ROUND($C$910*$L$909,2),IF($C954&gt;L$910,ROUND(L$910*L$909,2),ROUND($C954*L$909,2))))</f>
        <v>55900</v>
      </c>
      <c r="M954" s="17">
        <f>IF($C954&gt;L$910,ROUND(($C954-L$910)*M$909,2),0)</f>
        <v>0</v>
      </c>
      <c r="N954" s="17">
        <f>K954</f>
        <v>-0.04</v>
      </c>
      <c r="O954" s="42"/>
      <c r="P954" s="42"/>
      <c r="Q954" s="17">
        <f>SUM(L954:M954)</f>
        <v>55900</v>
      </c>
      <c r="R954" s="82" t="e">
        <f>ROUND(SUM(K954:M954)*(R953-1),2)</f>
        <v>#N/A</v>
      </c>
      <c r="S954" s="42">
        <f>ROUND($B954*S$909*S953,2)</f>
        <v>0</v>
      </c>
      <c r="T954" s="42">
        <f>ROUND($B954*T$909,2)</f>
        <v>0</v>
      </c>
      <c r="U954" s="42">
        <f>ROUND($B954*U$909,2)</f>
        <v>0</v>
      </c>
      <c r="V954" s="42">
        <f>ROUND($B954*V$902,2)</f>
        <v>0</v>
      </c>
      <c r="W954" s="42">
        <f>ROUND($B954*W$909,2)</f>
        <v>0</v>
      </c>
      <c r="X954" s="42">
        <f>ROUND($B954*X$909,2)</f>
        <v>-0.01</v>
      </c>
      <c r="Y954" s="42">
        <f>ROUND($B954*Y$909,2)</f>
        <v>0</v>
      </c>
      <c r="Z954" s="42">
        <f>ROUND($B954*Z$909,2)</f>
        <v>0</v>
      </c>
      <c r="AA954" s="42">
        <f>ROUND($B954*AA$909,2)</f>
        <v>0</v>
      </c>
      <c r="AB954" s="19">
        <f>SUM(U933:AA933)</f>
        <v>0</v>
      </c>
      <c r="AC954" s="94" t="str">
        <f>+F954</f>
        <v>HL10</v>
      </c>
    </row>
    <row r="955" spans="1:29" x14ac:dyDescent="0.2">
      <c r="A955" s="9"/>
      <c r="B955" s="97">
        <v>-1</v>
      </c>
      <c r="D955" s="41"/>
      <c r="E955" s="80"/>
      <c r="F955" s="36"/>
      <c r="G955" s="98"/>
      <c r="H955" s="19"/>
      <c r="I955" s="19"/>
      <c r="J955" s="88"/>
      <c r="K955" s="42"/>
      <c r="L955" s="82"/>
      <c r="M955" s="42"/>
      <c r="N955" s="42"/>
      <c r="O955" s="42"/>
      <c r="P955" s="42"/>
      <c r="Q955" s="42"/>
      <c r="R955" s="38" t="e">
        <f>VLOOKUP((D956),'Pwr Factor'!$A$1:$B$52,2)</f>
        <v>#N/A</v>
      </c>
      <c r="S955" s="50">
        <v>0.5</v>
      </c>
      <c r="T955" s="42"/>
      <c r="U955" s="42"/>
      <c r="V955" s="42"/>
      <c r="W955" s="42"/>
      <c r="X955" s="42"/>
      <c r="Y955" s="42"/>
      <c r="Z955" s="42"/>
      <c r="AA955" s="42"/>
      <c r="AB955" s="19"/>
      <c r="AC955" s="94"/>
    </row>
    <row r="956" spans="1:29" x14ac:dyDescent="0.2">
      <c r="A956" s="1" t="s">
        <v>139</v>
      </c>
      <c r="B956" s="103">
        <f>IF(AND('AES Indiana Bill Calc.'!$D$17="HL1",'AES Indiana Bill Calc.'!$D$18="Yes 50%",'AES Indiana Bill Calc.'!$D$20="Yes 2020"),'AES Indiana Bill Calc.'!$D$19,-1)</f>
        <v>-1</v>
      </c>
      <c r="C956" s="103">
        <f>MAX(E956,$C$905)</f>
        <v>2000</v>
      </c>
      <c r="D956" s="103" t="b">
        <f>IF(AND('AES Indiana Bill Calc.'!$D$17="HL1",'AES Indiana Bill Calc.'!$D$18="Yes 50%",'AES Indiana Bill Calc.'!$D$20="Yes 2020"),'AES Indiana Bill Calc.'!$D$22)</f>
        <v>0</v>
      </c>
      <c r="E956" s="103" t="b">
        <f>IF(AND('AES Indiana Bill Calc.'!$D$17="HL1",'AES Indiana Bill Calc.'!$D$18="Yes 50%",'AES Indiana Bill Calc.'!$D$20="Yes 2020"),'AES Indiana Bill Calc.'!$D$21)</f>
        <v>0</v>
      </c>
      <c r="F956" s="36" t="s">
        <v>227</v>
      </c>
      <c r="G956" s="92" t="e">
        <f>SUM(J956:M956,R956:AA956)</f>
        <v>#N/A</v>
      </c>
      <c r="H956" s="19" t="e">
        <f>IF(ISBLANK(B956),0,+#REF!/B956)</f>
        <v>#REF!</v>
      </c>
      <c r="I956" s="19"/>
      <c r="J956" s="88">
        <f>IF(ISBLANK(B956),0,+J$909)</f>
        <v>130</v>
      </c>
      <c r="K956" s="42">
        <f>ROUND($B956*K$909,2)</f>
        <v>-0.04</v>
      </c>
      <c r="L956" s="16">
        <f>IF(ISBLANK($C956),0,IF($C956&lt;$C$910,ROUND($C$910*$L$909,2),IF($C956&gt;L$910,ROUND(L$910*L$909,2),ROUND($C956*L$909,2))))</f>
        <v>55900</v>
      </c>
      <c r="M956" s="17">
        <f>IF($C956&gt;L$910,ROUND(($C956-L$910)*M$909,2),0)</f>
        <v>0</v>
      </c>
      <c r="N956" s="17">
        <f>K956</f>
        <v>-0.04</v>
      </c>
      <c r="O956" s="42"/>
      <c r="P956" s="42"/>
      <c r="Q956" s="17">
        <f>SUM(L956:M956)</f>
        <v>55900</v>
      </c>
      <c r="R956" s="82" t="e">
        <f>ROUND(SUM(K956:M956)*(R955-1),2)</f>
        <v>#N/A</v>
      </c>
      <c r="S956" s="42">
        <f>ROUND($B956*S$909*S955,2)</f>
        <v>0</v>
      </c>
      <c r="T956" s="42">
        <f>ROUND($B956*T$909,2)</f>
        <v>0</v>
      </c>
      <c r="U956" s="42">
        <f>ROUND($B956*U$909,2)</f>
        <v>0</v>
      </c>
      <c r="V956" s="42">
        <f>ROUND($B956*V$902,2)</f>
        <v>0</v>
      </c>
      <c r="W956" s="42">
        <f>ROUND($B956*W$909,2)</f>
        <v>0</v>
      </c>
      <c r="X956" s="42">
        <f>ROUND($B956*X$909,2)</f>
        <v>-0.01</v>
      </c>
      <c r="Y956" s="42">
        <f>ROUND($B956*Y$909,2)</f>
        <v>0</v>
      </c>
      <c r="Z956" s="42">
        <f>ROUND($B956*Z$909,2)</f>
        <v>0</v>
      </c>
      <c r="AA956" s="42">
        <f>ROUND($B956*AA$909,2)</f>
        <v>0</v>
      </c>
      <c r="AB956" s="19">
        <f>SUM(U935:AA935)</f>
        <v>0</v>
      </c>
      <c r="AC956" s="94" t="str">
        <f>+F956</f>
        <v>HL10</v>
      </c>
    </row>
    <row r="957" spans="1:29" x14ac:dyDescent="0.2">
      <c r="A957" s="9"/>
      <c r="B957" s="97">
        <v>-1</v>
      </c>
      <c r="D957" s="41"/>
      <c r="E957" s="80"/>
      <c r="F957" s="36"/>
      <c r="G957" s="98"/>
      <c r="H957" s="19"/>
      <c r="I957" s="19"/>
      <c r="J957" s="88"/>
      <c r="K957" s="42"/>
      <c r="L957" s="82"/>
      <c r="M957" s="42"/>
      <c r="N957" s="42"/>
      <c r="O957" s="42"/>
      <c r="P957" s="42"/>
      <c r="Q957" s="42"/>
      <c r="R957" s="38" t="e">
        <f>VLOOKUP((D958),'Pwr Factor'!$A$1:$B$52,2)</f>
        <v>#N/A</v>
      </c>
      <c r="S957" s="50">
        <v>0.25</v>
      </c>
      <c r="T957" s="42"/>
      <c r="U957" s="42"/>
      <c r="V957" s="42"/>
      <c r="W957" s="42"/>
      <c r="X957" s="42"/>
      <c r="Y957" s="42"/>
      <c r="Z957" s="42"/>
      <c r="AA957" s="42"/>
      <c r="AB957" s="19"/>
      <c r="AC957" s="94"/>
    </row>
    <row r="958" spans="1:29" x14ac:dyDescent="0.2">
      <c r="A958" s="1" t="s">
        <v>140</v>
      </c>
      <c r="B958" s="103">
        <f>IF(AND('AES Indiana Bill Calc.'!$D$17="HL1",'AES Indiana Bill Calc.'!$D$18="Yes 25%",'AES Indiana Bill Calc.'!$D$20="Yes 2020"),'AES Indiana Bill Calc.'!$D$19,-1)</f>
        <v>-1</v>
      </c>
      <c r="C958" s="103">
        <f>MAX(E958,$C$905)</f>
        <v>2000</v>
      </c>
      <c r="D958" s="103" t="b">
        <f>IF(AND('AES Indiana Bill Calc.'!$D$17="HL1",'AES Indiana Bill Calc.'!$D$18="Yes 25%",'AES Indiana Bill Calc.'!$D$20="Yes 2020"),'AES Indiana Bill Calc.'!$D$22)</f>
        <v>0</v>
      </c>
      <c r="E958" s="103" t="b">
        <f>IF(AND('AES Indiana Bill Calc.'!$D$17="HL1",'AES Indiana Bill Calc.'!$D$18="Yes 25%",'AES Indiana Bill Calc.'!$D$20="Yes 2020"),'AES Indiana Bill Calc.'!$D$21)</f>
        <v>0</v>
      </c>
      <c r="F958" s="36" t="s">
        <v>227</v>
      </c>
      <c r="G958" s="92" t="e">
        <f>SUM(J958:M958,R958:AA958)</f>
        <v>#N/A</v>
      </c>
      <c r="H958" s="19" t="e">
        <f>IF(ISBLANK(B958),0,+#REF!/B958)</f>
        <v>#REF!</v>
      </c>
      <c r="I958" s="19"/>
      <c r="J958" s="88">
        <f>IF(ISBLANK(B958),0,+J$909)</f>
        <v>130</v>
      </c>
      <c r="K958" s="42">
        <f>ROUND($B958*K$909,2)</f>
        <v>-0.04</v>
      </c>
      <c r="L958" s="16">
        <f>IF(ISBLANK($C958),0,IF($C958&lt;$C$910,ROUND($C$910*$L$909,2),IF($C958&gt;L$910,ROUND(L$910*L$909,2),ROUND($C958*L$909,2))))</f>
        <v>55900</v>
      </c>
      <c r="M958" s="17">
        <f>IF($C958&gt;L$910,ROUND(($C958-L$910)*M$909,2),0)</f>
        <v>0</v>
      </c>
      <c r="N958" s="17">
        <f>K958</f>
        <v>-0.04</v>
      </c>
      <c r="O958" s="42"/>
      <c r="P958" s="42"/>
      <c r="Q958" s="17">
        <f>SUM(L958:M958)</f>
        <v>55900</v>
      </c>
      <c r="R958" s="82" t="e">
        <f>ROUND(SUM(K958:M958)*(R957-1),2)</f>
        <v>#N/A</v>
      </c>
      <c r="S958" s="42">
        <f>ROUND($B958*S$909*S957,2)</f>
        <v>0</v>
      </c>
      <c r="T958" s="42">
        <f>ROUND($B958*T$909,2)</f>
        <v>0</v>
      </c>
      <c r="U958" s="42">
        <f>ROUND($B958*U$909,2)</f>
        <v>0</v>
      </c>
      <c r="V958" s="42">
        <f>ROUND($B958*V$902,2)</f>
        <v>0</v>
      </c>
      <c r="W958" s="42">
        <f>ROUND($B958*W$909,2)</f>
        <v>0</v>
      </c>
      <c r="X958" s="42">
        <f>ROUND($B958*X$909,2)</f>
        <v>-0.01</v>
      </c>
      <c r="Y958" s="42">
        <f>ROUND($B958*Y$909,2)</f>
        <v>0</v>
      </c>
      <c r="Z958" s="42">
        <f>ROUND($B958*Z$909,2)</f>
        <v>0</v>
      </c>
      <c r="AA958" s="42">
        <f>ROUND($B958*AA$909,2)</f>
        <v>0</v>
      </c>
      <c r="AB958" s="19">
        <f>SUM(U937:AA937)</f>
        <v>0</v>
      </c>
      <c r="AC958" s="94" t="str">
        <f>+F958</f>
        <v>HL10</v>
      </c>
    </row>
    <row r="959" spans="1:29" x14ac:dyDescent="0.2">
      <c r="A959" s="9"/>
      <c r="B959" s="97">
        <v>-1</v>
      </c>
      <c r="D959" s="41"/>
      <c r="E959" s="80"/>
      <c r="F959" s="36"/>
      <c r="G959" s="98"/>
      <c r="H959" s="19"/>
      <c r="I959" s="19"/>
      <c r="J959" s="88"/>
      <c r="K959" s="42"/>
      <c r="L959" s="82"/>
      <c r="M959" s="42"/>
      <c r="N959" s="42"/>
      <c r="O959" s="42"/>
      <c r="P959" s="42"/>
      <c r="Q959" s="42"/>
      <c r="R959" s="38" t="e">
        <f>VLOOKUP((D960),'Pwr Factor'!$A$1:$B$52,2)</f>
        <v>#N/A</v>
      </c>
      <c r="S959" s="50">
        <v>0.1</v>
      </c>
      <c r="T959" s="42"/>
      <c r="U959" s="42"/>
      <c r="V959" s="42"/>
      <c r="W959" s="42"/>
      <c r="X959" s="42"/>
      <c r="Y959" s="42"/>
      <c r="Z959" s="42"/>
      <c r="AA959" s="42"/>
      <c r="AB959" s="19"/>
      <c r="AC959" s="94"/>
    </row>
    <row r="960" spans="1:29" x14ac:dyDescent="0.2">
      <c r="A960" s="1" t="s">
        <v>154</v>
      </c>
      <c r="B960" s="103">
        <f>IF(AND('AES Indiana Bill Calc.'!$D$17="HL1",'AES Indiana Bill Calc.'!$D$18="Yes 10%",'AES Indiana Bill Calc.'!$D$20="Yes 2020"),'AES Indiana Bill Calc.'!$D$19,-1)</f>
        <v>-1</v>
      </c>
      <c r="C960" s="103">
        <f>MAX(E960,$C$905)</f>
        <v>2000</v>
      </c>
      <c r="D960" s="103" t="b">
        <f>IF(AND('AES Indiana Bill Calc.'!$D$17="HL1",'AES Indiana Bill Calc.'!$D$18="Yes 10%",'AES Indiana Bill Calc.'!$D$20="Yes 2020"),'AES Indiana Bill Calc.'!$D$22)</f>
        <v>0</v>
      </c>
      <c r="E960" s="103" t="b">
        <f>IF(AND('AES Indiana Bill Calc.'!$D$17="HL1",'AES Indiana Bill Calc.'!$D$18="Yes 10%",'AES Indiana Bill Calc.'!$D$20="Yes 2020"),'AES Indiana Bill Calc.'!$D$21)</f>
        <v>0</v>
      </c>
      <c r="F960" s="36" t="s">
        <v>227</v>
      </c>
      <c r="G960" s="92" t="e">
        <f>SUM(J960:M960,R960:AA960)</f>
        <v>#N/A</v>
      </c>
      <c r="H960" s="19" t="e">
        <f>IF(ISBLANK(B960),0,+#REF!/B960)</f>
        <v>#REF!</v>
      </c>
      <c r="I960" s="19"/>
      <c r="J960" s="88">
        <f>IF(ISBLANK(B960),0,+J$909)</f>
        <v>130</v>
      </c>
      <c r="K960" s="42">
        <f>ROUND($B960*K$909,2)</f>
        <v>-0.04</v>
      </c>
      <c r="L960" s="16">
        <f>IF(ISBLANK($C960),0,IF($C960&lt;$C$910,ROUND($C$910*$L$909,2),IF($C960&gt;L$910,ROUND(L$910*L$909,2),ROUND($C960*L$909,2))))</f>
        <v>55900</v>
      </c>
      <c r="M960" s="17">
        <f>IF($C960&gt;L$910,ROUND(($C960-L$910)*M$909,2),0)</f>
        <v>0</v>
      </c>
      <c r="N960" s="17">
        <f>K960</f>
        <v>-0.04</v>
      </c>
      <c r="O960" s="42"/>
      <c r="P960" s="42"/>
      <c r="Q960" s="17">
        <f>SUM(L960:M960)</f>
        <v>55900</v>
      </c>
      <c r="R960" s="82" t="e">
        <f>ROUND(SUM(K960:M960)*(R959-1),2)</f>
        <v>#N/A</v>
      </c>
      <c r="S960" s="42">
        <f>ROUND($B960*S$909*S959,2)</f>
        <v>0</v>
      </c>
      <c r="T960" s="42">
        <f>ROUND($B960*T$909,2)</f>
        <v>0</v>
      </c>
      <c r="U960" s="42">
        <f>ROUND($B960*U$909,2)</f>
        <v>0</v>
      </c>
      <c r="V960" s="42">
        <f>ROUND($B960*V$902,2)</f>
        <v>0</v>
      </c>
      <c r="W960" s="42">
        <f>ROUND($B960*W$909,2)</f>
        <v>0</v>
      </c>
      <c r="X960" s="42">
        <f>ROUND($B960*X$909,2)</f>
        <v>-0.01</v>
      </c>
      <c r="Y960" s="42">
        <f>ROUND($B960*Y$909,2)</f>
        <v>0</v>
      </c>
      <c r="Z960" s="42">
        <f>ROUND($B960*Z$909,2)</f>
        <v>0</v>
      </c>
      <c r="AA960" s="42">
        <f>ROUND($B960*AA$909,2)</f>
        <v>0</v>
      </c>
      <c r="AB960" s="19">
        <f>SUM(U939:AA939)</f>
        <v>0</v>
      </c>
      <c r="AC960" s="94" t="str">
        <f>+F960</f>
        <v>HL10</v>
      </c>
    </row>
    <row r="961" spans="1:29" x14ac:dyDescent="0.2">
      <c r="A961" s="9"/>
      <c r="B961" s="97">
        <v>-1</v>
      </c>
      <c r="D961" s="41"/>
      <c r="E961" s="80"/>
      <c r="F961" s="36"/>
      <c r="G961" s="98"/>
      <c r="H961" s="19"/>
      <c r="I961" s="19"/>
      <c r="J961" s="88"/>
      <c r="K961" s="42"/>
      <c r="L961" s="82"/>
      <c r="M961" s="42"/>
      <c r="N961" s="42"/>
      <c r="O961" s="42"/>
      <c r="P961" s="42"/>
      <c r="Q961" s="42"/>
      <c r="R961" s="38" t="e">
        <f>VLOOKUP((D962),'Pwr Factor'!$A$1:$B$52,2)</f>
        <v>#N/A</v>
      </c>
      <c r="S961" s="50">
        <v>0</v>
      </c>
      <c r="T961" s="42"/>
      <c r="U961" s="42"/>
      <c r="V961" s="42"/>
      <c r="W961" s="42"/>
      <c r="X961" s="42"/>
      <c r="Y961" s="42"/>
      <c r="Z961" s="42"/>
      <c r="AA961" s="42"/>
      <c r="AB961" s="19"/>
      <c r="AC961" s="94"/>
    </row>
    <row r="962" spans="1:29" x14ac:dyDescent="0.2">
      <c r="A962" s="1" t="s">
        <v>137</v>
      </c>
      <c r="B962" s="103">
        <f>IF(AND('AES Indiana Bill Calc.'!$D$17="HL1",'AES Indiana Bill Calc.'!$D$18="No",'AES Indiana Bill Calc.'!$D$20="Yes 2020"),'AES Indiana Bill Calc.'!$D$19,-1)</f>
        <v>-1</v>
      </c>
      <c r="C962" s="103">
        <f>MAX(E962,$C$905)</f>
        <v>2000</v>
      </c>
      <c r="D962" s="103" t="b">
        <f>IF(AND('AES Indiana Bill Calc.'!$D$17="HL1",'AES Indiana Bill Calc.'!$D$18="No",'AES Indiana Bill Calc.'!$D$20="Yes 2020"),'AES Indiana Bill Calc.'!$D$22)</f>
        <v>0</v>
      </c>
      <c r="E962" s="103" t="b">
        <f>IF(AND('AES Indiana Bill Calc.'!$D$17="HL1",'AES Indiana Bill Calc.'!$D$18="No",'AES Indiana Bill Calc.'!$D$20="Yes 2020"),'AES Indiana Bill Calc.'!$D$21)</f>
        <v>0</v>
      </c>
      <c r="F962" s="36" t="s">
        <v>227</v>
      </c>
      <c r="G962" s="92" t="e">
        <f>SUM(J962:M962,R962:AA962)</f>
        <v>#N/A</v>
      </c>
      <c r="H962" s="19" t="e">
        <f>IF(ISBLANK(B962),0,+#REF!/B962)</f>
        <v>#REF!</v>
      </c>
      <c r="I962" s="19"/>
      <c r="J962" s="88">
        <f>IF(ISBLANK(B962),0,+J$909)</f>
        <v>130</v>
      </c>
      <c r="K962" s="42">
        <f>ROUND($B962*K$909,2)</f>
        <v>-0.04</v>
      </c>
      <c r="L962" s="16">
        <f>IF(ISBLANK($C962),0,IF($C962&lt;$C$910,ROUND($C$910*$L$909,2),IF($C962&gt;L$910,ROUND(L$910*L$909,2),ROUND($C962*L$909,2))))</f>
        <v>55900</v>
      </c>
      <c r="M962" s="17">
        <f>IF($C962&gt;L$910,ROUND(($C962-L$910)*M$909,2),0)</f>
        <v>0</v>
      </c>
      <c r="N962" s="17">
        <f>K962</f>
        <v>-0.04</v>
      </c>
      <c r="O962" s="42"/>
      <c r="P962" s="42"/>
      <c r="Q962" s="17">
        <f>SUM(L962:M962)</f>
        <v>55900</v>
      </c>
      <c r="R962" s="82" t="e">
        <f>ROUND(SUM(K962:M962)*(R961-1),2)</f>
        <v>#N/A</v>
      </c>
      <c r="S962" s="42">
        <f>ROUND($B962*S$909*S961,2)</f>
        <v>0</v>
      </c>
      <c r="T962" s="42">
        <f>ROUND($B962*T$909,2)</f>
        <v>0</v>
      </c>
      <c r="U962" s="42">
        <f>ROUND($B962*U$909,2)</f>
        <v>0</v>
      </c>
      <c r="V962" s="42">
        <f>ROUND($B962*V$902,2)</f>
        <v>0</v>
      </c>
      <c r="W962" s="42">
        <f>ROUND($B962*W$909,2)</f>
        <v>0</v>
      </c>
      <c r="X962" s="42">
        <f>ROUND($B962*X$909,2)</f>
        <v>-0.01</v>
      </c>
      <c r="Y962" s="42">
        <f>ROUND($B962*Y$909,2)</f>
        <v>0</v>
      </c>
      <c r="Z962" s="42">
        <f>ROUND($B962*Z$909,2)</f>
        <v>0</v>
      </c>
      <c r="AA962" s="42">
        <f>ROUND($B962*AA$909,2)</f>
        <v>0</v>
      </c>
      <c r="AB962" s="19">
        <f>SUM(U941:AA941)</f>
        <v>0</v>
      </c>
      <c r="AC962" s="94" t="str">
        <f>+F962</f>
        <v>HL10</v>
      </c>
    </row>
    <row r="963" spans="1:29" x14ac:dyDescent="0.2">
      <c r="A963" s="53"/>
      <c r="B963" s="97">
        <v>-1</v>
      </c>
      <c r="D963" s="41"/>
      <c r="E963" s="80"/>
      <c r="F963" s="36"/>
      <c r="G963" s="98"/>
      <c r="H963" s="19"/>
      <c r="I963" s="19"/>
      <c r="J963" s="88"/>
      <c r="K963" s="42"/>
      <c r="L963" s="82"/>
      <c r="M963" s="42"/>
      <c r="N963" s="42"/>
      <c r="O963" s="42"/>
      <c r="P963" s="42"/>
      <c r="Q963" s="42"/>
      <c r="R963" s="38" t="e">
        <f>VLOOKUP((D964),'Pwr Factor'!$A$1:$B$52,2)</f>
        <v>#N/A</v>
      </c>
      <c r="S963" s="50">
        <v>1</v>
      </c>
      <c r="T963" s="42"/>
      <c r="U963" s="42"/>
      <c r="V963" s="42"/>
      <c r="W963" s="42"/>
      <c r="X963" s="42"/>
      <c r="Y963" s="42"/>
      <c r="Z963" s="42"/>
      <c r="AA963" s="42"/>
      <c r="AB963" s="19"/>
      <c r="AC963" s="94"/>
    </row>
    <row r="964" spans="1:29" x14ac:dyDescent="0.2">
      <c r="A964" s="1" t="s">
        <v>138</v>
      </c>
      <c r="B964" s="103">
        <f>IF(AND('AES Indiana Bill Calc.'!$D$17="HL1",'AES Indiana Bill Calc.'!$D$18="Yes 100%",'AES Indiana Bill Calc.'!$D$20="Yes 2021"),'AES Indiana Bill Calc.'!$D$19,-1)</f>
        <v>-1</v>
      </c>
      <c r="C964" s="103">
        <f>MAX(E964,$C$905)</f>
        <v>2000</v>
      </c>
      <c r="D964" s="103" t="b">
        <f>IF(AND('AES Indiana Bill Calc.'!$D$17="HL1",'AES Indiana Bill Calc.'!$D$18="Yes 100%",'AES Indiana Bill Calc.'!$D$20="Yes 2021"),'AES Indiana Bill Calc.'!$D$22)</f>
        <v>0</v>
      </c>
      <c r="E964" s="103" t="b">
        <f>IF(AND('AES Indiana Bill Calc.'!$D$17="HL1",'AES Indiana Bill Calc.'!$D$18="Yes 100%",'AES Indiana Bill Calc.'!$D$20="Yes 2021"),'AES Indiana Bill Calc.'!$D$21)</f>
        <v>0</v>
      </c>
      <c r="F964" s="36" t="s">
        <v>228</v>
      </c>
      <c r="G964" s="92" t="e">
        <f>SUM(J964:M964,R964:AA964)</f>
        <v>#N/A</v>
      </c>
      <c r="H964" s="19" t="e">
        <f>IF(ISBLANK(B964),0,+#REF!/B964)</f>
        <v>#REF!</v>
      </c>
      <c r="I964" s="19"/>
      <c r="J964" s="88">
        <f>IF(ISBLANK(B964),0,+J$909)</f>
        <v>130</v>
      </c>
      <c r="K964" s="42">
        <f>ROUND($B964*K$909,2)</f>
        <v>-0.04</v>
      </c>
      <c r="L964" s="16">
        <f>IF(ISBLANK($C964),0,IF($C964&lt;$C$910,ROUND($C$910*$L$909,2),IF($C964&gt;L$910,ROUND(L$910*L$909,2),ROUND($C964*L$909,2))))</f>
        <v>55900</v>
      </c>
      <c r="M964" s="17">
        <f>IF($C964&gt;L$910,ROUND(($C964-L$910)*M$909,2),0)</f>
        <v>0</v>
      </c>
      <c r="N964" s="17">
        <f>K964</f>
        <v>-0.04</v>
      </c>
      <c r="O964" s="42"/>
      <c r="P964" s="42"/>
      <c r="Q964" s="17">
        <f>SUM(L964:M964)</f>
        <v>55900</v>
      </c>
      <c r="R964" s="82" t="e">
        <f>ROUND(SUM(K964:M964)*(R963-1),2)</f>
        <v>#N/A</v>
      </c>
      <c r="S964" s="42">
        <f>ROUND($B964*S$909*S963,2)</f>
        <v>0</v>
      </c>
      <c r="T964" s="42">
        <f>ROUND($B964*T$909,2)</f>
        <v>0</v>
      </c>
      <c r="U964" s="42">
        <f>ROUND($B964*U$909,2)</f>
        <v>0</v>
      </c>
      <c r="V964" s="42">
        <f>ROUND($B964*V$903,2)</f>
        <v>0</v>
      </c>
      <c r="W964" s="42">
        <f>ROUND($B964*W$909,2)</f>
        <v>0</v>
      </c>
      <c r="X964" s="42">
        <f>ROUND($B964*X$909,2)</f>
        <v>-0.01</v>
      </c>
      <c r="Y964" s="42">
        <f>ROUND($B964*Y$909,2)</f>
        <v>0</v>
      </c>
      <c r="Z964" s="42">
        <f>ROUND($B964*Z$909,2)</f>
        <v>0</v>
      </c>
      <c r="AA964" s="42">
        <f>ROUND($B964*AA$909,2)</f>
        <v>0</v>
      </c>
      <c r="AB964" s="19">
        <f>SUM(U943:AA943)</f>
        <v>0</v>
      </c>
      <c r="AC964" s="94" t="str">
        <f>+F964</f>
        <v>HL11</v>
      </c>
    </row>
    <row r="965" spans="1:29" x14ac:dyDescent="0.2">
      <c r="A965" s="9"/>
      <c r="B965" s="97">
        <v>-1</v>
      </c>
      <c r="D965" s="41"/>
      <c r="E965" s="80"/>
      <c r="F965" s="36"/>
      <c r="G965" s="98"/>
      <c r="H965" s="19"/>
      <c r="I965" s="19"/>
      <c r="J965" s="88"/>
      <c r="K965" s="42"/>
      <c r="L965" s="82"/>
      <c r="M965" s="42"/>
      <c r="N965" s="42"/>
      <c r="O965" s="42"/>
      <c r="P965" s="42"/>
      <c r="Q965" s="42"/>
      <c r="R965" s="38" t="e">
        <f>VLOOKUP((D966),'Pwr Factor'!$A$1:$B$52,2)</f>
        <v>#N/A</v>
      </c>
      <c r="S965" s="50">
        <v>0.5</v>
      </c>
      <c r="T965" s="42"/>
      <c r="U965" s="42"/>
      <c r="V965" s="42"/>
      <c r="W965" s="42"/>
      <c r="X965" s="42"/>
      <c r="Y965" s="42"/>
      <c r="Z965" s="42"/>
      <c r="AA965" s="42"/>
      <c r="AB965" s="19"/>
      <c r="AC965" s="94"/>
    </row>
    <row r="966" spans="1:29" x14ac:dyDescent="0.2">
      <c r="A966" s="1" t="s">
        <v>139</v>
      </c>
      <c r="B966" s="103">
        <f>IF(AND('AES Indiana Bill Calc.'!$D$17="HL1",'AES Indiana Bill Calc.'!$D$18="Yes 50%",'AES Indiana Bill Calc.'!$D$20="Yes 2021"),'AES Indiana Bill Calc.'!$D$19,-1)</f>
        <v>-1</v>
      </c>
      <c r="C966" s="103">
        <f>MAX(E966,$C$905)</f>
        <v>2000</v>
      </c>
      <c r="D966" s="103" t="b">
        <f>IF(AND('AES Indiana Bill Calc.'!$D$17="HL1",'AES Indiana Bill Calc.'!$D$18="Yes 50%",'AES Indiana Bill Calc.'!$D$20="Yes 2021"),'AES Indiana Bill Calc.'!$D$22)</f>
        <v>0</v>
      </c>
      <c r="E966" s="103" t="b">
        <f>IF(AND('AES Indiana Bill Calc.'!$D$17="HL1",'AES Indiana Bill Calc.'!$D$18="Yes 50%",'AES Indiana Bill Calc.'!$D$20="Yes 2021"),'AES Indiana Bill Calc.'!$D$21)</f>
        <v>0</v>
      </c>
      <c r="F966" s="36" t="s">
        <v>228</v>
      </c>
      <c r="G966" s="92" t="e">
        <f>SUM(J966:M966,R966:AA966)</f>
        <v>#N/A</v>
      </c>
      <c r="H966" s="19" t="e">
        <f>IF(ISBLANK(B966),0,+#REF!/B966)</f>
        <v>#REF!</v>
      </c>
      <c r="I966" s="19"/>
      <c r="J966" s="88">
        <f>IF(ISBLANK(B966),0,+J$909)</f>
        <v>130</v>
      </c>
      <c r="K966" s="42">
        <f>ROUND($B966*K$909,2)</f>
        <v>-0.04</v>
      </c>
      <c r="L966" s="16">
        <f>IF(ISBLANK($C966),0,IF($C966&lt;$C$910,ROUND($C$910*$L$909,2),IF($C966&gt;L$910,ROUND(L$910*L$909,2),ROUND($C966*L$909,2))))</f>
        <v>55900</v>
      </c>
      <c r="M966" s="17">
        <f>IF($C966&gt;L$910,ROUND(($C966-L$910)*M$909,2),0)</f>
        <v>0</v>
      </c>
      <c r="N966" s="17">
        <f>K966</f>
        <v>-0.04</v>
      </c>
      <c r="O966" s="42"/>
      <c r="P966" s="42"/>
      <c r="Q966" s="17">
        <f>SUM(L966:M966)</f>
        <v>55900</v>
      </c>
      <c r="R966" s="82" t="e">
        <f>ROUND(SUM(K966:M966)*(R965-1),2)</f>
        <v>#N/A</v>
      </c>
      <c r="S966" s="42">
        <f>ROUND($B966*S$909*S965,2)</f>
        <v>0</v>
      </c>
      <c r="T966" s="42">
        <f>ROUND($B966*T$909,2)</f>
        <v>0</v>
      </c>
      <c r="U966" s="42">
        <f>ROUND($B966*U$909,2)</f>
        <v>0</v>
      </c>
      <c r="V966" s="42">
        <f>ROUND($B966*V$903,2)</f>
        <v>0</v>
      </c>
      <c r="W966" s="42">
        <f>ROUND($B966*W$909,2)</f>
        <v>0</v>
      </c>
      <c r="X966" s="42">
        <f>ROUND($B966*X$909,2)</f>
        <v>-0.01</v>
      </c>
      <c r="Y966" s="42">
        <f>ROUND($B966*Y$909,2)</f>
        <v>0</v>
      </c>
      <c r="Z966" s="42">
        <f>ROUND($B966*Z$909,2)</f>
        <v>0</v>
      </c>
      <c r="AA966" s="42">
        <f>ROUND($B966*AA$909,2)</f>
        <v>0</v>
      </c>
      <c r="AB966" s="19">
        <f>SUM(U945:AA945)</f>
        <v>0</v>
      </c>
      <c r="AC966" s="94" t="str">
        <f>+F966</f>
        <v>HL11</v>
      </c>
    </row>
    <row r="967" spans="1:29" x14ac:dyDescent="0.2">
      <c r="A967" s="9"/>
      <c r="B967" s="97">
        <v>-1</v>
      </c>
      <c r="D967" s="41"/>
      <c r="E967" s="80"/>
      <c r="F967" s="36"/>
      <c r="G967" s="98"/>
      <c r="H967" s="19"/>
      <c r="I967" s="19"/>
      <c r="J967" s="88"/>
      <c r="K967" s="42"/>
      <c r="L967" s="82"/>
      <c r="M967" s="42"/>
      <c r="N967" s="42"/>
      <c r="O967" s="42"/>
      <c r="P967" s="42"/>
      <c r="Q967" s="42"/>
      <c r="R967" s="38" t="e">
        <f>VLOOKUP((D968),'Pwr Factor'!$A$1:$B$52,2)</f>
        <v>#N/A</v>
      </c>
      <c r="S967" s="50">
        <v>0.25</v>
      </c>
      <c r="T967" s="42"/>
      <c r="U967" s="42"/>
      <c r="V967" s="42"/>
      <c r="W967" s="42"/>
      <c r="X967" s="42"/>
      <c r="Y967" s="42"/>
      <c r="Z967" s="42"/>
      <c r="AA967" s="42"/>
      <c r="AB967" s="19"/>
      <c r="AC967" s="94"/>
    </row>
    <row r="968" spans="1:29" x14ac:dyDescent="0.2">
      <c r="A968" s="1" t="s">
        <v>140</v>
      </c>
      <c r="B968" s="103">
        <f>IF(AND('AES Indiana Bill Calc.'!$D$17="HL1",'AES Indiana Bill Calc.'!$D$18="Yes 25%",'AES Indiana Bill Calc.'!$D$20="Yes 2021"),'AES Indiana Bill Calc.'!$D$19,-1)</f>
        <v>-1</v>
      </c>
      <c r="C968" s="103">
        <f>MAX(E968,$C$905)</f>
        <v>2000</v>
      </c>
      <c r="D968" s="103" t="b">
        <f>IF(AND('AES Indiana Bill Calc.'!$D$17="HL1",'AES Indiana Bill Calc.'!$D$18="Yes 25%",'AES Indiana Bill Calc.'!$D$20="Yes 2021"),'AES Indiana Bill Calc.'!$D$22)</f>
        <v>0</v>
      </c>
      <c r="E968" s="103" t="b">
        <f>IF(AND('AES Indiana Bill Calc.'!$D$17="HL1",'AES Indiana Bill Calc.'!$D$18="Yes 25%",'AES Indiana Bill Calc.'!$D$20="Yes 2021"),'AES Indiana Bill Calc.'!$D$21)</f>
        <v>0</v>
      </c>
      <c r="F968" s="36" t="s">
        <v>228</v>
      </c>
      <c r="G968" s="92" t="e">
        <f>SUM(J968:M968,R968:AA968)</f>
        <v>#N/A</v>
      </c>
      <c r="H968" s="19" t="e">
        <f>IF(ISBLANK(B968),0,+#REF!/B968)</f>
        <v>#REF!</v>
      </c>
      <c r="I968" s="19"/>
      <c r="J968" s="88">
        <f>IF(ISBLANK(B968),0,+J$909)</f>
        <v>130</v>
      </c>
      <c r="K968" s="42">
        <f>ROUND($B968*K$909,2)</f>
        <v>-0.04</v>
      </c>
      <c r="L968" s="16">
        <f>IF(ISBLANK($C968),0,IF($C968&lt;$C$910,ROUND($C$910*$L$909,2),IF($C968&gt;L$910,ROUND(L$910*L$909,2),ROUND($C968*L$909,2))))</f>
        <v>55900</v>
      </c>
      <c r="M968" s="17">
        <f>IF($C968&gt;L$910,ROUND(($C968-L$910)*M$909,2),0)</f>
        <v>0</v>
      </c>
      <c r="N968" s="17">
        <f>K968</f>
        <v>-0.04</v>
      </c>
      <c r="O968" s="42"/>
      <c r="P968" s="42"/>
      <c r="Q968" s="17">
        <f>SUM(L968:M968)</f>
        <v>55900</v>
      </c>
      <c r="R968" s="82" t="e">
        <f>ROUND(SUM(K968:M968)*(R967-1),2)</f>
        <v>#N/A</v>
      </c>
      <c r="S968" s="42">
        <f>ROUND($B968*S$909*S967,2)</f>
        <v>0</v>
      </c>
      <c r="T968" s="42">
        <f>ROUND($B968*T$909,2)</f>
        <v>0</v>
      </c>
      <c r="U968" s="42">
        <f>ROUND($B968*U$909,2)</f>
        <v>0</v>
      </c>
      <c r="V968" s="42">
        <f>ROUND($B968*V$903,2)</f>
        <v>0</v>
      </c>
      <c r="W968" s="42">
        <f>ROUND($B968*W$909,2)</f>
        <v>0</v>
      </c>
      <c r="X968" s="42">
        <f>ROUND($B968*X$909,2)</f>
        <v>-0.01</v>
      </c>
      <c r="Y968" s="42">
        <f>ROUND($B968*Y$909,2)</f>
        <v>0</v>
      </c>
      <c r="Z968" s="42">
        <f>ROUND($B968*Z$909,2)</f>
        <v>0</v>
      </c>
      <c r="AA968" s="42">
        <f>ROUND($B968*AA$909,2)</f>
        <v>0</v>
      </c>
      <c r="AB968" s="19">
        <f>SUM(U947:AA947)</f>
        <v>0</v>
      </c>
      <c r="AC968" s="94" t="str">
        <f>+F968</f>
        <v>HL11</v>
      </c>
    </row>
    <row r="969" spans="1:29" x14ac:dyDescent="0.2">
      <c r="A969" s="9"/>
      <c r="B969" s="97">
        <v>-1</v>
      </c>
      <c r="D969" s="41"/>
      <c r="E969" s="80"/>
      <c r="F969" s="36"/>
      <c r="G969" s="98"/>
      <c r="H969" s="19"/>
      <c r="I969" s="19"/>
      <c r="J969" s="88"/>
      <c r="K969" s="42"/>
      <c r="L969" s="82"/>
      <c r="M969" s="42"/>
      <c r="N969" s="42"/>
      <c r="O969" s="42"/>
      <c r="P969" s="42"/>
      <c r="Q969" s="42"/>
      <c r="R969" s="38" t="e">
        <f>VLOOKUP((D970),'Pwr Factor'!$A$1:$B$52,2)</f>
        <v>#N/A</v>
      </c>
      <c r="S969" s="50">
        <v>0.1</v>
      </c>
      <c r="T969" s="42"/>
      <c r="U969" s="42"/>
      <c r="V969" s="42"/>
      <c r="W969" s="42"/>
      <c r="X969" s="42"/>
      <c r="Y969" s="42"/>
      <c r="Z969" s="42"/>
      <c r="AA969" s="42"/>
      <c r="AB969" s="19"/>
      <c r="AC969" s="94"/>
    </row>
    <row r="970" spans="1:29" x14ac:dyDescent="0.2">
      <c r="A970" s="1" t="s">
        <v>154</v>
      </c>
      <c r="B970" s="103">
        <f>IF(AND('AES Indiana Bill Calc.'!$D$17="HL1",'AES Indiana Bill Calc.'!$D$18="Yes 10%",'AES Indiana Bill Calc.'!$D$20="Yes 2021"),'AES Indiana Bill Calc.'!$D$19,-1)</f>
        <v>-1</v>
      </c>
      <c r="C970" s="103">
        <f>MAX(E970,$C$905)</f>
        <v>2000</v>
      </c>
      <c r="D970" s="103" t="b">
        <f>IF(AND('AES Indiana Bill Calc.'!$D$17="HL1",'AES Indiana Bill Calc.'!$D$18="Yes 10%",'AES Indiana Bill Calc.'!$D$20="Yes 2021"),'AES Indiana Bill Calc.'!$D$22)</f>
        <v>0</v>
      </c>
      <c r="E970" s="103" t="b">
        <f>IF(AND('AES Indiana Bill Calc.'!$D$17="HL1",'AES Indiana Bill Calc.'!$D$18="Yes 10%",'AES Indiana Bill Calc.'!$D$20="Yes 2021"),'AES Indiana Bill Calc.'!$D$21)</f>
        <v>0</v>
      </c>
      <c r="F970" s="36" t="s">
        <v>228</v>
      </c>
      <c r="G970" s="92" t="e">
        <f>SUM(J970:M970,R970:AA970)</f>
        <v>#N/A</v>
      </c>
      <c r="H970" s="19" t="e">
        <f>IF(ISBLANK(B970),0,+#REF!/B970)</f>
        <v>#REF!</v>
      </c>
      <c r="I970" s="19"/>
      <c r="J970" s="88">
        <f>IF(ISBLANK(B970),0,+J$909)</f>
        <v>130</v>
      </c>
      <c r="K970" s="42">
        <f>ROUND($B970*K$909,2)</f>
        <v>-0.04</v>
      </c>
      <c r="L970" s="16">
        <f>IF(ISBLANK($C970),0,IF($C970&lt;$C$910,ROUND($C$910*$L$909,2),IF($C970&gt;L$910,ROUND(L$910*L$909,2),ROUND($C970*L$909,2))))</f>
        <v>55900</v>
      </c>
      <c r="M970" s="17">
        <f>IF($C970&gt;L$910,ROUND(($C970-L$910)*M$909,2),0)</f>
        <v>0</v>
      </c>
      <c r="N970" s="17">
        <f>K970</f>
        <v>-0.04</v>
      </c>
      <c r="O970" s="42"/>
      <c r="P970" s="42"/>
      <c r="Q970" s="17">
        <f>SUM(L970:M970)</f>
        <v>55900</v>
      </c>
      <c r="R970" s="82" t="e">
        <f>ROUND(SUM(K970:M970)*(R969-1),2)</f>
        <v>#N/A</v>
      </c>
      <c r="S970" s="42">
        <f>ROUND($B970*S$909*S969,2)</f>
        <v>0</v>
      </c>
      <c r="T970" s="42">
        <f>ROUND($B970*T$909,2)</f>
        <v>0</v>
      </c>
      <c r="U970" s="42">
        <f>ROUND($B970*U$909,2)</f>
        <v>0</v>
      </c>
      <c r="V970" s="42">
        <f>ROUND($B970*V$903,2)</f>
        <v>0</v>
      </c>
      <c r="W970" s="42">
        <f>ROUND($B970*W$909,2)</f>
        <v>0</v>
      </c>
      <c r="X970" s="42">
        <f>ROUND($B970*X$909,2)</f>
        <v>-0.01</v>
      </c>
      <c r="Y970" s="42">
        <f>ROUND($B970*Y$909,2)</f>
        <v>0</v>
      </c>
      <c r="Z970" s="42">
        <f>ROUND($B970*Z$909,2)</f>
        <v>0</v>
      </c>
      <c r="AA970" s="42">
        <f>ROUND($B970*AA$909,2)</f>
        <v>0</v>
      </c>
      <c r="AB970" s="19">
        <f>SUM(U949:AA949)</f>
        <v>0</v>
      </c>
      <c r="AC970" s="94" t="str">
        <f>+F970</f>
        <v>HL11</v>
      </c>
    </row>
    <row r="971" spans="1:29" x14ac:dyDescent="0.2">
      <c r="A971" s="9"/>
      <c r="B971" s="97">
        <v>-1</v>
      </c>
      <c r="D971" s="41"/>
      <c r="E971" s="80"/>
      <c r="F971" s="36"/>
      <c r="G971" s="98"/>
      <c r="H971" s="19"/>
      <c r="I971" s="19"/>
      <c r="J971" s="88"/>
      <c r="K971" s="42"/>
      <c r="L971" s="82"/>
      <c r="M971" s="42"/>
      <c r="N971" s="42"/>
      <c r="O971" s="42"/>
      <c r="P971" s="42"/>
      <c r="Q971" s="42"/>
      <c r="R971" s="38" t="e">
        <f>VLOOKUP((D972),'Pwr Factor'!$A$1:$B$52,2)</f>
        <v>#N/A</v>
      </c>
      <c r="S971" s="50">
        <v>0</v>
      </c>
      <c r="T971" s="42"/>
      <c r="U971" s="42"/>
      <c r="V971" s="42"/>
      <c r="W971" s="42"/>
      <c r="X971" s="42"/>
      <c r="Y971" s="42"/>
      <c r="Z971" s="42"/>
      <c r="AA971" s="42"/>
      <c r="AB971" s="19"/>
      <c r="AC971" s="94"/>
    </row>
    <row r="972" spans="1:29" x14ac:dyDescent="0.2">
      <c r="A972" s="1" t="s">
        <v>137</v>
      </c>
      <c r="B972" s="103">
        <f>IF(AND('AES Indiana Bill Calc.'!$D$17="HL1",'AES Indiana Bill Calc.'!$D$18="No",'AES Indiana Bill Calc.'!$D$20="Yes 2021"),'AES Indiana Bill Calc.'!$D$19,-1)</f>
        <v>-1</v>
      </c>
      <c r="C972" s="103">
        <f>MAX(E972,$C$905)</f>
        <v>2000</v>
      </c>
      <c r="D972" s="103" t="b">
        <f>IF(AND('AES Indiana Bill Calc.'!$D$17="HL1",'AES Indiana Bill Calc.'!$D$18="No",'AES Indiana Bill Calc.'!$D$20="Yes 2021"),'AES Indiana Bill Calc.'!$D$22)</f>
        <v>0</v>
      </c>
      <c r="E972" s="103" t="b">
        <f>IF(AND('AES Indiana Bill Calc.'!$D$17="HL1",'AES Indiana Bill Calc.'!$D$18="No",'AES Indiana Bill Calc.'!$D$20="Yes 2021"),'AES Indiana Bill Calc.'!$D$21)</f>
        <v>0</v>
      </c>
      <c r="F972" s="36" t="s">
        <v>228</v>
      </c>
      <c r="G972" s="92" t="e">
        <f>SUM(J972:M972,R972:AA972)</f>
        <v>#N/A</v>
      </c>
      <c r="H972" s="19" t="e">
        <f>IF(ISBLANK(B972),0,+#REF!/B972)</f>
        <v>#REF!</v>
      </c>
      <c r="I972" s="19"/>
      <c r="J972" s="88">
        <f>IF(ISBLANK(B972),0,+J$909)</f>
        <v>130</v>
      </c>
      <c r="K972" s="42">
        <f>ROUND($B972*K$909,2)</f>
        <v>-0.04</v>
      </c>
      <c r="L972" s="16">
        <f>IF(ISBLANK($C972),0,IF($C972&lt;$C$910,ROUND($C$910*$L$909,2),IF($C972&gt;L$910,ROUND(L$910*L$909,2),ROUND($C972*L$909,2))))</f>
        <v>55900</v>
      </c>
      <c r="M972" s="17">
        <f>IF($C972&gt;L$910,ROUND(($C972-L$910)*M$909,2),0)</f>
        <v>0</v>
      </c>
      <c r="N972" s="17">
        <f>K972</f>
        <v>-0.04</v>
      </c>
      <c r="O972" s="42"/>
      <c r="P972" s="42"/>
      <c r="Q972" s="17">
        <f>SUM(L972:M972)</f>
        <v>55900</v>
      </c>
      <c r="R972" s="82" t="e">
        <f>ROUND(SUM(K972:M972)*(R971-1),2)</f>
        <v>#N/A</v>
      </c>
      <c r="S972" s="42">
        <f>ROUND($B972*S$909*S971,2)</f>
        <v>0</v>
      </c>
      <c r="T972" s="42">
        <f>ROUND($B972*T$909,2)</f>
        <v>0</v>
      </c>
      <c r="U972" s="42">
        <f>ROUND($B972*U$909,2)</f>
        <v>0</v>
      </c>
      <c r="V972" s="42">
        <f>ROUND($B972*V$903,2)</f>
        <v>0</v>
      </c>
      <c r="W972" s="42">
        <f>ROUND($B972*W$909,2)</f>
        <v>0</v>
      </c>
      <c r="X972" s="42">
        <f>ROUND($B972*X$909,2)</f>
        <v>-0.01</v>
      </c>
      <c r="Y972" s="42">
        <f>ROUND($B972*Y$909,2)</f>
        <v>0</v>
      </c>
      <c r="Z972" s="42">
        <f>ROUND($B972*Z$909,2)</f>
        <v>0</v>
      </c>
      <c r="AA972" s="42">
        <f>ROUND($B972*AA$909,2)</f>
        <v>0</v>
      </c>
      <c r="AB972" s="19">
        <f>SUM(U951:AA951)</f>
        <v>0</v>
      </c>
      <c r="AC972" s="94" t="str">
        <f>+F972</f>
        <v>HL11</v>
      </c>
    </row>
    <row r="973" spans="1:29" x14ac:dyDescent="0.2">
      <c r="A973" s="53"/>
      <c r="B973" s="97">
        <v>-1</v>
      </c>
      <c r="D973" s="41"/>
      <c r="E973" s="80"/>
      <c r="F973" s="36"/>
      <c r="G973" s="98"/>
      <c r="H973" s="19"/>
      <c r="I973" s="19"/>
      <c r="J973" s="88"/>
      <c r="K973" s="42"/>
      <c r="L973" s="82"/>
      <c r="M973" s="42"/>
      <c r="N973" s="42"/>
      <c r="O973" s="42"/>
      <c r="P973" s="42"/>
      <c r="Q973" s="42"/>
      <c r="R973" s="38" t="e">
        <f>VLOOKUP((D974),'Pwr Factor'!$A$1:$B$52,2)</f>
        <v>#N/A</v>
      </c>
      <c r="S973" s="50">
        <v>1</v>
      </c>
      <c r="T973" s="42"/>
      <c r="U973" s="42"/>
      <c r="V973" s="42"/>
      <c r="W973" s="42"/>
      <c r="X973" s="42"/>
      <c r="Y973" s="42"/>
      <c r="Z973" s="42"/>
      <c r="AA973" s="42"/>
      <c r="AB973" s="19"/>
      <c r="AC973" s="94"/>
    </row>
    <row r="974" spans="1:29" x14ac:dyDescent="0.2">
      <c r="A974" s="1" t="s">
        <v>138</v>
      </c>
      <c r="B974" s="103">
        <f>IF(AND('AES Indiana Bill Calc.'!$D$17="HL1",'AES Indiana Bill Calc.'!$D$18="Yes 100%",'AES Indiana Bill Calc.'!$D$20="Yes 2022"),'AES Indiana Bill Calc.'!$D$19,-1)</f>
        <v>-1</v>
      </c>
      <c r="C974" s="103">
        <f>MAX(E974,$C$905)</f>
        <v>2000</v>
      </c>
      <c r="D974" s="103" t="b">
        <f>IF(AND('AES Indiana Bill Calc.'!$D$17="HL1",'AES Indiana Bill Calc.'!$D$18="Yes 100%",'AES Indiana Bill Calc.'!$D$20="Yes 2022"),'AES Indiana Bill Calc.'!$D$22)</f>
        <v>0</v>
      </c>
      <c r="E974" s="103" t="b">
        <f>IF(AND('AES Indiana Bill Calc.'!$D$17="HL1",'AES Indiana Bill Calc.'!$D$18="Yes 100%",'AES Indiana Bill Calc.'!$D$20="Yes 2022"),'AES Indiana Bill Calc.'!$D$21)</f>
        <v>0</v>
      </c>
      <c r="F974" s="36" t="s">
        <v>229</v>
      </c>
      <c r="G974" s="98" t="e">
        <v>#N/A</v>
      </c>
      <c r="H974" s="19" t="e">
        <f>IF(ISBLANK(B974),0,+#REF!/B974)</f>
        <v>#REF!</v>
      </c>
      <c r="I974" s="19"/>
      <c r="J974" s="88">
        <f>IF(ISBLANK(B974),0,+J$909)</f>
        <v>130</v>
      </c>
      <c r="K974" s="42">
        <f>ROUND($B974*K$909,2)</f>
        <v>-0.04</v>
      </c>
      <c r="L974" s="16">
        <f>IF(ISBLANK($C974),0,IF($C974&lt;$C$910,ROUND($C$910*$L$909,2),IF($C974&gt;L$910,ROUND(L$910*L$909,2),ROUND($C974*L$909,2))))</f>
        <v>55900</v>
      </c>
      <c r="M974" s="17">
        <f>IF($C974&gt;L$910,ROUND(($C974-L$910)*M$909,2),0)</f>
        <v>0</v>
      </c>
      <c r="N974" s="17">
        <f>K974</f>
        <v>-0.04</v>
      </c>
      <c r="O974" s="42"/>
      <c r="P974" s="42"/>
      <c r="Q974" s="17">
        <f>SUM(L974:M974)</f>
        <v>55900</v>
      </c>
      <c r="R974" s="82" t="e">
        <f>ROUND(SUM(K974:M974)*(R973-1),2)</f>
        <v>#N/A</v>
      </c>
      <c r="S974" s="42">
        <f>ROUND($B974*S$909*S973,2)</f>
        <v>0</v>
      </c>
      <c r="T974" s="42">
        <f>ROUND($B974*T$909,2)</f>
        <v>0</v>
      </c>
      <c r="U974" s="42">
        <f>ROUND($B974*U$909,2)</f>
        <v>0</v>
      </c>
      <c r="V974" s="42">
        <f>ROUND($B974*V$904,2)</f>
        <v>0</v>
      </c>
      <c r="W974" s="42">
        <f>ROUND($B974*W$909,2)</f>
        <v>0</v>
      </c>
      <c r="X974" s="42">
        <f>ROUND($B974*X$909,2)</f>
        <v>-0.01</v>
      </c>
      <c r="Y974" s="42">
        <f>ROUND($B974*Y$909,2)</f>
        <v>0</v>
      </c>
      <c r="Z974" s="42">
        <f>ROUND($B974*Z$909,2)</f>
        <v>0</v>
      </c>
      <c r="AA974" s="42">
        <f>ROUND($B974*AA$909,2)</f>
        <v>0</v>
      </c>
      <c r="AB974" s="19">
        <f>SUM(U953:AA953)</f>
        <v>0</v>
      </c>
      <c r="AC974" s="94" t="str">
        <f>+F974</f>
        <v>HL12</v>
      </c>
    </row>
    <row r="975" spans="1:29" x14ac:dyDescent="0.2">
      <c r="A975" s="9"/>
      <c r="B975" s="97">
        <v>-1</v>
      </c>
      <c r="D975" s="41"/>
      <c r="E975" s="80"/>
      <c r="F975" s="36"/>
      <c r="G975" s="98"/>
      <c r="H975" s="19"/>
      <c r="I975" s="19"/>
      <c r="J975" s="88"/>
      <c r="K975" s="42"/>
      <c r="L975" s="82"/>
      <c r="M975" s="42"/>
      <c r="N975" s="42"/>
      <c r="O975" s="42"/>
      <c r="P975" s="42"/>
      <c r="Q975" s="42"/>
      <c r="R975" s="38" t="e">
        <f>VLOOKUP((D976),'Pwr Factor'!$A$1:$B$52,2)</f>
        <v>#N/A</v>
      </c>
      <c r="S975" s="50">
        <v>0.5</v>
      </c>
      <c r="T975" s="42"/>
      <c r="U975" s="42"/>
      <c r="V975" s="42"/>
      <c r="W975" s="42"/>
      <c r="X975" s="42"/>
      <c r="Y975" s="42"/>
      <c r="Z975" s="42"/>
      <c r="AA975" s="42"/>
      <c r="AB975" s="19"/>
      <c r="AC975" s="94"/>
    </row>
    <row r="976" spans="1:29" x14ac:dyDescent="0.2">
      <c r="A976" s="1" t="s">
        <v>139</v>
      </c>
      <c r="B976" s="103">
        <f>IF(AND('AES Indiana Bill Calc.'!$D$17="HL1",'AES Indiana Bill Calc.'!$D$18="Yes 50%",'AES Indiana Bill Calc.'!$D$20="Yes 2022"),'AES Indiana Bill Calc.'!$D$19,-1)</f>
        <v>-1</v>
      </c>
      <c r="C976" s="103">
        <f>MAX(E976,$C$905)</f>
        <v>2000</v>
      </c>
      <c r="D976" s="103" t="b">
        <f>IF(AND('AES Indiana Bill Calc.'!$D$17="HL1",'AES Indiana Bill Calc.'!$D$18="Yes 50%",'AES Indiana Bill Calc.'!$D$20="Yes 2022"),'AES Indiana Bill Calc.'!$D$22)</f>
        <v>0</v>
      </c>
      <c r="E976" s="103" t="b">
        <f>IF(AND('AES Indiana Bill Calc.'!$D$17="HL1",'AES Indiana Bill Calc.'!$D$18="Yes 50%",'AES Indiana Bill Calc.'!$D$20="Yes 2022"),'AES Indiana Bill Calc.'!$D$21)</f>
        <v>0</v>
      </c>
      <c r="F976" s="36" t="s">
        <v>229</v>
      </c>
      <c r="G976" s="92" t="e">
        <f>SUM(J976:M976,R976:AA976)</f>
        <v>#N/A</v>
      </c>
      <c r="H976" s="19" t="e">
        <f>IF(ISBLANK(B976),0,+#REF!/B976)</f>
        <v>#REF!</v>
      </c>
      <c r="I976" s="19"/>
      <c r="J976" s="88">
        <f>IF(ISBLANK(B976),0,+J$909)</f>
        <v>130</v>
      </c>
      <c r="K976" s="42">
        <f>ROUND($B976*K$909,2)</f>
        <v>-0.04</v>
      </c>
      <c r="L976" s="16">
        <f>IF(ISBLANK($C976),0,IF($C976&lt;$C$910,ROUND($C$910*$L$909,2),IF($C976&gt;L$910,ROUND(L$910*L$909,2),ROUND($C976*L$909,2))))</f>
        <v>55900</v>
      </c>
      <c r="M976" s="17">
        <f>IF($C976&gt;L$910,ROUND(($C976-L$910)*M$909,2),0)</f>
        <v>0</v>
      </c>
      <c r="N976" s="17">
        <f>K976</f>
        <v>-0.04</v>
      </c>
      <c r="O976" s="42"/>
      <c r="P976" s="42"/>
      <c r="Q976" s="17">
        <f>SUM(L976:M976)</f>
        <v>55900</v>
      </c>
      <c r="R976" s="82" t="e">
        <f>ROUND(SUM(K976:M976)*(R975-1),2)</f>
        <v>#N/A</v>
      </c>
      <c r="S976" s="42">
        <f>ROUND($B976*S$909*S975,2)</f>
        <v>0</v>
      </c>
      <c r="T976" s="42">
        <f>ROUND($B976*T$909,2)</f>
        <v>0</v>
      </c>
      <c r="U976" s="42">
        <f>ROUND($B976*U$909,2)</f>
        <v>0</v>
      </c>
      <c r="V976" s="42">
        <f>ROUND($B976*V$904,2)</f>
        <v>0</v>
      </c>
      <c r="W976" s="42">
        <f>ROUND($B976*W$909,2)</f>
        <v>0</v>
      </c>
      <c r="X976" s="42">
        <f>ROUND($B976*X$909,2)</f>
        <v>-0.01</v>
      </c>
      <c r="Y976" s="42">
        <f>ROUND($B976*Y$909,2)</f>
        <v>0</v>
      </c>
      <c r="Z976" s="42">
        <f>ROUND($B976*Z$909,2)</f>
        <v>0</v>
      </c>
      <c r="AA976" s="42">
        <f>ROUND($B976*AA$909,2)</f>
        <v>0</v>
      </c>
      <c r="AB976" s="19">
        <f>SUM(U955:AA955)</f>
        <v>0</v>
      </c>
      <c r="AC976" s="94" t="str">
        <f>+F976</f>
        <v>HL12</v>
      </c>
    </row>
    <row r="977" spans="1:29" x14ac:dyDescent="0.2">
      <c r="A977" s="9"/>
      <c r="B977" s="97">
        <v>-1</v>
      </c>
      <c r="D977" s="41"/>
      <c r="E977" s="80"/>
      <c r="F977" s="36"/>
      <c r="G977" s="98"/>
      <c r="H977" s="19"/>
      <c r="I977" s="19"/>
      <c r="J977" s="88"/>
      <c r="K977" s="42"/>
      <c r="L977" s="82"/>
      <c r="M977" s="42"/>
      <c r="N977" s="42"/>
      <c r="O977" s="42"/>
      <c r="P977" s="42"/>
      <c r="Q977" s="42"/>
      <c r="R977" s="38" t="e">
        <f>VLOOKUP((D978),'Pwr Factor'!$A$1:$B$52,2)</f>
        <v>#N/A</v>
      </c>
      <c r="S977" s="50">
        <v>0.25</v>
      </c>
      <c r="T977" s="42"/>
      <c r="U977" s="42"/>
      <c r="V977" s="42"/>
      <c r="W977" s="42"/>
      <c r="X977" s="42"/>
      <c r="Y977" s="42"/>
      <c r="Z977" s="42"/>
      <c r="AA977" s="42"/>
      <c r="AB977" s="19"/>
      <c r="AC977" s="94"/>
    </row>
    <row r="978" spans="1:29" x14ac:dyDescent="0.2">
      <c r="A978" s="1" t="s">
        <v>140</v>
      </c>
      <c r="B978" s="103">
        <f>IF(AND('AES Indiana Bill Calc.'!$D$17="HL1",'AES Indiana Bill Calc.'!$D$18="Yes 25%",'AES Indiana Bill Calc.'!$D$20="Yes 2022"),'AES Indiana Bill Calc.'!$D$19,-1)</f>
        <v>-1</v>
      </c>
      <c r="C978" s="103">
        <f>MAX(E978,$C$905)</f>
        <v>2000</v>
      </c>
      <c r="D978" s="103" t="b">
        <f>IF(AND('AES Indiana Bill Calc.'!$D$17="HL1",'AES Indiana Bill Calc.'!$D$18="Yes 25%",'AES Indiana Bill Calc.'!$D$20="Yes 2022"),'AES Indiana Bill Calc.'!$D$22)</f>
        <v>0</v>
      </c>
      <c r="E978" s="103" t="b">
        <f>IF(AND('AES Indiana Bill Calc.'!$D$17="HL1",'AES Indiana Bill Calc.'!$D$18="Yes 25%",'AES Indiana Bill Calc.'!$D$20="Yes 2022"),'AES Indiana Bill Calc.'!$D$21)</f>
        <v>0</v>
      </c>
      <c r="F978" s="36" t="s">
        <v>229</v>
      </c>
      <c r="G978" s="92" t="e">
        <f>SUM(J978:M978,R978:AA978)</f>
        <v>#N/A</v>
      </c>
      <c r="H978" s="19" t="e">
        <f>IF(ISBLANK(B978),0,+#REF!/B978)</f>
        <v>#REF!</v>
      </c>
      <c r="I978" s="19"/>
      <c r="J978" s="88">
        <f>IF(ISBLANK(B978),0,+J$909)</f>
        <v>130</v>
      </c>
      <c r="K978" s="42">
        <f>ROUND($B978*K$909,2)</f>
        <v>-0.04</v>
      </c>
      <c r="L978" s="16">
        <f>IF(ISBLANK($C978),0,IF($C978&lt;$C$910,ROUND($C$910*$L$909,2),IF($C978&gt;L$910,ROUND(L$910*L$909,2),ROUND($C978*L$909,2))))</f>
        <v>55900</v>
      </c>
      <c r="M978" s="17">
        <f>IF($C978&gt;L$910,ROUND(($C978-L$910)*M$909,2),0)</f>
        <v>0</v>
      </c>
      <c r="N978" s="17">
        <f>K978</f>
        <v>-0.04</v>
      </c>
      <c r="O978" s="42"/>
      <c r="P978" s="42"/>
      <c r="Q978" s="17">
        <f>SUM(L978:M978)</f>
        <v>55900</v>
      </c>
      <c r="R978" s="82" t="e">
        <f>ROUND(SUM(K978:M978)*(R977-1),2)</f>
        <v>#N/A</v>
      </c>
      <c r="S978" s="42">
        <f>ROUND($B978*S$909*S977,2)</f>
        <v>0</v>
      </c>
      <c r="T978" s="42">
        <f>ROUND($B978*T$909,2)</f>
        <v>0</v>
      </c>
      <c r="U978" s="42">
        <f>ROUND($B978*U$909,2)</f>
        <v>0</v>
      </c>
      <c r="V978" s="42">
        <f>ROUND($B978*V$904,2)</f>
        <v>0</v>
      </c>
      <c r="W978" s="42">
        <f>ROUND($B978*W$909,2)</f>
        <v>0</v>
      </c>
      <c r="X978" s="42">
        <f>ROUND($B978*X$909,2)</f>
        <v>-0.01</v>
      </c>
      <c r="Y978" s="42">
        <f>ROUND($B978*Y$909,2)</f>
        <v>0</v>
      </c>
      <c r="Z978" s="42">
        <f>ROUND($B978*Z$909,2)</f>
        <v>0</v>
      </c>
      <c r="AA978" s="42">
        <f>ROUND($B978*AA$909,2)</f>
        <v>0</v>
      </c>
      <c r="AB978" s="19">
        <f>SUM(U957:AA957)</f>
        <v>0</v>
      </c>
      <c r="AC978" s="94" t="str">
        <f>+F978</f>
        <v>HL12</v>
      </c>
    </row>
    <row r="979" spans="1:29" x14ac:dyDescent="0.2">
      <c r="A979" s="9"/>
      <c r="B979" s="97">
        <v>-1</v>
      </c>
      <c r="D979" s="41"/>
      <c r="E979" s="80"/>
      <c r="F979" s="36"/>
      <c r="G979" s="98"/>
      <c r="H979" s="19"/>
      <c r="I979" s="19"/>
      <c r="J979" s="88"/>
      <c r="K979" s="42"/>
      <c r="L979" s="82"/>
      <c r="M979" s="42"/>
      <c r="N979" s="42"/>
      <c r="O979" s="42"/>
      <c r="P979" s="42"/>
      <c r="Q979" s="42"/>
      <c r="R979" s="38" t="e">
        <f>VLOOKUP((D980),'Pwr Factor'!$A$1:$B$52,2)</f>
        <v>#N/A</v>
      </c>
      <c r="S979" s="50">
        <v>0.1</v>
      </c>
      <c r="T979" s="42"/>
      <c r="U979" s="42"/>
      <c r="V979" s="42"/>
      <c r="W979" s="42"/>
      <c r="X979" s="42"/>
      <c r="Y979" s="42"/>
      <c r="Z979" s="42"/>
      <c r="AA979" s="42"/>
      <c r="AB979" s="19"/>
      <c r="AC979" s="94"/>
    </row>
    <row r="980" spans="1:29" x14ac:dyDescent="0.2">
      <c r="A980" s="1" t="s">
        <v>154</v>
      </c>
      <c r="B980" s="103">
        <f>IF(AND('AES Indiana Bill Calc.'!$D$17="HL1",'AES Indiana Bill Calc.'!$D$18="Yes 10%",'AES Indiana Bill Calc.'!$D$20="Yes 2022"),'AES Indiana Bill Calc.'!$D$19,-1)</f>
        <v>-1</v>
      </c>
      <c r="C980" s="103">
        <f>MAX(E980,$C$905)</f>
        <v>2000</v>
      </c>
      <c r="D980" s="103" t="b">
        <f>IF(AND('AES Indiana Bill Calc.'!$D$17="HL1",'AES Indiana Bill Calc.'!$D$18="Yes 10%",'AES Indiana Bill Calc.'!$D$20="Yes 2022"),'AES Indiana Bill Calc.'!$D$22)</f>
        <v>0</v>
      </c>
      <c r="E980" s="103" t="b">
        <f>IF(AND('AES Indiana Bill Calc.'!$D$17="HL1",'AES Indiana Bill Calc.'!$D$18="Yes 10%",'AES Indiana Bill Calc.'!$D$20="Yes 2022"),'AES Indiana Bill Calc.'!$D$21)</f>
        <v>0</v>
      </c>
      <c r="F980" s="36" t="s">
        <v>229</v>
      </c>
      <c r="G980" s="92" t="e">
        <f>SUM(J980:M980,R980:AA980)</f>
        <v>#N/A</v>
      </c>
      <c r="H980" s="19" t="e">
        <f>IF(ISBLANK(B980),0,+#REF!/B980)</f>
        <v>#REF!</v>
      </c>
      <c r="I980" s="19"/>
      <c r="J980" s="88">
        <f>IF(ISBLANK(B980),0,+J$909)</f>
        <v>130</v>
      </c>
      <c r="K980" s="42">
        <f>ROUND($B980*K$909,2)</f>
        <v>-0.04</v>
      </c>
      <c r="L980" s="16">
        <f>IF(ISBLANK($C980),0,IF($C980&lt;$C$910,ROUND($C$910*$L$909,2),IF($C980&gt;L$910,ROUND(L$910*L$909,2),ROUND($C980*L$909,2))))</f>
        <v>55900</v>
      </c>
      <c r="M980" s="17">
        <f>IF($C980&gt;L$910,ROUND(($C980-L$910)*M$909,2),0)</f>
        <v>0</v>
      </c>
      <c r="N980" s="17">
        <f>K980</f>
        <v>-0.04</v>
      </c>
      <c r="O980" s="42"/>
      <c r="P980" s="42"/>
      <c r="Q980" s="17">
        <f>SUM(L980:M980)</f>
        <v>55900</v>
      </c>
      <c r="R980" s="82" t="e">
        <f>ROUND(SUM(K980:M980)*(R979-1),2)</f>
        <v>#N/A</v>
      </c>
      <c r="S980" s="42">
        <f>ROUND($B980*S$909*S979,2)</f>
        <v>0</v>
      </c>
      <c r="T980" s="42">
        <f>ROUND($B980*T$909,2)</f>
        <v>0</v>
      </c>
      <c r="U980" s="42">
        <f>ROUND($B980*U$909,2)</f>
        <v>0</v>
      </c>
      <c r="V980" s="42">
        <f>ROUND($B980*V$904,2)</f>
        <v>0</v>
      </c>
      <c r="W980" s="42">
        <f>ROUND($B980*W$909,2)</f>
        <v>0</v>
      </c>
      <c r="X980" s="42">
        <f>ROUND($B980*X$909,2)</f>
        <v>-0.01</v>
      </c>
      <c r="Y980" s="42">
        <f>ROUND($B980*Y$909,2)</f>
        <v>0</v>
      </c>
      <c r="Z980" s="42">
        <f>ROUND($B980*Z$909,2)</f>
        <v>0</v>
      </c>
      <c r="AA980" s="42">
        <f>ROUND($B980*AA$909,2)</f>
        <v>0</v>
      </c>
      <c r="AB980" s="19">
        <f>SUM(U959:AA959)</f>
        <v>0</v>
      </c>
      <c r="AC980" s="94" t="str">
        <f>+F980</f>
        <v>HL12</v>
      </c>
    </row>
    <row r="981" spans="1:29" x14ac:dyDescent="0.2">
      <c r="A981" s="9"/>
      <c r="B981" s="97">
        <v>-1</v>
      </c>
      <c r="D981" s="41"/>
      <c r="E981" s="80"/>
      <c r="F981" s="36"/>
      <c r="G981" s="98"/>
      <c r="H981" s="19"/>
      <c r="I981" s="19"/>
      <c r="J981" s="88"/>
      <c r="K981" s="42"/>
      <c r="L981" s="82"/>
      <c r="M981" s="42"/>
      <c r="N981" s="42"/>
      <c r="O981" s="42"/>
      <c r="P981" s="42"/>
      <c r="Q981" s="42"/>
      <c r="R981" s="38" t="e">
        <f>VLOOKUP((D982),'Pwr Factor'!$A$1:$B$52,2)</f>
        <v>#N/A</v>
      </c>
      <c r="S981" s="50">
        <v>0</v>
      </c>
      <c r="T981" s="42"/>
      <c r="U981" s="42"/>
      <c r="V981" s="42"/>
      <c r="W981" s="42"/>
      <c r="X981" s="42"/>
      <c r="Y981" s="42"/>
      <c r="Z981" s="42"/>
      <c r="AA981" s="42"/>
      <c r="AB981" s="19"/>
      <c r="AC981" s="94"/>
    </row>
    <row r="982" spans="1:29" x14ac:dyDescent="0.2">
      <c r="A982" s="1" t="s">
        <v>137</v>
      </c>
      <c r="B982" s="103">
        <f>IF(AND('AES Indiana Bill Calc.'!$D$17="HL1",'AES Indiana Bill Calc.'!$D$18="No",'AES Indiana Bill Calc.'!$D$20="Yes 2022"),'AES Indiana Bill Calc.'!$D$19,-1)</f>
        <v>-1</v>
      </c>
      <c r="C982" s="103">
        <f>MAX(E982,$C$905)</f>
        <v>2000</v>
      </c>
      <c r="D982" s="103" t="b">
        <f>IF(AND('AES Indiana Bill Calc.'!$D$17="HL1",'AES Indiana Bill Calc.'!$D$18="No",'AES Indiana Bill Calc.'!$D$20="Yes 2022"),'AES Indiana Bill Calc.'!$D$22)</f>
        <v>0</v>
      </c>
      <c r="E982" s="103" t="b">
        <f>IF(AND('AES Indiana Bill Calc.'!$D$17="HL1",'AES Indiana Bill Calc.'!$D$18="No",'AES Indiana Bill Calc.'!$D$20="Yes 2022"),'AES Indiana Bill Calc.'!$D$21)</f>
        <v>0</v>
      </c>
      <c r="F982" s="36" t="s">
        <v>229</v>
      </c>
      <c r="G982" s="92" t="e">
        <f>SUM(J982:M982,R982:AA982)</f>
        <v>#N/A</v>
      </c>
      <c r="H982" s="19" t="e">
        <f>IF(ISBLANK(B982),0,+#REF!/B982)</f>
        <v>#REF!</v>
      </c>
      <c r="I982" s="19"/>
      <c r="J982" s="88">
        <f>IF(ISBLANK(B982),0,+J$909)</f>
        <v>130</v>
      </c>
      <c r="K982" s="42">
        <f>ROUND($B982*K$909,2)</f>
        <v>-0.04</v>
      </c>
      <c r="L982" s="16">
        <f>IF(ISBLANK($C982),0,IF($C982&lt;$C$910,ROUND($C$910*$L$909,2),IF($C982&gt;L$910,ROUND(L$910*L$909,2),ROUND($C982*L$909,2))))</f>
        <v>55900</v>
      </c>
      <c r="M982" s="17">
        <f>IF($C982&gt;L$910,ROUND(($C982-L$910)*M$909,2),0)</f>
        <v>0</v>
      </c>
      <c r="N982" s="17">
        <f>K982</f>
        <v>-0.04</v>
      </c>
      <c r="O982" s="42"/>
      <c r="P982" s="42"/>
      <c r="Q982" s="17">
        <f>SUM(L982:M982)</f>
        <v>55900</v>
      </c>
      <c r="R982" s="82" t="e">
        <f>ROUND(SUM(K982:M982)*(R981-1),2)</f>
        <v>#N/A</v>
      </c>
      <c r="S982" s="42">
        <f>ROUND($B982*S$909*S981,2)</f>
        <v>0</v>
      </c>
      <c r="T982" s="42">
        <f>ROUND($B982*T$909,2)</f>
        <v>0</v>
      </c>
      <c r="U982" s="42">
        <f>ROUND($B982*U$909,2)</f>
        <v>0</v>
      </c>
      <c r="V982" s="42">
        <f>ROUND($B982*V$904,2)</f>
        <v>0</v>
      </c>
      <c r="W982" s="42">
        <f>ROUND($B982*W$909,2)</f>
        <v>0</v>
      </c>
      <c r="X982" s="42">
        <f>ROUND($B982*X$909,2)</f>
        <v>-0.01</v>
      </c>
      <c r="Y982" s="42">
        <f>ROUND($B982*Y$909,2)</f>
        <v>0</v>
      </c>
      <c r="Z982" s="42">
        <f>ROUND($B982*Z$909,2)</f>
        <v>0</v>
      </c>
      <c r="AA982" s="42">
        <f>ROUND($B982*AA$909,2)</f>
        <v>0</v>
      </c>
      <c r="AB982" s="19">
        <f>SUM(U961:AA961)</f>
        <v>0</v>
      </c>
      <c r="AC982" s="94" t="str">
        <f>+F982</f>
        <v>HL12</v>
      </c>
    </row>
    <row r="983" spans="1:29" x14ac:dyDescent="0.2">
      <c r="A983" s="53"/>
      <c r="B983" s="97">
        <v>-1</v>
      </c>
      <c r="D983" s="41"/>
      <c r="E983" s="80"/>
      <c r="F983" s="36"/>
      <c r="G983" s="98"/>
      <c r="H983" s="19"/>
      <c r="I983" s="19"/>
      <c r="J983" s="88"/>
      <c r="K983" s="42"/>
      <c r="L983" s="82"/>
      <c r="M983" s="42"/>
      <c r="N983" s="42"/>
      <c r="O983" s="42"/>
      <c r="P983" s="42"/>
      <c r="Q983" s="42"/>
      <c r="R983" s="38" t="e">
        <f>VLOOKUP((D984),'Pwr Factor'!$A$1:$B$52,2)</f>
        <v>#N/A</v>
      </c>
      <c r="S983" s="50">
        <v>1</v>
      </c>
      <c r="T983" s="42"/>
      <c r="U983" s="42"/>
      <c r="V983" s="42"/>
      <c r="W983" s="42"/>
      <c r="X983" s="42"/>
      <c r="Y983" s="42"/>
      <c r="Z983" s="42"/>
      <c r="AA983" s="42"/>
      <c r="AB983" s="19"/>
      <c r="AC983" s="94"/>
    </row>
    <row r="984" spans="1:29" x14ac:dyDescent="0.2">
      <c r="A984" s="1" t="s">
        <v>138</v>
      </c>
      <c r="B984" s="103">
        <f>IF(AND('AES Indiana Bill Calc.'!$D$17="HL1",'AES Indiana Bill Calc.'!$D$18="Yes 100%",'AES Indiana Bill Calc.'!$D$20="Yes 2023"),'AES Indiana Bill Calc.'!$D$19,-1)</f>
        <v>-1</v>
      </c>
      <c r="C984" s="103">
        <f>MAX(E984,$C$905)</f>
        <v>2000</v>
      </c>
      <c r="D984" s="103" t="b">
        <f>IF(AND('AES Indiana Bill Calc.'!$D$17="HL1",'AES Indiana Bill Calc.'!$D$18="Yes 100%",'AES Indiana Bill Calc.'!$D$20="Yes 2023"),'AES Indiana Bill Calc.'!$D$22)</f>
        <v>0</v>
      </c>
      <c r="E984" s="103" t="b">
        <f>IF(AND('AES Indiana Bill Calc.'!$D$17="HL1",'AES Indiana Bill Calc.'!$D$18="Yes 100%",'AES Indiana Bill Calc.'!$D$20="Yes 2023"),'AES Indiana Bill Calc.'!$D$21)</f>
        <v>0</v>
      </c>
      <c r="F984" s="36" t="s">
        <v>230</v>
      </c>
      <c r="G984" s="98" t="e">
        <v>#N/A</v>
      </c>
      <c r="H984" s="19" t="e">
        <f>IF(ISBLANK(B984),0,+#REF!/B984)</f>
        <v>#REF!</v>
      </c>
      <c r="I984" s="19"/>
      <c r="J984" s="88">
        <f>IF(ISBLANK(B984),0,+J$909)</f>
        <v>130</v>
      </c>
      <c r="K984" s="42">
        <f>ROUND($B984*K$909,2)</f>
        <v>-0.04</v>
      </c>
      <c r="L984" s="16">
        <f>IF(ISBLANK($C984),0,IF($C984&lt;$C$910,ROUND($C$910*$L$909,2),IF($C984&gt;L$910,ROUND(L$910*L$909,2),ROUND($C984*L$909,2))))</f>
        <v>55900</v>
      </c>
      <c r="M984" s="17">
        <f>IF($C984&gt;L$910,ROUND(($C984-L$910)*M$909,2),0)</f>
        <v>0</v>
      </c>
      <c r="N984" s="17">
        <f>K984</f>
        <v>-0.04</v>
      </c>
      <c r="O984" s="42"/>
      <c r="P984" s="42"/>
      <c r="Q984" s="17">
        <f>SUM(L984:M984)</f>
        <v>55900</v>
      </c>
      <c r="R984" s="82" t="e">
        <f>ROUND(SUM(K984:M984)*(R983-1),2)</f>
        <v>#N/A</v>
      </c>
      <c r="S984" s="42">
        <f>ROUND($B984*S$909*S983,2)</f>
        <v>0</v>
      </c>
      <c r="T984" s="42">
        <f>ROUND($B984*T$909,2)</f>
        <v>0</v>
      </c>
      <c r="U984" s="42">
        <f>ROUND($B984*U$909,2)</f>
        <v>0</v>
      </c>
      <c r="V984" s="42">
        <f>ROUND($B984*V$905,2)</f>
        <v>0</v>
      </c>
      <c r="W984" s="42">
        <f>ROUND($B984*W$909,2)</f>
        <v>0</v>
      </c>
      <c r="X984" s="42">
        <f>ROUND($B984*X$909,2)</f>
        <v>-0.01</v>
      </c>
      <c r="Y984" s="42">
        <f>ROUND($B984*Y$909,2)</f>
        <v>0</v>
      </c>
      <c r="Z984" s="42">
        <f>ROUND($B984*Z$909,2)</f>
        <v>0</v>
      </c>
      <c r="AA984" s="42">
        <f>ROUND($B984*AA$909,2)</f>
        <v>0</v>
      </c>
      <c r="AB984" s="19">
        <f>SUM(U963:AA963)</f>
        <v>0</v>
      </c>
      <c r="AC984" s="94" t="str">
        <f>+F984</f>
        <v>HL13</v>
      </c>
    </row>
    <row r="985" spans="1:29" x14ac:dyDescent="0.2">
      <c r="A985" s="9"/>
      <c r="B985" s="97">
        <v>-1</v>
      </c>
      <c r="D985" s="41"/>
      <c r="E985" s="80"/>
      <c r="F985" s="36"/>
      <c r="G985" s="98"/>
      <c r="H985" s="19"/>
      <c r="I985" s="19"/>
      <c r="J985" s="88"/>
      <c r="K985" s="42"/>
      <c r="L985" s="82"/>
      <c r="M985" s="42"/>
      <c r="N985" s="42"/>
      <c r="O985" s="42"/>
      <c r="P985" s="42"/>
      <c r="Q985" s="42"/>
      <c r="R985" s="38" t="e">
        <f>VLOOKUP((D986),'Pwr Factor'!$A$1:$B$52,2)</f>
        <v>#N/A</v>
      </c>
      <c r="S985" s="50">
        <v>0.5</v>
      </c>
      <c r="T985" s="42"/>
      <c r="U985" s="42"/>
      <c r="V985" s="42"/>
      <c r="W985" s="42"/>
      <c r="X985" s="42"/>
      <c r="Y985" s="42"/>
      <c r="Z985" s="42"/>
      <c r="AA985" s="42"/>
      <c r="AB985" s="19"/>
      <c r="AC985" s="94"/>
    </row>
    <row r="986" spans="1:29" x14ac:dyDescent="0.2">
      <c r="A986" s="1" t="s">
        <v>139</v>
      </c>
      <c r="B986" s="103">
        <f>IF(AND('AES Indiana Bill Calc.'!$D$17="HL1",'AES Indiana Bill Calc.'!$D$18="Yes 50%",'AES Indiana Bill Calc.'!$D$20="Yes 2023"),'AES Indiana Bill Calc.'!$D$19,-1)</f>
        <v>-1</v>
      </c>
      <c r="C986" s="103">
        <f>MAX(E986,$C$905)</f>
        <v>2000</v>
      </c>
      <c r="D986" s="103" t="b">
        <f>IF(AND('AES Indiana Bill Calc.'!$D$17="HL1",'AES Indiana Bill Calc.'!$D$18="Yes 50%",'AES Indiana Bill Calc.'!$D$20="Yes 2023"),'AES Indiana Bill Calc.'!$D$22)</f>
        <v>0</v>
      </c>
      <c r="E986" s="103" t="b">
        <f>IF(AND('AES Indiana Bill Calc.'!$D$17="HL1",'AES Indiana Bill Calc.'!$D$18="Yes 50%",'AES Indiana Bill Calc.'!$D$20="Yes 2023"),'AES Indiana Bill Calc.'!$D$21)</f>
        <v>0</v>
      </c>
      <c r="F986" s="36" t="s">
        <v>230</v>
      </c>
      <c r="G986" s="92" t="e">
        <f>SUM(J986:M986,R986:AA986)</f>
        <v>#N/A</v>
      </c>
      <c r="H986" s="19" t="e">
        <f>IF(ISBLANK(B986),0,+#REF!/B986)</f>
        <v>#REF!</v>
      </c>
      <c r="I986" s="19"/>
      <c r="J986" s="88">
        <f>IF(ISBLANK(B986),0,+J$909)</f>
        <v>130</v>
      </c>
      <c r="K986" s="42">
        <f>ROUND($B986*K$909,2)</f>
        <v>-0.04</v>
      </c>
      <c r="L986" s="16">
        <f>IF(ISBLANK($C986),0,IF($C986&lt;$C$910,ROUND($C$910*$L$909,2),IF($C986&gt;L$910,ROUND(L$910*L$909,2),ROUND($C986*L$909,2))))</f>
        <v>55900</v>
      </c>
      <c r="M986" s="17">
        <f>IF($C986&gt;L$910,ROUND(($C986-L$910)*M$909,2),0)</f>
        <v>0</v>
      </c>
      <c r="N986" s="17">
        <f>K986</f>
        <v>-0.04</v>
      </c>
      <c r="O986" s="42"/>
      <c r="P986" s="42"/>
      <c r="Q986" s="17">
        <f>SUM(L986:M986)</f>
        <v>55900</v>
      </c>
      <c r="R986" s="82" t="e">
        <f>ROUND(SUM(K986:M986)*(R985-1),2)</f>
        <v>#N/A</v>
      </c>
      <c r="S986" s="42">
        <f>ROUND($B986*S$909*S985,2)</f>
        <v>0</v>
      </c>
      <c r="T986" s="42">
        <f>ROUND($B986*T$909,2)</f>
        <v>0</v>
      </c>
      <c r="U986" s="42">
        <f>ROUND($B986*U$909,2)</f>
        <v>0</v>
      </c>
      <c r="V986" s="42">
        <f>ROUND($B986*V$905,2)</f>
        <v>0</v>
      </c>
      <c r="W986" s="42">
        <f>ROUND($B986*W$909,2)</f>
        <v>0</v>
      </c>
      <c r="X986" s="42">
        <f>ROUND($B986*X$909,2)</f>
        <v>-0.01</v>
      </c>
      <c r="Y986" s="42">
        <f>ROUND($B986*Y$909,2)</f>
        <v>0</v>
      </c>
      <c r="Z986" s="42">
        <f>ROUND($B986*Z$909,2)</f>
        <v>0</v>
      </c>
      <c r="AA986" s="42">
        <f>ROUND($B986*AA$909,2)</f>
        <v>0</v>
      </c>
      <c r="AB986" s="19">
        <f>SUM(U965:AA965)</f>
        <v>0</v>
      </c>
      <c r="AC986" s="94" t="str">
        <f>+F986</f>
        <v>HL13</v>
      </c>
    </row>
    <row r="987" spans="1:29" x14ac:dyDescent="0.2">
      <c r="A987" s="9"/>
      <c r="B987" s="97">
        <v>-1</v>
      </c>
      <c r="D987" s="41"/>
      <c r="E987" s="80"/>
      <c r="F987" s="36"/>
      <c r="G987" s="98"/>
      <c r="H987" s="19"/>
      <c r="I987" s="19"/>
      <c r="J987" s="88"/>
      <c r="K987" s="42"/>
      <c r="L987" s="82"/>
      <c r="M987" s="42"/>
      <c r="N987" s="42"/>
      <c r="O987" s="42"/>
      <c r="P987" s="42"/>
      <c r="Q987" s="42"/>
      <c r="R987" s="38" t="e">
        <f>VLOOKUP((D988),'Pwr Factor'!$A$1:$B$52,2)</f>
        <v>#N/A</v>
      </c>
      <c r="S987" s="50">
        <v>0.25</v>
      </c>
      <c r="T987" s="42"/>
      <c r="U987" s="42"/>
      <c r="V987" s="42"/>
      <c r="W987" s="42"/>
      <c r="X987" s="42"/>
      <c r="Y987" s="42"/>
      <c r="Z987" s="42"/>
      <c r="AA987" s="42"/>
      <c r="AB987" s="19"/>
      <c r="AC987" s="94"/>
    </row>
    <row r="988" spans="1:29" x14ac:dyDescent="0.2">
      <c r="A988" s="1" t="s">
        <v>140</v>
      </c>
      <c r="B988" s="103">
        <f>IF(AND('AES Indiana Bill Calc.'!$D$17="HL1",'AES Indiana Bill Calc.'!$D$18="Yes 25%",'AES Indiana Bill Calc.'!$D$20="Yes 2023"),'AES Indiana Bill Calc.'!$D$19,-1)</f>
        <v>-1</v>
      </c>
      <c r="C988" s="103">
        <f>MAX(E988,$C$905)</f>
        <v>2000</v>
      </c>
      <c r="D988" s="103" t="b">
        <f>IF(AND('AES Indiana Bill Calc.'!$D$17="HL1",'AES Indiana Bill Calc.'!$D$18="Yes 25%",'AES Indiana Bill Calc.'!$D$20="Yes 2023"),'AES Indiana Bill Calc.'!$D$22)</f>
        <v>0</v>
      </c>
      <c r="E988" s="103" t="b">
        <f>IF(AND('AES Indiana Bill Calc.'!$D$17="HL1",'AES Indiana Bill Calc.'!$D$18="Yes 25%",'AES Indiana Bill Calc.'!$D$20="Yes 2023"),'AES Indiana Bill Calc.'!$D$21)</f>
        <v>0</v>
      </c>
      <c r="F988" s="36" t="s">
        <v>230</v>
      </c>
      <c r="G988" s="92" t="e">
        <f>SUM(J988:M988,R988:AA988)</f>
        <v>#N/A</v>
      </c>
      <c r="H988" s="19" t="e">
        <f>IF(ISBLANK(B988),0,+#REF!/B988)</f>
        <v>#REF!</v>
      </c>
      <c r="I988" s="19"/>
      <c r="J988" s="88">
        <f>IF(ISBLANK(B988),0,+J$909)</f>
        <v>130</v>
      </c>
      <c r="K988" s="42">
        <f>ROUND($B988*K$909,2)</f>
        <v>-0.04</v>
      </c>
      <c r="L988" s="16">
        <f>IF(ISBLANK($C988),0,IF($C988&lt;$C$910,ROUND($C$910*$L$909,2),IF($C988&gt;L$910,ROUND(L$910*L$909,2),ROUND($C988*L$909,2))))</f>
        <v>55900</v>
      </c>
      <c r="M988" s="17">
        <f>IF($C988&gt;L$910,ROUND(($C988-L$910)*M$909,2),0)</f>
        <v>0</v>
      </c>
      <c r="N988" s="17">
        <f>K988</f>
        <v>-0.04</v>
      </c>
      <c r="O988" s="42"/>
      <c r="P988" s="42"/>
      <c r="Q988" s="17">
        <f>SUM(L988:M988)</f>
        <v>55900</v>
      </c>
      <c r="R988" s="82" t="e">
        <f>ROUND(SUM(K988:M988)*(R987-1),2)</f>
        <v>#N/A</v>
      </c>
      <c r="S988" s="42">
        <f>ROUND($B988*S$909*S987,2)</f>
        <v>0</v>
      </c>
      <c r="T988" s="42">
        <f>ROUND($B988*T$909,2)</f>
        <v>0</v>
      </c>
      <c r="U988" s="42">
        <f>ROUND($B988*U$909,2)</f>
        <v>0</v>
      </c>
      <c r="V988" s="42">
        <f>ROUND($B988*V$904,2)</f>
        <v>0</v>
      </c>
      <c r="W988" s="42">
        <f>ROUND($B988*W$909,2)</f>
        <v>0</v>
      </c>
      <c r="X988" s="42">
        <f>ROUND($B988*X$909,2)</f>
        <v>-0.01</v>
      </c>
      <c r="Y988" s="42">
        <f>ROUND($B988*Y$909,2)</f>
        <v>0</v>
      </c>
      <c r="Z988" s="42">
        <f>ROUND($B988*Z$909,2)</f>
        <v>0</v>
      </c>
      <c r="AA988" s="42">
        <f>ROUND($B988*AA$909,2)</f>
        <v>0</v>
      </c>
      <c r="AB988" s="19">
        <f>SUM(U967:AA967)</f>
        <v>0</v>
      </c>
      <c r="AC988" s="94" t="str">
        <f>+F988</f>
        <v>HL13</v>
      </c>
    </row>
    <row r="989" spans="1:29" x14ac:dyDescent="0.2">
      <c r="A989" s="9"/>
      <c r="B989" s="97">
        <v>-1</v>
      </c>
      <c r="D989" s="41"/>
      <c r="E989" s="80"/>
      <c r="F989" s="36"/>
      <c r="G989" s="98"/>
      <c r="H989" s="19"/>
      <c r="I989" s="19"/>
      <c r="J989" s="88"/>
      <c r="K989" s="42"/>
      <c r="L989" s="82"/>
      <c r="M989" s="42"/>
      <c r="N989" s="42"/>
      <c r="O989" s="42"/>
      <c r="P989" s="42"/>
      <c r="Q989" s="42"/>
      <c r="R989" s="38" t="e">
        <f>VLOOKUP((D990),'Pwr Factor'!$A$1:$B$52,2)</f>
        <v>#N/A</v>
      </c>
      <c r="S989" s="50">
        <v>0.1</v>
      </c>
      <c r="T989" s="42"/>
      <c r="U989" s="42"/>
      <c r="V989" s="42"/>
      <c r="W989" s="42"/>
      <c r="X989" s="42"/>
      <c r="Y989" s="42"/>
      <c r="Z989" s="42"/>
      <c r="AA989" s="42"/>
      <c r="AB989" s="19"/>
      <c r="AC989" s="94"/>
    </row>
    <row r="990" spans="1:29" x14ac:dyDescent="0.2">
      <c r="A990" s="1" t="s">
        <v>154</v>
      </c>
      <c r="B990" s="103">
        <f>IF(AND('AES Indiana Bill Calc.'!$D$17="HL1",'AES Indiana Bill Calc.'!$D$18="Yes 10%",'AES Indiana Bill Calc.'!$D$20="Yes 2023"),'AES Indiana Bill Calc.'!$D$19,-1)</f>
        <v>-1</v>
      </c>
      <c r="C990" s="103">
        <f>MAX(E990,$C$905)</f>
        <v>2000</v>
      </c>
      <c r="D990" s="103" t="b">
        <f>IF(AND('AES Indiana Bill Calc.'!$D$17="HL1",'AES Indiana Bill Calc.'!$D$18="Yes 10%",'AES Indiana Bill Calc.'!$D$20="Yes 2023"),'AES Indiana Bill Calc.'!$D$22)</f>
        <v>0</v>
      </c>
      <c r="E990" s="103" t="b">
        <f>IF(AND('AES Indiana Bill Calc.'!$D$17="HL1",'AES Indiana Bill Calc.'!$D$18="Yes 10%",'AES Indiana Bill Calc.'!$D$20="Yes 2023"),'AES Indiana Bill Calc.'!$D$21)</f>
        <v>0</v>
      </c>
      <c r="F990" s="36" t="s">
        <v>230</v>
      </c>
      <c r="G990" s="92" t="e">
        <f>SUM(J990:M990,R990:AA990)</f>
        <v>#N/A</v>
      </c>
      <c r="H990" s="19" t="e">
        <f>IF(ISBLANK(B990),0,+#REF!/B990)</f>
        <v>#REF!</v>
      </c>
      <c r="I990" s="19"/>
      <c r="J990" s="88">
        <f>IF(ISBLANK(B990),0,+J$909)</f>
        <v>130</v>
      </c>
      <c r="K990" s="42">
        <f>ROUND($B990*K$909,2)</f>
        <v>-0.04</v>
      </c>
      <c r="L990" s="16">
        <f>IF(ISBLANK($C990),0,IF($C990&lt;$C$910,ROUND($C$910*$L$909,2),IF($C990&gt;L$910,ROUND(L$910*L$909,2),ROUND($C990*L$909,2))))</f>
        <v>55900</v>
      </c>
      <c r="M990" s="17">
        <f>IF($C990&gt;L$910,ROUND(($C990-L$910)*M$909,2),0)</f>
        <v>0</v>
      </c>
      <c r="N990" s="17">
        <f>K990</f>
        <v>-0.04</v>
      </c>
      <c r="O990" s="42"/>
      <c r="P990" s="42"/>
      <c r="Q990" s="17">
        <f>SUM(L990:M990)</f>
        <v>55900</v>
      </c>
      <c r="R990" s="82" t="e">
        <f>ROUND(SUM(K990:M990)*(R989-1),2)</f>
        <v>#N/A</v>
      </c>
      <c r="S990" s="42">
        <f>ROUND($B990*S$909*S989,2)</f>
        <v>0</v>
      </c>
      <c r="T990" s="42">
        <f>ROUND($B990*T$909,2)</f>
        <v>0</v>
      </c>
      <c r="U990" s="42">
        <f>ROUND($B990*U$909,2)</f>
        <v>0</v>
      </c>
      <c r="V990" s="42">
        <f>ROUND($B990*V$905,2)</f>
        <v>0</v>
      </c>
      <c r="W990" s="42">
        <f>ROUND($B990*W$909,2)</f>
        <v>0</v>
      </c>
      <c r="X990" s="42">
        <f>ROUND($B990*X$909,2)</f>
        <v>-0.01</v>
      </c>
      <c r="Y990" s="42">
        <f>ROUND($B990*Y$909,2)</f>
        <v>0</v>
      </c>
      <c r="Z990" s="42">
        <f>ROUND($B990*Z$909,2)</f>
        <v>0</v>
      </c>
      <c r="AA990" s="42">
        <f>ROUND($B990*AA$909,2)</f>
        <v>0</v>
      </c>
      <c r="AB990" s="19">
        <f>SUM(U969:AA969)</f>
        <v>0</v>
      </c>
      <c r="AC990" s="94" t="str">
        <f>+F990</f>
        <v>HL13</v>
      </c>
    </row>
    <row r="991" spans="1:29" x14ac:dyDescent="0.2">
      <c r="A991" s="9"/>
      <c r="B991" s="97">
        <v>-1</v>
      </c>
      <c r="D991" s="41"/>
      <c r="E991" s="80"/>
      <c r="F991" s="36"/>
      <c r="G991" s="98"/>
      <c r="H991" s="19"/>
      <c r="I991" s="19"/>
      <c r="J991" s="88"/>
      <c r="K991" s="42"/>
      <c r="L991" s="82"/>
      <c r="M991" s="42"/>
      <c r="N991" s="42"/>
      <c r="O991" s="42"/>
      <c r="P991" s="42"/>
      <c r="Q991" s="42"/>
      <c r="R991" s="38" t="e">
        <f>VLOOKUP((D992),'Pwr Factor'!$A$1:$B$52,2)</f>
        <v>#N/A</v>
      </c>
      <c r="S991" s="50">
        <v>0</v>
      </c>
      <c r="T991" s="42"/>
      <c r="U991" s="42"/>
      <c r="V991" s="42"/>
      <c r="W991" s="42"/>
      <c r="X991" s="42"/>
      <c r="Y991" s="42"/>
      <c r="Z991" s="42"/>
      <c r="AA991" s="42"/>
      <c r="AB991" s="19"/>
      <c r="AC991" s="94"/>
    </row>
    <row r="992" spans="1:29" x14ac:dyDescent="0.2">
      <c r="A992" s="1" t="s">
        <v>137</v>
      </c>
      <c r="B992" s="103">
        <f>IF(AND('AES Indiana Bill Calc.'!$D$17="HL1",'AES Indiana Bill Calc.'!$D$18="No",'AES Indiana Bill Calc.'!$D$20="Yes 2023"),'AES Indiana Bill Calc.'!$D$19,-1)</f>
        <v>-1</v>
      </c>
      <c r="C992" s="103">
        <f>MAX(E992,$C$905)</f>
        <v>2000</v>
      </c>
      <c r="D992" s="103" t="b">
        <f>IF(AND('AES Indiana Bill Calc.'!$D$17="HL1",'AES Indiana Bill Calc.'!$D$18="No",'AES Indiana Bill Calc.'!$D$20="Yes 2023"),'AES Indiana Bill Calc.'!$D$22)</f>
        <v>0</v>
      </c>
      <c r="E992" s="103" t="b">
        <f>IF(AND('AES Indiana Bill Calc.'!$D$17="HL1",'AES Indiana Bill Calc.'!$D$18="No",'AES Indiana Bill Calc.'!$D$20="Yes 2023"),'AES Indiana Bill Calc.'!$D$21)</f>
        <v>0</v>
      </c>
      <c r="F992" s="36" t="s">
        <v>230</v>
      </c>
      <c r="G992" s="92" t="e">
        <f>SUM(J992:M992,R992:AA992)</f>
        <v>#N/A</v>
      </c>
      <c r="H992" s="19" t="e">
        <f>IF(ISBLANK(B992),0,+#REF!/B992)</f>
        <v>#REF!</v>
      </c>
      <c r="I992" s="19"/>
      <c r="J992" s="88">
        <f>IF(ISBLANK(B992),0,+J$909)</f>
        <v>130</v>
      </c>
      <c r="K992" s="42">
        <f>ROUND($B992*K$909,2)</f>
        <v>-0.04</v>
      </c>
      <c r="L992" s="16">
        <f>IF(ISBLANK($C992),0,IF($C992&lt;$C$910,ROUND($C$910*$L$909,2),IF($C992&gt;L$910,ROUND(L$910*L$909,2),ROUND($C992*L$909,2))))</f>
        <v>55900</v>
      </c>
      <c r="M992" s="17">
        <f>IF($C992&gt;L$910,ROUND(($C992-L$910)*M$909,2),0)</f>
        <v>0</v>
      </c>
      <c r="N992" s="17">
        <f>K992</f>
        <v>-0.04</v>
      </c>
      <c r="O992" s="42"/>
      <c r="P992" s="42"/>
      <c r="Q992" s="17">
        <f>SUM(L992:M992)</f>
        <v>55900</v>
      </c>
      <c r="R992" s="82" t="e">
        <f>ROUND(SUM(K992:M992)*(R991-1),2)</f>
        <v>#N/A</v>
      </c>
      <c r="S992" s="42">
        <f>ROUND($B992*S$909*S991,2)</f>
        <v>0</v>
      </c>
      <c r="T992" s="42">
        <f>ROUND($B992*T$909,2)</f>
        <v>0</v>
      </c>
      <c r="U992" s="42">
        <f>ROUND($B992*U$909,2)</f>
        <v>0</v>
      </c>
      <c r="V992" s="42">
        <f>ROUND($B992*V$905,2)</f>
        <v>0</v>
      </c>
      <c r="W992" s="42">
        <f>ROUND($B992*W$909,2)</f>
        <v>0</v>
      </c>
      <c r="X992" s="42">
        <f>ROUND($B992*X$909,2)</f>
        <v>-0.01</v>
      </c>
      <c r="Y992" s="42">
        <f>ROUND($B992*Y$909,2)</f>
        <v>0</v>
      </c>
      <c r="Z992" s="42">
        <f>ROUND($B992*Z$909,2)</f>
        <v>0</v>
      </c>
      <c r="AA992" s="42">
        <f>ROUND($B992*AA$909,2)</f>
        <v>0</v>
      </c>
      <c r="AB992" s="19">
        <f>SUM(U971:AA971)</f>
        <v>0</v>
      </c>
      <c r="AC992" s="94" t="str">
        <f>+F992</f>
        <v>HL13</v>
      </c>
    </row>
    <row r="993" spans="1:29" x14ac:dyDescent="0.2">
      <c r="A993" s="53"/>
      <c r="B993" s="97">
        <v>-1</v>
      </c>
      <c r="D993" s="41"/>
      <c r="E993" s="80"/>
      <c r="F993" s="36"/>
      <c r="G993" s="98"/>
      <c r="H993" s="19"/>
      <c r="I993" s="19"/>
      <c r="J993" s="88"/>
      <c r="K993" s="42"/>
      <c r="L993" s="82"/>
      <c r="M993" s="42"/>
      <c r="N993" s="42"/>
      <c r="O993" s="42"/>
      <c r="P993" s="42"/>
      <c r="Q993" s="42"/>
      <c r="R993" s="38" t="e">
        <f>VLOOKUP((D994),'Pwr Factor'!$A$1:$B$52,2)</f>
        <v>#N/A</v>
      </c>
      <c r="S993" s="50">
        <v>1</v>
      </c>
      <c r="T993" s="42"/>
      <c r="U993" s="42"/>
      <c r="V993" s="42"/>
      <c r="W993" s="42"/>
      <c r="X993" s="42"/>
      <c r="Y993" s="42"/>
      <c r="Z993" s="42"/>
      <c r="AA993" s="42"/>
      <c r="AB993" s="19"/>
      <c r="AC993" s="94"/>
    </row>
    <row r="994" spans="1:29" x14ac:dyDescent="0.2">
      <c r="A994" s="1" t="s">
        <v>138</v>
      </c>
      <c r="B994" s="103">
        <f>IF(AND('AES Indiana Bill Calc.'!$D$17="HL1",'AES Indiana Bill Calc.'!$D$18="Yes 100%",'AES Indiana Bill Calc.'!$D$20="Yes 2024"),'AES Indiana Bill Calc.'!$D$19,-1)</f>
        <v>-1</v>
      </c>
      <c r="C994" s="103">
        <f>MAX(E994,$C$905)</f>
        <v>2000</v>
      </c>
      <c r="D994" s="103" t="b">
        <f>IF(AND('AES Indiana Bill Calc.'!$D$17="HL1",'AES Indiana Bill Calc.'!$D$18="Yes 100%",'AES Indiana Bill Calc.'!$D$20="Yes 2024"),'AES Indiana Bill Calc.'!$D$22)</f>
        <v>0</v>
      </c>
      <c r="E994" s="103" t="b">
        <f>IF(AND('AES Indiana Bill Calc.'!$D$17="HL1",'AES Indiana Bill Calc.'!$D$18="Yes 100%",'AES Indiana Bill Calc.'!$D$20="Yes 2024"),'AES Indiana Bill Calc.'!$D$21)</f>
        <v>0</v>
      </c>
      <c r="F994" s="36" t="s">
        <v>294</v>
      </c>
      <c r="G994" s="98" t="e">
        <v>#N/A</v>
      </c>
      <c r="H994" s="19" t="e">
        <f>IF(ISBLANK(B994),0,+#REF!/B994)</f>
        <v>#REF!</v>
      </c>
      <c r="I994" s="19"/>
      <c r="J994" s="88">
        <f>IF(ISBLANK(B994),0,+J$909)</f>
        <v>130</v>
      </c>
      <c r="K994" s="42">
        <f>ROUND($B994*K$909,2)</f>
        <v>-0.04</v>
      </c>
      <c r="L994" s="16">
        <f>IF(ISBLANK($C994),0,IF($C994&lt;$C$910,ROUND($C$910*$L$909,2),IF($C994&gt;L$910,ROUND(L$910*L$909,2),ROUND($C994*L$909,2))))</f>
        <v>55900</v>
      </c>
      <c r="M994" s="17">
        <f>IF($C994&gt;L$910,ROUND(($C994-L$910)*M$909,2),0)</f>
        <v>0</v>
      </c>
      <c r="N994" s="17">
        <f>K994</f>
        <v>-0.04</v>
      </c>
      <c r="O994" s="42"/>
      <c r="P994" s="42"/>
      <c r="Q994" s="17">
        <f>SUM(L994:M994)</f>
        <v>55900</v>
      </c>
      <c r="R994" s="82" t="e">
        <f>ROUND(SUM(K994:M994)*(R993-1),2)</f>
        <v>#N/A</v>
      </c>
      <c r="S994" s="42">
        <f>ROUND($B994*S$909*S993,2)</f>
        <v>0</v>
      </c>
      <c r="T994" s="42">
        <f>ROUND($B994*T$909,2)</f>
        <v>0</v>
      </c>
      <c r="U994" s="42">
        <f>ROUND($B994*U$909,2)</f>
        <v>0</v>
      </c>
      <c r="V994" s="42">
        <f>ROUND($B994*V$906,2)</f>
        <v>0</v>
      </c>
      <c r="W994" s="42">
        <f>ROUND($B994*W$909,2)</f>
        <v>0</v>
      </c>
      <c r="X994" s="42">
        <f>ROUND($B994*X$909,2)</f>
        <v>-0.01</v>
      </c>
      <c r="Y994" s="42">
        <f>ROUND($B994*Y$909,2)</f>
        <v>0</v>
      </c>
      <c r="Z994" s="42">
        <f>ROUND($B994*Z$909,2)</f>
        <v>0</v>
      </c>
      <c r="AA994" s="42">
        <f>ROUND($B994*AA$909,2)</f>
        <v>0</v>
      </c>
      <c r="AB994" s="19">
        <f>SUM(U973:AA973)</f>
        <v>0</v>
      </c>
      <c r="AC994" s="94" t="str">
        <f>+F994</f>
        <v>HL14</v>
      </c>
    </row>
    <row r="995" spans="1:29" x14ac:dyDescent="0.2">
      <c r="A995" s="9"/>
      <c r="B995" s="97">
        <v>-1</v>
      </c>
      <c r="D995" s="41"/>
      <c r="E995" s="80"/>
      <c r="F995" s="36"/>
      <c r="G995" s="98"/>
      <c r="H995" s="19"/>
      <c r="I995" s="19"/>
      <c r="J995" s="88"/>
      <c r="K995" s="42"/>
      <c r="L995" s="82"/>
      <c r="M995" s="42"/>
      <c r="N995" s="42"/>
      <c r="O995" s="42"/>
      <c r="P995" s="42"/>
      <c r="Q995" s="42"/>
      <c r="R995" s="38" t="e">
        <f>VLOOKUP((D996),'Pwr Factor'!$A$1:$B$52,2)</f>
        <v>#N/A</v>
      </c>
      <c r="S995" s="50">
        <v>0.5</v>
      </c>
      <c r="T995" s="42"/>
      <c r="U995" s="42"/>
      <c r="V995" s="42"/>
      <c r="W995" s="42"/>
      <c r="X995" s="42"/>
      <c r="Y995" s="42"/>
      <c r="Z995" s="42"/>
      <c r="AA995" s="42"/>
      <c r="AB995" s="19"/>
      <c r="AC995" s="94"/>
    </row>
    <row r="996" spans="1:29" x14ac:dyDescent="0.2">
      <c r="A996" s="1" t="s">
        <v>139</v>
      </c>
      <c r="B996" s="103">
        <f>IF(AND('AES Indiana Bill Calc.'!$D$17="HL1",'AES Indiana Bill Calc.'!$D$18="Yes 50%",'AES Indiana Bill Calc.'!$D$20="Yes 2024"),'AES Indiana Bill Calc.'!$D$19,-1)</f>
        <v>-1</v>
      </c>
      <c r="C996" s="103">
        <f>MAX(E996,$C$905)</f>
        <v>2000</v>
      </c>
      <c r="D996" s="103" t="b">
        <f>IF(AND('AES Indiana Bill Calc.'!$D$17="HL1",'AES Indiana Bill Calc.'!$D$18="Yes 50%",'AES Indiana Bill Calc.'!$D$20="Yes 2024"),'AES Indiana Bill Calc.'!$D$22)</f>
        <v>0</v>
      </c>
      <c r="E996" s="103" t="b">
        <f>IF(AND('AES Indiana Bill Calc.'!$D$17="HL1",'AES Indiana Bill Calc.'!$D$18="Yes 50%",'AES Indiana Bill Calc.'!$D$20="Yes 2024"),'AES Indiana Bill Calc.'!$D$21)</f>
        <v>0</v>
      </c>
      <c r="F996" s="36" t="s">
        <v>294</v>
      </c>
      <c r="G996" s="92" t="e">
        <f>SUM(J996:M996,R996:AA996)</f>
        <v>#N/A</v>
      </c>
      <c r="H996" s="19" t="e">
        <f>IF(ISBLANK(B996),0,+#REF!/B996)</f>
        <v>#REF!</v>
      </c>
      <c r="I996" s="19"/>
      <c r="J996" s="88">
        <f>IF(ISBLANK(B996),0,+J$909)</f>
        <v>130</v>
      </c>
      <c r="K996" s="42">
        <f>ROUND($B996*K$909,2)</f>
        <v>-0.04</v>
      </c>
      <c r="L996" s="16">
        <f>IF(ISBLANK($C996),0,IF($C996&lt;$C$910,ROUND($C$910*$L$909,2),IF($C996&gt;L$910,ROUND(L$910*L$909,2),ROUND($C996*L$909,2))))</f>
        <v>55900</v>
      </c>
      <c r="M996" s="17">
        <f>IF($C996&gt;L$910,ROUND(($C996-L$910)*M$909,2),0)</f>
        <v>0</v>
      </c>
      <c r="N996" s="17">
        <f>K996</f>
        <v>-0.04</v>
      </c>
      <c r="O996" s="42"/>
      <c r="P996" s="42"/>
      <c r="Q996" s="17">
        <f>SUM(L996:M996)</f>
        <v>55900</v>
      </c>
      <c r="R996" s="82" t="e">
        <f>ROUND(SUM(K996:M996)*(R995-1),2)</f>
        <v>#N/A</v>
      </c>
      <c r="S996" s="42">
        <f>ROUND($B996*S$909*S995,2)</f>
        <v>0</v>
      </c>
      <c r="T996" s="42">
        <f>ROUND($B996*T$909,2)</f>
        <v>0</v>
      </c>
      <c r="U996" s="42">
        <f>ROUND($B996*U$909,2)</f>
        <v>0</v>
      </c>
      <c r="V996" s="42">
        <f>ROUND($B996*V$906,2)</f>
        <v>0</v>
      </c>
      <c r="W996" s="42">
        <f>ROUND($B996*W$909,2)</f>
        <v>0</v>
      </c>
      <c r="X996" s="42">
        <f>ROUND($B996*X$909,2)</f>
        <v>-0.01</v>
      </c>
      <c r="Y996" s="42">
        <f>ROUND($B996*Y$909,2)</f>
        <v>0</v>
      </c>
      <c r="Z996" s="42">
        <f>ROUND($B996*Z$909,2)</f>
        <v>0</v>
      </c>
      <c r="AA996" s="42">
        <f>ROUND($B996*AA$909,2)</f>
        <v>0</v>
      </c>
      <c r="AB996" s="19">
        <f>SUM(U975:AA975)</f>
        <v>0</v>
      </c>
      <c r="AC996" s="94" t="str">
        <f>+F996</f>
        <v>HL14</v>
      </c>
    </row>
    <row r="997" spans="1:29" x14ac:dyDescent="0.2">
      <c r="A997" s="9"/>
      <c r="B997" s="97">
        <v>-1</v>
      </c>
      <c r="D997" s="41"/>
      <c r="E997" s="80"/>
      <c r="F997" s="36"/>
      <c r="G997" s="98"/>
      <c r="H997" s="19"/>
      <c r="I997" s="19"/>
      <c r="J997" s="88"/>
      <c r="K997" s="42"/>
      <c r="L997" s="82"/>
      <c r="M997" s="42"/>
      <c r="N997" s="42"/>
      <c r="O997" s="42"/>
      <c r="P997" s="42"/>
      <c r="Q997" s="42"/>
      <c r="R997" s="38" t="e">
        <f>VLOOKUP((D998),'Pwr Factor'!$A$1:$B$52,2)</f>
        <v>#N/A</v>
      </c>
      <c r="S997" s="50">
        <v>0.25</v>
      </c>
      <c r="T997" s="42"/>
      <c r="U997" s="42"/>
      <c r="V997" s="42"/>
      <c r="W997" s="42"/>
      <c r="X997" s="42"/>
      <c r="Y997" s="42"/>
      <c r="Z997" s="42"/>
      <c r="AA997" s="42"/>
      <c r="AB997" s="19"/>
      <c r="AC997" s="94"/>
    </row>
    <row r="998" spans="1:29" x14ac:dyDescent="0.2">
      <c r="A998" s="1" t="s">
        <v>140</v>
      </c>
      <c r="B998" s="103">
        <f>IF(AND('AES Indiana Bill Calc.'!$D$17="HL1",'AES Indiana Bill Calc.'!$D$18="Yes 25%",'AES Indiana Bill Calc.'!$D$20="Yes 2024"),'AES Indiana Bill Calc.'!$D$19,-1)</f>
        <v>-1</v>
      </c>
      <c r="C998" s="103">
        <f>MAX(E998,$C$905)</f>
        <v>2000</v>
      </c>
      <c r="D998" s="103" t="b">
        <f>IF(AND('AES Indiana Bill Calc.'!$D$17="HL1",'AES Indiana Bill Calc.'!$D$18="Yes 25%",'AES Indiana Bill Calc.'!$D$20="Yes 2024"),'AES Indiana Bill Calc.'!$D$22)</f>
        <v>0</v>
      </c>
      <c r="E998" s="103" t="b">
        <f>IF(AND('AES Indiana Bill Calc.'!$D$17="HL1",'AES Indiana Bill Calc.'!$D$18="Yes 25%",'AES Indiana Bill Calc.'!$D$20="Yes 2024"),'AES Indiana Bill Calc.'!$D$21)</f>
        <v>0</v>
      </c>
      <c r="F998" s="36" t="s">
        <v>294</v>
      </c>
      <c r="G998" s="92" t="e">
        <f>SUM(J998:M998,R998:AA998)</f>
        <v>#N/A</v>
      </c>
      <c r="H998" s="19" t="e">
        <f>IF(ISBLANK(B998),0,+#REF!/B998)</f>
        <v>#REF!</v>
      </c>
      <c r="I998" s="19"/>
      <c r="J998" s="88">
        <f>IF(ISBLANK(B998),0,+J$909)</f>
        <v>130</v>
      </c>
      <c r="K998" s="42">
        <f>ROUND($B998*K$909,2)</f>
        <v>-0.04</v>
      </c>
      <c r="L998" s="16">
        <f>IF(ISBLANK($C998),0,IF($C998&lt;$C$910,ROUND($C$910*$L$909,2),IF($C998&gt;L$910,ROUND(L$910*L$909,2),ROUND($C998*L$909,2))))</f>
        <v>55900</v>
      </c>
      <c r="M998" s="17">
        <f>IF($C998&gt;L$910,ROUND(($C998-L$910)*M$909,2),0)</f>
        <v>0</v>
      </c>
      <c r="N998" s="17">
        <f>K998</f>
        <v>-0.04</v>
      </c>
      <c r="O998" s="42"/>
      <c r="P998" s="42"/>
      <c r="Q998" s="17">
        <f>SUM(L998:M998)</f>
        <v>55900</v>
      </c>
      <c r="R998" s="82" t="e">
        <f>ROUND(SUM(K998:M998)*(R997-1),2)</f>
        <v>#N/A</v>
      </c>
      <c r="S998" s="42">
        <f>ROUND($B998*S$909*S997,2)</f>
        <v>0</v>
      </c>
      <c r="T998" s="42">
        <f>ROUND($B998*T$909,2)</f>
        <v>0</v>
      </c>
      <c r="U998" s="42">
        <f>ROUND($B998*U$909,2)</f>
        <v>0</v>
      </c>
      <c r="V998" s="42">
        <f>ROUND($B998*V$906,2)</f>
        <v>0</v>
      </c>
      <c r="W998" s="42">
        <f>ROUND($B998*W$909,2)</f>
        <v>0</v>
      </c>
      <c r="X998" s="42">
        <f>ROUND($B998*X$909,2)</f>
        <v>-0.01</v>
      </c>
      <c r="Y998" s="42">
        <f>ROUND($B998*Y$909,2)</f>
        <v>0</v>
      </c>
      <c r="Z998" s="42">
        <f>ROUND($B998*Z$909,2)</f>
        <v>0</v>
      </c>
      <c r="AA998" s="42">
        <f>ROUND($B998*AA$909,2)</f>
        <v>0</v>
      </c>
      <c r="AB998" s="19">
        <f>SUM(U977:AA977)</f>
        <v>0</v>
      </c>
      <c r="AC998" s="94" t="str">
        <f>+F998</f>
        <v>HL14</v>
      </c>
    </row>
    <row r="999" spans="1:29" x14ac:dyDescent="0.2">
      <c r="A999" s="9"/>
      <c r="B999" s="97">
        <v>-1</v>
      </c>
      <c r="D999" s="41"/>
      <c r="E999" s="80"/>
      <c r="F999" s="36"/>
      <c r="G999" s="98"/>
      <c r="H999" s="19"/>
      <c r="I999" s="19"/>
      <c r="J999" s="88"/>
      <c r="K999" s="42"/>
      <c r="L999" s="82"/>
      <c r="M999" s="42"/>
      <c r="N999" s="42"/>
      <c r="O999" s="42"/>
      <c r="P999" s="42"/>
      <c r="Q999" s="42"/>
      <c r="R999" s="38" t="e">
        <f>VLOOKUP((D1000),'Pwr Factor'!$A$1:$B$52,2)</f>
        <v>#N/A</v>
      </c>
      <c r="S999" s="50">
        <v>0.1</v>
      </c>
      <c r="T999" s="42"/>
      <c r="U999" s="42"/>
      <c r="V999" s="42"/>
      <c r="W999" s="42"/>
      <c r="X999" s="42"/>
      <c r="Y999" s="42"/>
      <c r="Z999" s="42"/>
      <c r="AA999" s="42"/>
      <c r="AB999" s="19"/>
      <c r="AC999" s="94"/>
    </row>
    <row r="1000" spans="1:29" x14ac:dyDescent="0.2">
      <c r="A1000" s="1" t="s">
        <v>154</v>
      </c>
      <c r="B1000" s="103">
        <f>IF(AND('AES Indiana Bill Calc.'!$D$17="HL1",'AES Indiana Bill Calc.'!$D$18="Yes 10%",'AES Indiana Bill Calc.'!$D$20="Yes 2024"),'AES Indiana Bill Calc.'!$D$19,-1)</f>
        <v>-1</v>
      </c>
      <c r="C1000" s="103">
        <f>MAX(E1000,$C$905)</f>
        <v>2000</v>
      </c>
      <c r="D1000" s="103" t="b">
        <f>IF(AND('AES Indiana Bill Calc.'!$D$17="HL1",'AES Indiana Bill Calc.'!$D$18="Yes 10%",'AES Indiana Bill Calc.'!$D$20="Yes 2024"),'AES Indiana Bill Calc.'!$D$22)</f>
        <v>0</v>
      </c>
      <c r="E1000" s="103" t="b">
        <f>IF(AND('AES Indiana Bill Calc.'!$D$17="HL1",'AES Indiana Bill Calc.'!$D$18="Yes 10%",'AES Indiana Bill Calc.'!$D$20="Yes 2024"),'AES Indiana Bill Calc.'!$D$21)</f>
        <v>0</v>
      </c>
      <c r="F1000" s="36" t="s">
        <v>294</v>
      </c>
      <c r="G1000" s="92" t="e">
        <f>SUM(J1000:M1000,R1000:AA1000)</f>
        <v>#N/A</v>
      </c>
      <c r="H1000" s="19" t="e">
        <f>IF(ISBLANK(B1000),0,+#REF!/B1000)</f>
        <v>#REF!</v>
      </c>
      <c r="I1000" s="19"/>
      <c r="J1000" s="88">
        <f>IF(ISBLANK(B1000),0,+J$909)</f>
        <v>130</v>
      </c>
      <c r="K1000" s="42">
        <f>ROUND($B1000*K$909,2)</f>
        <v>-0.04</v>
      </c>
      <c r="L1000" s="16">
        <f>IF(ISBLANK($C1000),0,IF($C1000&lt;$C$910,ROUND($C$910*$L$909,2),IF($C1000&gt;L$910,ROUND(L$910*L$909,2),ROUND($C1000*L$909,2))))</f>
        <v>55900</v>
      </c>
      <c r="M1000" s="17">
        <f>IF($C1000&gt;L$910,ROUND(($C1000-L$910)*M$909,2),0)</f>
        <v>0</v>
      </c>
      <c r="N1000" s="17">
        <f>K1000</f>
        <v>-0.04</v>
      </c>
      <c r="O1000" s="42"/>
      <c r="P1000" s="42"/>
      <c r="Q1000" s="17">
        <f>SUM(L1000:M1000)</f>
        <v>55900</v>
      </c>
      <c r="R1000" s="82" t="e">
        <f>ROUND(SUM(K1000:M1000)*(R999-1),2)</f>
        <v>#N/A</v>
      </c>
      <c r="S1000" s="42">
        <f>ROUND($B1000*S$909*S999,2)</f>
        <v>0</v>
      </c>
      <c r="T1000" s="42">
        <f>ROUND($B1000*T$909,2)</f>
        <v>0</v>
      </c>
      <c r="U1000" s="42">
        <f>ROUND($B1000*U$909,2)</f>
        <v>0</v>
      </c>
      <c r="V1000" s="42">
        <f>ROUND($B1000*V$906,2)</f>
        <v>0</v>
      </c>
      <c r="W1000" s="42">
        <f>ROUND($B1000*W$909,2)</f>
        <v>0</v>
      </c>
      <c r="X1000" s="42">
        <f>ROUND($B1000*X$909,2)</f>
        <v>-0.01</v>
      </c>
      <c r="Y1000" s="42">
        <f>ROUND($B1000*Y$909,2)</f>
        <v>0</v>
      </c>
      <c r="Z1000" s="42">
        <f>ROUND($B1000*Z$909,2)</f>
        <v>0</v>
      </c>
      <c r="AA1000" s="42">
        <f>ROUND($B1000*AA$909,2)</f>
        <v>0</v>
      </c>
      <c r="AB1000" s="19">
        <f>SUM(U979:AA979)</f>
        <v>0</v>
      </c>
      <c r="AC1000" s="94" t="str">
        <f>+F1000</f>
        <v>HL14</v>
      </c>
    </row>
    <row r="1001" spans="1:29" x14ac:dyDescent="0.2">
      <c r="A1001" s="9"/>
      <c r="B1001" s="97">
        <v>-1</v>
      </c>
      <c r="D1001" s="41"/>
      <c r="E1001" s="80"/>
      <c r="F1001" s="36"/>
      <c r="G1001" s="98"/>
      <c r="H1001" s="19"/>
      <c r="I1001" s="19"/>
      <c r="J1001" s="88"/>
      <c r="K1001" s="42"/>
      <c r="L1001" s="82"/>
      <c r="M1001" s="42"/>
      <c r="N1001" s="42"/>
      <c r="O1001" s="42"/>
      <c r="P1001" s="42"/>
      <c r="Q1001" s="42"/>
      <c r="R1001" s="38" t="e">
        <f>VLOOKUP((D1002),'Pwr Factor'!$A$1:$B$52,2)</f>
        <v>#N/A</v>
      </c>
      <c r="S1001" s="50">
        <v>0</v>
      </c>
      <c r="T1001" s="42"/>
      <c r="U1001" s="42"/>
      <c r="V1001" s="42"/>
      <c r="W1001" s="42"/>
      <c r="X1001" s="42"/>
      <c r="Y1001" s="42"/>
      <c r="Z1001" s="42"/>
      <c r="AA1001" s="42"/>
      <c r="AB1001" s="19"/>
      <c r="AC1001" s="94"/>
    </row>
    <row r="1002" spans="1:29" x14ac:dyDescent="0.2">
      <c r="A1002" s="1" t="s">
        <v>137</v>
      </c>
      <c r="B1002" s="103">
        <f>IF(AND('AES Indiana Bill Calc.'!$D$17="HL1",'AES Indiana Bill Calc.'!$D$18="No",'AES Indiana Bill Calc.'!$D$20="Yes 2024"),'AES Indiana Bill Calc.'!$D$19,-1)</f>
        <v>-1</v>
      </c>
      <c r="C1002" s="103">
        <f>MAX(E1002,$C$905)</f>
        <v>2000</v>
      </c>
      <c r="D1002" s="103" t="b">
        <f>IF(AND('AES Indiana Bill Calc.'!$D$17="HL1",'AES Indiana Bill Calc.'!$D$18="No",'AES Indiana Bill Calc.'!$D$20="Yes 2024"),'AES Indiana Bill Calc.'!$D$22)</f>
        <v>0</v>
      </c>
      <c r="E1002" s="103" t="b">
        <f>IF(AND('AES Indiana Bill Calc.'!$D$17="HL1",'AES Indiana Bill Calc.'!$D$18="No",'AES Indiana Bill Calc.'!$D$20="Yes 2024"),'AES Indiana Bill Calc.'!$D$21)</f>
        <v>0</v>
      </c>
      <c r="F1002" s="36" t="s">
        <v>294</v>
      </c>
      <c r="G1002" s="92" t="e">
        <f>SUM(J1002:M1002,R1002:AA1002)</f>
        <v>#N/A</v>
      </c>
      <c r="H1002" s="19" t="e">
        <f>IF(ISBLANK(B1002),0,+#REF!/B1002)</f>
        <v>#REF!</v>
      </c>
      <c r="I1002" s="19"/>
      <c r="J1002" s="88">
        <f>IF(ISBLANK(B1002),0,+J$909)</f>
        <v>130</v>
      </c>
      <c r="K1002" s="42">
        <f>ROUND($B1002*K$909,2)</f>
        <v>-0.04</v>
      </c>
      <c r="L1002" s="16">
        <f>IF(ISBLANK($C1002),0,IF($C1002&lt;$C$910,ROUND($C$910*$L$909,2),IF($C1002&gt;L$910,ROUND(L$910*L$909,2),ROUND($C1002*L$909,2))))</f>
        <v>55900</v>
      </c>
      <c r="M1002" s="17">
        <f>IF($C1002&gt;L$910,ROUND(($C1002-L$910)*M$909,2),0)</f>
        <v>0</v>
      </c>
      <c r="N1002" s="17">
        <f>K1002</f>
        <v>-0.04</v>
      </c>
      <c r="O1002" s="42"/>
      <c r="P1002" s="42"/>
      <c r="Q1002" s="17">
        <f>SUM(L1002:M1002)</f>
        <v>55900</v>
      </c>
      <c r="R1002" s="82" t="e">
        <f>ROUND(SUM(K1002:M1002)*(R1001-1),2)</f>
        <v>#N/A</v>
      </c>
      <c r="S1002" s="42">
        <f>ROUND($B1002*S$909*S1001,2)</f>
        <v>0</v>
      </c>
      <c r="T1002" s="42">
        <f>ROUND($B1002*T$909,2)</f>
        <v>0</v>
      </c>
      <c r="U1002" s="42">
        <f>ROUND($B1002*U$909,2)</f>
        <v>0</v>
      </c>
      <c r="V1002" s="42">
        <f>ROUND($B1002*V$906,2)</f>
        <v>0</v>
      </c>
      <c r="W1002" s="42">
        <f>ROUND($B1002*W$909,2)</f>
        <v>0</v>
      </c>
      <c r="X1002" s="42">
        <f>ROUND($B1002*X$909,2)</f>
        <v>-0.01</v>
      </c>
      <c r="Y1002" s="42">
        <f>ROUND($B1002*Y$909,2)</f>
        <v>0</v>
      </c>
      <c r="Z1002" s="42">
        <f>ROUND($B1002*Z$909,2)</f>
        <v>0</v>
      </c>
      <c r="AA1002" s="42">
        <f>ROUND($B1002*AA$909,2)</f>
        <v>0</v>
      </c>
      <c r="AB1002" s="19">
        <f>SUM(U981:AA981)</f>
        <v>0</v>
      </c>
      <c r="AC1002" s="94" t="str">
        <f>+F1002</f>
        <v>HL14</v>
      </c>
    </row>
    <row r="1003" spans="1:29" x14ac:dyDescent="0.2">
      <c r="A1003" s="53"/>
      <c r="B1003" s="97">
        <v>-1</v>
      </c>
      <c r="D1003" s="41"/>
      <c r="E1003" s="80"/>
      <c r="F1003" s="36"/>
      <c r="G1003" s="98"/>
      <c r="H1003" s="19"/>
      <c r="I1003" s="19"/>
      <c r="J1003" s="88"/>
      <c r="K1003" s="42"/>
      <c r="L1003" s="82"/>
      <c r="M1003" s="42"/>
      <c r="N1003" s="42"/>
      <c r="O1003" s="42"/>
      <c r="P1003" s="42"/>
      <c r="Q1003" s="42"/>
      <c r="R1003" s="38" t="e">
        <f>VLOOKUP((D1004),'Pwr Factor'!$A$1:$B$52,2)</f>
        <v>#N/A</v>
      </c>
      <c r="S1003" s="50">
        <v>1</v>
      </c>
      <c r="T1003" s="42"/>
      <c r="U1003" s="42"/>
      <c r="V1003" s="42"/>
      <c r="W1003" s="42"/>
      <c r="X1003" s="42"/>
      <c r="Y1003" s="42"/>
      <c r="Z1003" s="42"/>
      <c r="AA1003" s="42"/>
      <c r="AB1003" s="19"/>
      <c r="AC1003" s="94"/>
    </row>
    <row r="1004" spans="1:29" x14ac:dyDescent="0.2">
      <c r="A1004" s="1" t="s">
        <v>138</v>
      </c>
      <c r="B1004" s="103">
        <f>IF(AND('AES Indiana Bill Calc.'!$D$17="HL1",'AES Indiana Bill Calc.'!$D$18="Yes 100%",'AES Indiana Bill Calc.'!$D$20="Yes 2025"),'AES Indiana Bill Calc.'!$D$19,-1)</f>
        <v>-1</v>
      </c>
      <c r="C1004" s="103">
        <f>MAX(E1004,$C$905)</f>
        <v>2000</v>
      </c>
      <c r="D1004" s="103" t="b">
        <f>IF(AND('AES Indiana Bill Calc.'!$D$17="HL1",'AES Indiana Bill Calc.'!$D$18="Yes 100%",'AES Indiana Bill Calc.'!$D$20="Yes 2025"),'AES Indiana Bill Calc.'!$D$22)</f>
        <v>0</v>
      </c>
      <c r="E1004" s="103" t="b">
        <f>IF(AND('AES Indiana Bill Calc.'!$D$17="HL1",'AES Indiana Bill Calc.'!$D$18="Yes 100%",'AES Indiana Bill Calc.'!$D$20="Yes 2025"),'AES Indiana Bill Calc.'!$D$21)</f>
        <v>0</v>
      </c>
      <c r="F1004" s="36" t="s">
        <v>321</v>
      </c>
      <c r="G1004" s="92" t="e">
        <f>SUM(J1004:M1004,R1004:AA1004)</f>
        <v>#N/A</v>
      </c>
      <c r="H1004" s="19" t="e">
        <f>IF(ISBLANK(B1004),0,+#REF!/B1004)</f>
        <v>#REF!</v>
      </c>
      <c r="I1004" s="19"/>
      <c r="J1004" s="88">
        <f>IF(ISBLANK(B1004),0,+J$909)</f>
        <v>130</v>
      </c>
      <c r="K1004" s="42">
        <f>ROUND($B1004*K$909,2)</f>
        <v>-0.04</v>
      </c>
      <c r="L1004" s="16">
        <f>IF(ISBLANK($C1004),0,IF($C1004&lt;$C$910,ROUND($C$910*$L$909,2),IF($C1004&gt;L$910,ROUND(L$910*L$909,2),ROUND($C1004*L$909,2))))</f>
        <v>55900</v>
      </c>
      <c r="M1004" s="17">
        <f>IF($C1004&gt;L$910,ROUND(($C1004-L$910)*M$909,2),0)</f>
        <v>0</v>
      </c>
      <c r="N1004" s="17">
        <f>K1004</f>
        <v>-0.04</v>
      </c>
      <c r="O1004" s="42"/>
      <c r="P1004" s="42"/>
      <c r="Q1004" s="17">
        <f>SUM(L1004:M1004)</f>
        <v>55900</v>
      </c>
      <c r="R1004" s="82" t="e">
        <f>ROUND(SUM(K1004:M1004)*(R1003-1),2)</f>
        <v>#N/A</v>
      </c>
      <c r="S1004" s="42">
        <f>ROUND($B1004*S$909*S1003,2)</f>
        <v>0</v>
      </c>
      <c r="T1004" s="42">
        <f>ROUND($B1004*T$909,2)</f>
        <v>0</v>
      </c>
      <c r="U1004" s="42">
        <f>ROUND($B1004*U$909,2)</f>
        <v>0</v>
      </c>
      <c r="V1004" s="42">
        <f>ROUND($B1004*V$907,2)</f>
        <v>-0.01</v>
      </c>
      <c r="W1004" s="42">
        <f>ROUND($B1004*W$909,2)</f>
        <v>0</v>
      </c>
      <c r="X1004" s="42">
        <f>ROUND($B1004*X$909,2)</f>
        <v>-0.01</v>
      </c>
      <c r="Y1004" s="42">
        <f>ROUND($B1004*Y$909,2)</f>
        <v>0</v>
      </c>
      <c r="Z1004" s="42">
        <f>ROUND($B1004*Z$909,2)</f>
        <v>0</v>
      </c>
      <c r="AA1004" s="42">
        <f>ROUND($B1004*AA$909,2)</f>
        <v>0</v>
      </c>
      <c r="AB1004" s="19">
        <f>SUM(U983:AA983)</f>
        <v>0</v>
      </c>
      <c r="AC1004" s="94" t="str">
        <f>+F1004</f>
        <v>HL15</v>
      </c>
    </row>
    <row r="1005" spans="1:29" x14ac:dyDescent="0.2">
      <c r="A1005" s="9"/>
      <c r="B1005" s="97">
        <v>-1</v>
      </c>
      <c r="D1005" s="41"/>
      <c r="E1005" s="80"/>
      <c r="F1005" s="36"/>
      <c r="G1005" s="98"/>
      <c r="H1005" s="19"/>
      <c r="I1005" s="19"/>
      <c r="J1005" s="88"/>
      <c r="K1005" s="42"/>
      <c r="L1005" s="82"/>
      <c r="M1005" s="42"/>
      <c r="N1005" s="42"/>
      <c r="O1005" s="42"/>
      <c r="P1005" s="42"/>
      <c r="Q1005" s="42"/>
      <c r="R1005" s="38" t="e">
        <f>VLOOKUP((D1006),'Pwr Factor'!$A$1:$B$52,2)</f>
        <v>#N/A</v>
      </c>
      <c r="S1005" s="50">
        <v>0.5</v>
      </c>
      <c r="T1005" s="42"/>
      <c r="U1005" s="42"/>
      <c r="V1005" s="42"/>
      <c r="W1005" s="42"/>
      <c r="X1005" s="42"/>
      <c r="Y1005" s="42"/>
      <c r="Z1005" s="42"/>
      <c r="AA1005" s="42"/>
      <c r="AB1005" s="19"/>
      <c r="AC1005" s="94"/>
    </row>
    <row r="1006" spans="1:29" x14ac:dyDescent="0.2">
      <c r="A1006" s="1" t="s">
        <v>139</v>
      </c>
      <c r="B1006" s="103">
        <f>IF(AND('AES Indiana Bill Calc.'!$D$17="HL1",'AES Indiana Bill Calc.'!$D$18="Yes 50%",'AES Indiana Bill Calc.'!$D$20="Yes 2025"),'AES Indiana Bill Calc.'!$D$19,-1)</f>
        <v>-1</v>
      </c>
      <c r="C1006" s="103">
        <f>MAX(E1006,$C$905)</f>
        <v>2000</v>
      </c>
      <c r="D1006" s="103" t="b">
        <f>IF(AND('AES Indiana Bill Calc.'!$D$17="HL1",'AES Indiana Bill Calc.'!$D$18="Yes 50%",'AES Indiana Bill Calc.'!$D$20="Yes 2025"),'AES Indiana Bill Calc.'!$D$22)</f>
        <v>0</v>
      </c>
      <c r="E1006" s="103" t="b">
        <f>IF(AND('AES Indiana Bill Calc.'!$D$17="HL1",'AES Indiana Bill Calc.'!$D$18="Yes 50%",'AES Indiana Bill Calc.'!$D$20="Yes 2025"),'AES Indiana Bill Calc.'!$D$21)</f>
        <v>0</v>
      </c>
      <c r="F1006" s="36" t="s">
        <v>321</v>
      </c>
      <c r="G1006" s="92" t="e">
        <f>SUM(J1006:M1006,R1006:AA1006)</f>
        <v>#N/A</v>
      </c>
      <c r="H1006" s="19" t="e">
        <f>IF(ISBLANK(B1006),0,+#REF!/B1006)</f>
        <v>#REF!</v>
      </c>
      <c r="I1006" s="19"/>
      <c r="J1006" s="88">
        <f>IF(ISBLANK(B1006),0,+J$909)</f>
        <v>130</v>
      </c>
      <c r="K1006" s="42">
        <f>ROUND($B1006*K$909,2)</f>
        <v>-0.04</v>
      </c>
      <c r="L1006" s="16">
        <f>IF(ISBLANK($C1006),0,IF($C1006&lt;$C$910,ROUND($C$910*$L$909,2),IF($C1006&gt;L$910,ROUND(L$910*L$909,2),ROUND($C1006*L$909,2))))</f>
        <v>55900</v>
      </c>
      <c r="M1006" s="17">
        <f>IF($C1006&gt;L$910,ROUND(($C1006-L$910)*M$909,2),0)</f>
        <v>0</v>
      </c>
      <c r="N1006" s="17">
        <f>K1006</f>
        <v>-0.04</v>
      </c>
      <c r="O1006" s="42"/>
      <c r="P1006" s="42"/>
      <c r="Q1006" s="17">
        <f>SUM(L1006:M1006)</f>
        <v>55900</v>
      </c>
      <c r="R1006" s="82" t="e">
        <f>ROUND(SUM(K1006:M1006)*(R1005-1),2)</f>
        <v>#N/A</v>
      </c>
      <c r="S1006" s="42">
        <f>ROUND($B1006*S$909*S1005,2)</f>
        <v>0</v>
      </c>
      <c r="T1006" s="42">
        <f>ROUND($B1006*T$909,2)</f>
        <v>0</v>
      </c>
      <c r="U1006" s="42">
        <f>ROUND($B1006*U$909,2)</f>
        <v>0</v>
      </c>
      <c r="V1006" s="42">
        <f>ROUND($B1006*V$907,2)</f>
        <v>-0.01</v>
      </c>
      <c r="W1006" s="42">
        <f>ROUND($B1006*W$909,2)</f>
        <v>0</v>
      </c>
      <c r="X1006" s="42">
        <f>ROUND($B1006*X$909,2)</f>
        <v>-0.01</v>
      </c>
      <c r="Y1006" s="42">
        <f>ROUND($B1006*Y$909,2)</f>
        <v>0</v>
      </c>
      <c r="Z1006" s="42">
        <f>ROUND($B1006*Z$909,2)</f>
        <v>0</v>
      </c>
      <c r="AA1006" s="42">
        <f>ROUND($B1006*AA$909,2)</f>
        <v>0</v>
      </c>
      <c r="AB1006" s="19">
        <f>SUM(U985:AA985)</f>
        <v>0</v>
      </c>
      <c r="AC1006" s="94" t="str">
        <f>+F1006</f>
        <v>HL15</v>
      </c>
    </row>
    <row r="1007" spans="1:29" x14ac:dyDescent="0.2">
      <c r="A1007" s="9"/>
      <c r="B1007" s="97">
        <v>-1</v>
      </c>
      <c r="D1007" s="41"/>
      <c r="E1007" s="80"/>
      <c r="F1007" s="36"/>
      <c r="G1007" s="98"/>
      <c r="H1007" s="19"/>
      <c r="I1007" s="19"/>
      <c r="J1007" s="88"/>
      <c r="K1007" s="42"/>
      <c r="L1007" s="82"/>
      <c r="M1007" s="42"/>
      <c r="N1007" s="42"/>
      <c r="O1007" s="42"/>
      <c r="P1007" s="42"/>
      <c r="Q1007" s="42"/>
      <c r="R1007" s="38" t="e">
        <f>VLOOKUP((D1008),'Pwr Factor'!$A$1:$B$52,2)</f>
        <v>#N/A</v>
      </c>
      <c r="S1007" s="50">
        <v>0.25</v>
      </c>
      <c r="T1007" s="42"/>
      <c r="U1007" s="42"/>
      <c r="V1007" s="42"/>
      <c r="W1007" s="42"/>
      <c r="X1007" s="42"/>
      <c r="Y1007" s="42"/>
      <c r="Z1007" s="42"/>
      <c r="AA1007" s="42"/>
      <c r="AB1007" s="19"/>
      <c r="AC1007" s="94"/>
    </row>
    <row r="1008" spans="1:29" x14ac:dyDescent="0.2">
      <c r="A1008" s="1" t="s">
        <v>140</v>
      </c>
      <c r="B1008" s="103">
        <f>IF(AND('AES Indiana Bill Calc.'!$D$17="HL1",'AES Indiana Bill Calc.'!$D$18="Yes 25%",'AES Indiana Bill Calc.'!$D$20="Yes 2025"),'AES Indiana Bill Calc.'!$D$19,-1)</f>
        <v>-1</v>
      </c>
      <c r="C1008" s="103">
        <f>MAX(E1008,$C$905)</f>
        <v>2000</v>
      </c>
      <c r="D1008" s="103" t="b">
        <f>IF(AND('AES Indiana Bill Calc.'!$D$17="HL1",'AES Indiana Bill Calc.'!$D$18="Yes 25%",'AES Indiana Bill Calc.'!$D$20="Yes 2025"),'AES Indiana Bill Calc.'!$D$22)</f>
        <v>0</v>
      </c>
      <c r="E1008" s="103" t="b">
        <f>IF(AND('AES Indiana Bill Calc.'!$D$17="HL1",'AES Indiana Bill Calc.'!$D$18="Yes 25%",'AES Indiana Bill Calc.'!$D$20="Yes 2025"),'AES Indiana Bill Calc.'!$D$21)</f>
        <v>0</v>
      </c>
      <c r="F1008" s="36" t="s">
        <v>321</v>
      </c>
      <c r="G1008" s="92" t="e">
        <f>SUM(J1008:M1008,R1008:AA1008)</f>
        <v>#N/A</v>
      </c>
      <c r="H1008" s="19" t="e">
        <f>IF(ISBLANK(B1008),0,+#REF!/B1008)</f>
        <v>#REF!</v>
      </c>
      <c r="I1008" s="19"/>
      <c r="J1008" s="88">
        <f>IF(ISBLANK(B1008),0,+J$909)</f>
        <v>130</v>
      </c>
      <c r="K1008" s="42">
        <f>ROUND($B1008*K$909,2)</f>
        <v>-0.04</v>
      </c>
      <c r="L1008" s="16">
        <f>IF(ISBLANK($C1008),0,IF($C1008&lt;$C$910,ROUND($C$910*$L$909,2),IF($C1008&gt;L$910,ROUND(L$910*L$909,2),ROUND($C1008*L$909,2))))</f>
        <v>55900</v>
      </c>
      <c r="M1008" s="17">
        <f>IF($C1008&gt;L$910,ROUND(($C1008-L$910)*M$909,2),0)</f>
        <v>0</v>
      </c>
      <c r="N1008" s="17">
        <f>K1008</f>
        <v>-0.04</v>
      </c>
      <c r="O1008" s="42"/>
      <c r="P1008" s="42"/>
      <c r="Q1008" s="17">
        <f>SUM(L1008:M1008)</f>
        <v>55900</v>
      </c>
      <c r="R1008" s="82" t="e">
        <f>ROUND(SUM(K1008:M1008)*(R1007-1),2)</f>
        <v>#N/A</v>
      </c>
      <c r="S1008" s="42">
        <f>ROUND($B1008*S$909*S1007,2)</f>
        <v>0</v>
      </c>
      <c r="T1008" s="42">
        <f>ROUND($B1008*T$909,2)</f>
        <v>0</v>
      </c>
      <c r="U1008" s="42">
        <f>ROUND($B1008*U$909,2)</f>
        <v>0</v>
      </c>
      <c r="V1008" s="42">
        <f>ROUND($B1008*V$907,2)</f>
        <v>-0.01</v>
      </c>
      <c r="W1008" s="42">
        <f>ROUND($B1008*W$909,2)</f>
        <v>0</v>
      </c>
      <c r="X1008" s="42">
        <f>ROUND($B1008*X$909,2)</f>
        <v>-0.01</v>
      </c>
      <c r="Y1008" s="42">
        <f>ROUND($B1008*Y$909,2)</f>
        <v>0</v>
      </c>
      <c r="Z1008" s="42">
        <f>ROUND($B1008*Z$909,2)</f>
        <v>0</v>
      </c>
      <c r="AA1008" s="42">
        <f>ROUND($B1008*AA$909,2)</f>
        <v>0</v>
      </c>
      <c r="AB1008" s="19">
        <f>SUM(U987:AA987)</f>
        <v>0</v>
      </c>
      <c r="AC1008" s="94" t="str">
        <f>+F1008</f>
        <v>HL15</v>
      </c>
    </row>
    <row r="1009" spans="1:29" x14ac:dyDescent="0.2">
      <c r="A1009" s="9"/>
      <c r="B1009" s="97">
        <v>-1</v>
      </c>
      <c r="D1009" s="41"/>
      <c r="E1009" s="80"/>
      <c r="F1009" s="36"/>
      <c r="G1009" s="98"/>
      <c r="H1009" s="19"/>
      <c r="I1009" s="19"/>
      <c r="J1009" s="88"/>
      <c r="K1009" s="42"/>
      <c r="L1009" s="82"/>
      <c r="M1009" s="42"/>
      <c r="N1009" s="42"/>
      <c r="O1009" s="42"/>
      <c r="P1009" s="42"/>
      <c r="Q1009" s="42"/>
      <c r="R1009" s="38" t="e">
        <f>VLOOKUP((D1010),'Pwr Factor'!$A$1:$B$52,2)</f>
        <v>#N/A</v>
      </c>
      <c r="S1009" s="50">
        <v>0.1</v>
      </c>
      <c r="T1009" s="42"/>
      <c r="U1009" s="42"/>
      <c r="V1009" s="42"/>
      <c r="W1009" s="42"/>
      <c r="X1009" s="42"/>
      <c r="Y1009" s="42"/>
      <c r="Z1009" s="42"/>
      <c r="AA1009" s="42"/>
      <c r="AB1009" s="19"/>
      <c r="AC1009" s="94"/>
    </row>
    <row r="1010" spans="1:29" x14ac:dyDescent="0.2">
      <c r="A1010" s="1" t="s">
        <v>154</v>
      </c>
      <c r="B1010" s="103">
        <f>IF(AND('AES Indiana Bill Calc.'!$D$17="HL1",'AES Indiana Bill Calc.'!$D$18="Yes 10%",'AES Indiana Bill Calc.'!$D$20="Yes 2025"),'AES Indiana Bill Calc.'!$D$19,-1)</f>
        <v>-1</v>
      </c>
      <c r="C1010" s="103">
        <f>MAX(E1010,$C$905)</f>
        <v>2000</v>
      </c>
      <c r="D1010" s="103" t="b">
        <f>IF(AND('AES Indiana Bill Calc.'!$D$17="HL1",'AES Indiana Bill Calc.'!$D$18="Yes 10%",'AES Indiana Bill Calc.'!$D$20="Yes 2025"),'AES Indiana Bill Calc.'!$D$22)</f>
        <v>0</v>
      </c>
      <c r="E1010" s="103" t="b">
        <f>IF(AND('AES Indiana Bill Calc.'!$D$17="HL1",'AES Indiana Bill Calc.'!$D$18="Yes 10%",'AES Indiana Bill Calc.'!$D$20="Yes 2025"),'AES Indiana Bill Calc.'!$D$21)</f>
        <v>0</v>
      </c>
      <c r="F1010" s="36" t="s">
        <v>321</v>
      </c>
      <c r="G1010" s="92" t="e">
        <f>SUM(J1010:M1010,R1010:AA1010)</f>
        <v>#N/A</v>
      </c>
      <c r="H1010" s="19" t="e">
        <f>IF(ISBLANK(B1010),0,+#REF!/B1010)</f>
        <v>#REF!</v>
      </c>
      <c r="I1010" s="19"/>
      <c r="J1010" s="88">
        <f>IF(ISBLANK(B1010),0,+J$909)</f>
        <v>130</v>
      </c>
      <c r="K1010" s="42">
        <f>ROUND($B1010*K$909,2)</f>
        <v>-0.04</v>
      </c>
      <c r="L1010" s="16">
        <f>IF(ISBLANK($C1010),0,IF($C1010&lt;$C$910,ROUND($C$910*$L$909,2),IF($C1010&gt;L$910,ROUND(L$910*L$909,2),ROUND($C1010*L$909,2))))</f>
        <v>55900</v>
      </c>
      <c r="M1010" s="17">
        <f>IF($C1010&gt;L$910,ROUND(($C1010-L$910)*M$909,2),0)</f>
        <v>0</v>
      </c>
      <c r="N1010" s="17">
        <f>K1010</f>
        <v>-0.04</v>
      </c>
      <c r="O1010" s="42"/>
      <c r="P1010" s="42"/>
      <c r="Q1010" s="17">
        <f>SUM(L1010:M1010)</f>
        <v>55900</v>
      </c>
      <c r="R1010" s="82" t="e">
        <f>ROUND(SUM(K1010:M1010)*(R1009-1),2)</f>
        <v>#N/A</v>
      </c>
      <c r="S1010" s="42">
        <f>ROUND($B1010*S$909*S1009,2)</f>
        <v>0</v>
      </c>
      <c r="T1010" s="42">
        <f>ROUND($B1010*T$909,2)</f>
        <v>0</v>
      </c>
      <c r="U1010" s="42">
        <f>ROUND($B1010*U$909,2)</f>
        <v>0</v>
      </c>
      <c r="V1010" s="42">
        <f>ROUND($B1010*V$907,2)</f>
        <v>-0.01</v>
      </c>
      <c r="W1010" s="42">
        <f>ROUND($B1010*W$909,2)</f>
        <v>0</v>
      </c>
      <c r="X1010" s="42">
        <f>ROUND($B1010*X$909,2)</f>
        <v>-0.01</v>
      </c>
      <c r="Y1010" s="42">
        <f>ROUND($B1010*Y$909,2)</f>
        <v>0</v>
      </c>
      <c r="Z1010" s="42">
        <f>ROUND($B1010*Z$909,2)</f>
        <v>0</v>
      </c>
      <c r="AA1010" s="42">
        <f>ROUND($B1010*AA$909,2)</f>
        <v>0</v>
      </c>
      <c r="AB1010" s="19">
        <f>SUM(U989:AA989)</f>
        <v>0</v>
      </c>
      <c r="AC1010" s="94" t="str">
        <f>+F1010</f>
        <v>HL15</v>
      </c>
    </row>
    <row r="1011" spans="1:29" x14ac:dyDescent="0.2">
      <c r="A1011" s="9"/>
      <c r="B1011" s="97">
        <v>-1</v>
      </c>
      <c r="D1011" s="41"/>
      <c r="E1011" s="80"/>
      <c r="F1011" s="36"/>
      <c r="G1011" s="98"/>
      <c r="H1011" s="19"/>
      <c r="I1011" s="19"/>
      <c r="J1011" s="88"/>
      <c r="K1011" s="42"/>
      <c r="L1011" s="82"/>
      <c r="M1011" s="42"/>
      <c r="N1011" s="42"/>
      <c r="O1011" s="42"/>
      <c r="P1011" s="42"/>
      <c r="Q1011" s="42"/>
      <c r="R1011" s="38" t="e">
        <f>VLOOKUP((D1012),'Pwr Factor'!$A$1:$B$52,2)</f>
        <v>#N/A</v>
      </c>
      <c r="S1011" s="50">
        <v>0</v>
      </c>
      <c r="T1011" s="42"/>
      <c r="U1011" s="42"/>
      <c r="V1011" s="42"/>
      <c r="W1011" s="42"/>
      <c r="X1011" s="42"/>
      <c r="Y1011" s="42"/>
      <c r="Z1011" s="42"/>
      <c r="AA1011" s="42"/>
      <c r="AB1011" s="19"/>
      <c r="AC1011" s="94"/>
    </row>
    <row r="1012" spans="1:29" x14ac:dyDescent="0.2">
      <c r="A1012" s="1" t="s">
        <v>137</v>
      </c>
      <c r="B1012" s="103">
        <f>IF(AND('AES Indiana Bill Calc.'!$D$17="HL1",'AES Indiana Bill Calc.'!$D$18="No",'AES Indiana Bill Calc.'!$D$20="Yes 2025"),'AES Indiana Bill Calc.'!$D$19,-1)</f>
        <v>-1</v>
      </c>
      <c r="C1012" s="103">
        <f>MAX(E1012,$C$905)</f>
        <v>2000</v>
      </c>
      <c r="D1012" s="103" t="b">
        <f>IF(AND('AES Indiana Bill Calc.'!$D$17="HL1",'AES Indiana Bill Calc.'!$D$18="No",'AES Indiana Bill Calc.'!$D$20="Yes 2025"),'AES Indiana Bill Calc.'!$D$22)</f>
        <v>0</v>
      </c>
      <c r="E1012" s="103" t="b">
        <f>IF(AND('AES Indiana Bill Calc.'!$D$17="HL1",'AES Indiana Bill Calc.'!$D$18="No",'AES Indiana Bill Calc.'!$D$20="Yes 2025"),'AES Indiana Bill Calc.'!$D$21)</f>
        <v>0</v>
      </c>
      <c r="F1012" s="36" t="s">
        <v>321</v>
      </c>
      <c r="G1012" s="92" t="e">
        <f>SUM(J1012:M1012,R1012:AA1012)</f>
        <v>#N/A</v>
      </c>
      <c r="H1012" s="19" t="e">
        <f>IF(ISBLANK(B1012),0,+#REF!/B1012)</f>
        <v>#REF!</v>
      </c>
      <c r="I1012" s="19"/>
      <c r="J1012" s="88">
        <f>IF(ISBLANK(B1012),0,+J$909)</f>
        <v>130</v>
      </c>
      <c r="K1012" s="42">
        <f>ROUND($B1012*K$909,2)</f>
        <v>-0.04</v>
      </c>
      <c r="L1012" s="16">
        <f>IF(ISBLANK($C1012),0,IF($C1012&lt;$C$910,ROUND($C$910*$L$909,2),IF($C1012&gt;L$910,ROUND(L$910*L$909,2),ROUND($C1012*L$909,2))))</f>
        <v>55900</v>
      </c>
      <c r="M1012" s="17">
        <f>IF($C1012&gt;L$910,ROUND(($C1012-L$910)*M$909,2),0)</f>
        <v>0</v>
      </c>
      <c r="N1012" s="17">
        <f>K1012</f>
        <v>-0.04</v>
      </c>
      <c r="O1012" s="42"/>
      <c r="P1012" s="42"/>
      <c r="Q1012" s="17">
        <f>SUM(L1012:M1012)</f>
        <v>55900</v>
      </c>
      <c r="R1012" s="82" t="e">
        <f>ROUND(SUM(K1012:M1012)*(R1011-1),2)</f>
        <v>#N/A</v>
      </c>
      <c r="S1012" s="42">
        <f>ROUND($B1012*S$909*S1011,2)</f>
        <v>0</v>
      </c>
      <c r="T1012" s="42">
        <f>ROUND($B1012*T$909,2)</f>
        <v>0</v>
      </c>
      <c r="U1012" s="42">
        <f>ROUND($B1012*U$909,2)</f>
        <v>0</v>
      </c>
      <c r="V1012" s="42">
        <f>ROUND($B1012*V$907,2)</f>
        <v>-0.01</v>
      </c>
      <c r="W1012" s="42">
        <f>ROUND($B1012*W$909,2)</f>
        <v>0</v>
      </c>
      <c r="X1012" s="42">
        <f>ROUND($B1012*X$909,2)</f>
        <v>-0.01</v>
      </c>
      <c r="Y1012" s="42">
        <f>ROUND($B1012*Y$909,2)</f>
        <v>0</v>
      </c>
      <c r="Z1012" s="42">
        <f>ROUND($B1012*Z$909,2)</f>
        <v>0</v>
      </c>
      <c r="AA1012" s="42">
        <f>ROUND($B1012*AA$909,2)</f>
        <v>0</v>
      </c>
      <c r="AB1012" s="19">
        <f>SUM(U991:AA991)</f>
        <v>0</v>
      </c>
      <c r="AC1012" s="94" t="str">
        <f>+F1012</f>
        <v>HL15</v>
      </c>
    </row>
    <row r="1013" spans="1:29" x14ac:dyDescent="0.2">
      <c r="A1013" s="53"/>
      <c r="B1013" s="97">
        <v>-1</v>
      </c>
      <c r="D1013" s="41"/>
      <c r="E1013" s="80"/>
      <c r="F1013" s="36"/>
      <c r="G1013" s="98"/>
      <c r="H1013" s="19"/>
      <c r="I1013" s="19"/>
      <c r="J1013" s="88"/>
      <c r="K1013" s="42"/>
      <c r="L1013" s="82"/>
      <c r="M1013" s="42"/>
      <c r="N1013" s="42"/>
      <c r="O1013" s="42"/>
      <c r="P1013" s="42"/>
      <c r="Q1013" s="42"/>
      <c r="R1013" s="38" t="e">
        <f>VLOOKUP((D1014),'Pwr Factor'!$A$1:$B$52,2)</f>
        <v>#N/A</v>
      </c>
      <c r="S1013" s="50">
        <v>1</v>
      </c>
      <c r="T1013" s="42"/>
      <c r="U1013" s="42"/>
      <c r="V1013" s="42"/>
      <c r="W1013" s="42"/>
      <c r="X1013" s="42"/>
      <c r="Y1013" s="42"/>
      <c r="Z1013" s="42"/>
      <c r="AA1013" s="42"/>
      <c r="AB1013" s="19"/>
      <c r="AC1013" s="94"/>
    </row>
    <row r="1014" spans="1:29" x14ac:dyDescent="0.2">
      <c r="A1014" s="1" t="s">
        <v>138</v>
      </c>
      <c r="B1014" s="103">
        <f>IF(AND('AES Indiana Bill Calc.'!$D$17="HL1",'AES Indiana Bill Calc.'!$D$18="Yes 100%",'AES Indiana Bill Calc.'!$D$20="Yes 2026"),'AES Indiana Bill Calc.'!$D$19,-1)</f>
        <v>-1</v>
      </c>
      <c r="C1014" s="103">
        <f>MAX(E1014,$C$905)</f>
        <v>2000</v>
      </c>
      <c r="D1014" s="103" t="b">
        <f>IF(AND('AES Indiana Bill Calc.'!$D$17="HL1",'AES Indiana Bill Calc.'!$D$18="Yes 100%",'AES Indiana Bill Calc.'!$D$20="Yes 2025"),'AES Indiana Bill Calc.'!$D$22)</f>
        <v>0</v>
      </c>
      <c r="E1014" s="103" t="b">
        <f>IF(AND('AES Indiana Bill Calc.'!$D$17="HL1",'AES Indiana Bill Calc.'!$D$18="Yes 100%",'AES Indiana Bill Calc.'!$D$20="Yes 2025"),'AES Indiana Bill Calc.'!$D$21)</f>
        <v>0</v>
      </c>
      <c r="F1014" s="36" t="s">
        <v>382</v>
      </c>
      <c r="G1014" s="92" t="e">
        <f>SUM(J1014:M1014,R1014:AA1014)</f>
        <v>#N/A</v>
      </c>
      <c r="H1014" s="19" t="e">
        <f>IF(ISBLANK(B1014),0,+#REF!/B1014)</f>
        <v>#REF!</v>
      </c>
      <c r="I1014" s="19"/>
      <c r="J1014" s="88">
        <f>IF(ISBLANK(B1014),0,+J$909)</f>
        <v>130</v>
      </c>
      <c r="K1014" s="42">
        <f>ROUND($B1014*K$909,2)</f>
        <v>-0.04</v>
      </c>
      <c r="L1014" s="16">
        <f>IF(ISBLANK($C1014),0,IF($C1014&lt;$C$910,ROUND($C$910*$L$909,2),IF($C1014&gt;L$910,ROUND(L$910*L$909,2),ROUND($C1014*L$909,2))))</f>
        <v>55900</v>
      </c>
      <c r="M1014" s="17">
        <f>IF($C1014&gt;L$910,ROUND(($C1014-L$910)*M$909,2),0)</f>
        <v>0</v>
      </c>
      <c r="N1014" s="17">
        <f>K1014</f>
        <v>-0.04</v>
      </c>
      <c r="O1014" s="42"/>
      <c r="P1014" s="42"/>
      <c r="Q1014" s="17">
        <f>SUM(L1014:M1014)</f>
        <v>55900</v>
      </c>
      <c r="R1014" s="82" t="e">
        <f>ROUND(SUM(K1014:M1014)*(R1013-1),2)</f>
        <v>#N/A</v>
      </c>
      <c r="S1014" s="42">
        <f>ROUND($B1014*S$909*S1013,2)</f>
        <v>0</v>
      </c>
      <c r="T1014" s="42">
        <f>ROUND($B1014*T$909,2)</f>
        <v>0</v>
      </c>
      <c r="U1014" s="42">
        <f>ROUND($B1014*U$909,2)</f>
        <v>0</v>
      </c>
      <c r="V1014" s="42">
        <f>ROUND($B1014*V$908,2)</f>
        <v>-0.01</v>
      </c>
      <c r="W1014" s="42">
        <f>ROUND($B1014*W$909,2)</f>
        <v>0</v>
      </c>
      <c r="X1014" s="42">
        <f>ROUND($B1014*X$909,2)</f>
        <v>-0.01</v>
      </c>
      <c r="Y1014" s="42">
        <f>ROUND($B1014*Y$909,2)</f>
        <v>0</v>
      </c>
      <c r="Z1014" s="42">
        <f>ROUND($B1014*Z$909,2)</f>
        <v>0</v>
      </c>
      <c r="AA1014" s="42">
        <f>ROUND($B1014*AA$909,2)</f>
        <v>0</v>
      </c>
      <c r="AB1014" s="19">
        <f>SUM(U993:AA993)</f>
        <v>0</v>
      </c>
      <c r="AC1014" s="94" t="str">
        <f>+F1014</f>
        <v>HL16</v>
      </c>
    </row>
    <row r="1015" spans="1:29" x14ac:dyDescent="0.2">
      <c r="A1015" s="9"/>
      <c r="B1015" s="97">
        <v>-1</v>
      </c>
      <c r="D1015" s="41"/>
      <c r="E1015" s="80"/>
      <c r="F1015" s="36"/>
      <c r="G1015" s="98"/>
      <c r="H1015" s="19"/>
      <c r="I1015" s="19"/>
      <c r="J1015" s="88"/>
      <c r="K1015" s="42"/>
      <c r="L1015" s="82"/>
      <c r="M1015" s="42"/>
      <c r="N1015" s="42"/>
      <c r="O1015" s="42"/>
      <c r="P1015" s="42"/>
      <c r="Q1015" s="42"/>
      <c r="R1015" s="38" t="e">
        <f>VLOOKUP((D1016),'Pwr Factor'!$A$1:$B$52,2)</f>
        <v>#N/A</v>
      </c>
      <c r="S1015" s="50">
        <v>0.5</v>
      </c>
      <c r="T1015" s="42"/>
      <c r="U1015" s="42"/>
      <c r="V1015" s="42"/>
      <c r="W1015" s="42"/>
      <c r="X1015" s="42"/>
      <c r="Y1015" s="42"/>
      <c r="Z1015" s="42"/>
      <c r="AA1015" s="42"/>
      <c r="AB1015" s="19"/>
      <c r="AC1015" s="94"/>
    </row>
    <row r="1016" spans="1:29" x14ac:dyDescent="0.2">
      <c r="A1016" s="1" t="s">
        <v>139</v>
      </c>
      <c r="B1016" s="103">
        <f>IF(AND('AES Indiana Bill Calc.'!$D$17="HL1",'AES Indiana Bill Calc.'!$D$18="Yes 50%",'AES Indiana Bill Calc.'!$D$20="Yes 2026"),'AES Indiana Bill Calc.'!$D$19,-1)</f>
        <v>-1</v>
      </c>
      <c r="C1016" s="103">
        <f>MAX(E1016,$C$905)</f>
        <v>2000</v>
      </c>
      <c r="D1016" s="103" t="b">
        <f>IF(AND('AES Indiana Bill Calc.'!$D$17="HL1",'AES Indiana Bill Calc.'!$D$18="Yes 50%",'AES Indiana Bill Calc.'!$D$20="Yes 2025"),'AES Indiana Bill Calc.'!$D$22)</f>
        <v>0</v>
      </c>
      <c r="E1016" s="103" t="b">
        <f>IF(AND('AES Indiana Bill Calc.'!$D$17="HL1",'AES Indiana Bill Calc.'!$D$18="Yes 50%",'AES Indiana Bill Calc.'!$D$20="Yes 2025"),'AES Indiana Bill Calc.'!$D$21)</f>
        <v>0</v>
      </c>
      <c r="F1016" s="36" t="s">
        <v>382</v>
      </c>
      <c r="G1016" s="92" t="e">
        <f>SUM(J1016:M1016,R1016:AA1016)</f>
        <v>#N/A</v>
      </c>
      <c r="H1016" s="19" t="e">
        <f>IF(ISBLANK(B1016),0,+#REF!/B1016)</f>
        <v>#REF!</v>
      </c>
      <c r="I1016" s="19"/>
      <c r="J1016" s="88">
        <f>IF(ISBLANK(B1016),0,+J$909)</f>
        <v>130</v>
      </c>
      <c r="K1016" s="42">
        <f>ROUND($B1016*K$909,2)</f>
        <v>-0.04</v>
      </c>
      <c r="L1016" s="16">
        <f>IF(ISBLANK($C1016),0,IF($C1016&lt;$C$910,ROUND($C$910*$L$909,2),IF($C1016&gt;L$910,ROUND(L$910*L$909,2),ROUND($C1016*L$909,2))))</f>
        <v>55900</v>
      </c>
      <c r="M1016" s="17">
        <f>IF($C1016&gt;L$910,ROUND(($C1016-L$910)*M$909,2),0)</f>
        <v>0</v>
      </c>
      <c r="N1016" s="17">
        <f>K1016</f>
        <v>-0.04</v>
      </c>
      <c r="O1016" s="42"/>
      <c r="P1016" s="42"/>
      <c r="Q1016" s="17">
        <f>SUM(L1016:M1016)</f>
        <v>55900</v>
      </c>
      <c r="R1016" s="82" t="e">
        <f>ROUND(SUM(K1016:M1016)*(R1015-1),2)</f>
        <v>#N/A</v>
      </c>
      <c r="S1016" s="42">
        <f>ROUND($B1016*S$909*S1015,2)</f>
        <v>0</v>
      </c>
      <c r="T1016" s="42">
        <f>ROUND($B1016*T$909,2)</f>
        <v>0</v>
      </c>
      <c r="U1016" s="42">
        <f>ROUND($B1016*U$909,2)</f>
        <v>0</v>
      </c>
      <c r="V1016" s="42">
        <f>ROUND($B1016*V$908,2)</f>
        <v>-0.01</v>
      </c>
      <c r="W1016" s="42">
        <f>ROUND($B1016*W$909,2)</f>
        <v>0</v>
      </c>
      <c r="X1016" s="42">
        <f>ROUND($B1016*X$909,2)</f>
        <v>-0.01</v>
      </c>
      <c r="Y1016" s="42">
        <f>ROUND($B1016*Y$909,2)</f>
        <v>0</v>
      </c>
      <c r="Z1016" s="42">
        <f>ROUND($B1016*Z$909,2)</f>
        <v>0</v>
      </c>
      <c r="AA1016" s="42">
        <f>ROUND($B1016*AA$909,2)</f>
        <v>0</v>
      </c>
      <c r="AB1016" s="19">
        <f>SUM(U995:AA995)</f>
        <v>0</v>
      </c>
      <c r="AC1016" s="94" t="str">
        <f>+F1016</f>
        <v>HL16</v>
      </c>
    </row>
    <row r="1017" spans="1:29" x14ac:dyDescent="0.2">
      <c r="A1017" s="9"/>
      <c r="B1017" s="97">
        <v>-1</v>
      </c>
      <c r="D1017" s="41"/>
      <c r="E1017" s="80"/>
      <c r="F1017" s="36"/>
      <c r="G1017" s="98"/>
      <c r="H1017" s="19"/>
      <c r="I1017" s="19"/>
      <c r="J1017" s="88"/>
      <c r="K1017" s="42"/>
      <c r="L1017" s="82"/>
      <c r="M1017" s="42"/>
      <c r="N1017" s="42"/>
      <c r="O1017" s="42"/>
      <c r="P1017" s="42"/>
      <c r="Q1017" s="42"/>
      <c r="R1017" s="38" t="e">
        <f>VLOOKUP((D1018),'Pwr Factor'!$A$1:$B$52,2)</f>
        <v>#N/A</v>
      </c>
      <c r="S1017" s="50">
        <v>0.25</v>
      </c>
      <c r="T1017" s="42"/>
      <c r="U1017" s="42"/>
      <c r="V1017" s="42"/>
      <c r="W1017" s="42"/>
      <c r="X1017" s="42"/>
      <c r="Y1017" s="42"/>
      <c r="Z1017" s="42"/>
      <c r="AA1017" s="42"/>
      <c r="AB1017" s="19"/>
      <c r="AC1017" s="94"/>
    </row>
    <row r="1018" spans="1:29" x14ac:dyDescent="0.2">
      <c r="A1018" s="1" t="s">
        <v>140</v>
      </c>
      <c r="B1018" s="103">
        <f>IF(AND('AES Indiana Bill Calc.'!$D$17="HL1",'AES Indiana Bill Calc.'!$D$18="Yes 25%",'AES Indiana Bill Calc.'!$D$20="Yes 2026"),'AES Indiana Bill Calc.'!$D$19,-1)</f>
        <v>-1</v>
      </c>
      <c r="C1018" s="103">
        <f>MAX(E1018,$C$905)</f>
        <v>2000</v>
      </c>
      <c r="D1018" s="103" t="b">
        <f>IF(AND('AES Indiana Bill Calc.'!$D$17="HL1",'AES Indiana Bill Calc.'!$D$18="Yes 25%",'AES Indiana Bill Calc.'!$D$20="Yes 2025"),'AES Indiana Bill Calc.'!$D$22)</f>
        <v>0</v>
      </c>
      <c r="E1018" s="103" t="b">
        <f>IF(AND('AES Indiana Bill Calc.'!$D$17="HL1",'AES Indiana Bill Calc.'!$D$18="Yes 25%",'AES Indiana Bill Calc.'!$D$20="Yes 2025"),'AES Indiana Bill Calc.'!$D$21)</f>
        <v>0</v>
      </c>
      <c r="F1018" s="36" t="s">
        <v>382</v>
      </c>
      <c r="G1018" s="92" t="e">
        <f>SUM(J1018:M1018,R1018:AA1018)</f>
        <v>#N/A</v>
      </c>
      <c r="H1018" s="19" t="e">
        <f>IF(ISBLANK(B1018),0,+#REF!/B1018)</f>
        <v>#REF!</v>
      </c>
      <c r="I1018" s="19"/>
      <c r="J1018" s="88">
        <f>IF(ISBLANK(B1018),0,+J$909)</f>
        <v>130</v>
      </c>
      <c r="K1018" s="42">
        <f>ROUND($B1018*K$909,2)</f>
        <v>-0.04</v>
      </c>
      <c r="L1018" s="16">
        <f>IF(ISBLANK($C1018),0,IF($C1018&lt;$C$910,ROUND($C$910*$L$909,2),IF($C1018&gt;L$910,ROUND(L$910*L$909,2),ROUND($C1018*L$909,2))))</f>
        <v>55900</v>
      </c>
      <c r="M1018" s="17">
        <f>IF($C1018&gt;L$910,ROUND(($C1018-L$910)*M$909,2),0)</f>
        <v>0</v>
      </c>
      <c r="N1018" s="17">
        <f>K1018</f>
        <v>-0.04</v>
      </c>
      <c r="O1018" s="42"/>
      <c r="P1018" s="42"/>
      <c r="Q1018" s="17">
        <f>SUM(L1018:M1018)</f>
        <v>55900</v>
      </c>
      <c r="R1018" s="82" t="e">
        <f>ROUND(SUM(K1018:M1018)*(R1017-1),2)</f>
        <v>#N/A</v>
      </c>
      <c r="S1018" s="42">
        <f>ROUND($B1018*S$909*S1017,2)</f>
        <v>0</v>
      </c>
      <c r="T1018" s="42">
        <f>ROUND($B1018*T$909,2)</f>
        <v>0</v>
      </c>
      <c r="U1018" s="42">
        <f>ROUND($B1018*U$909,2)</f>
        <v>0</v>
      </c>
      <c r="V1018" s="42">
        <f>ROUND($B1018*V$908,2)</f>
        <v>-0.01</v>
      </c>
      <c r="W1018" s="42">
        <f>ROUND($B1018*W$909,2)</f>
        <v>0</v>
      </c>
      <c r="X1018" s="42">
        <f>ROUND($B1018*X$909,2)</f>
        <v>-0.01</v>
      </c>
      <c r="Y1018" s="42">
        <f>ROUND($B1018*Y$909,2)</f>
        <v>0</v>
      </c>
      <c r="Z1018" s="42">
        <f>ROUND($B1018*Z$909,2)</f>
        <v>0</v>
      </c>
      <c r="AA1018" s="42">
        <f>ROUND($B1018*AA$909,2)</f>
        <v>0</v>
      </c>
      <c r="AB1018" s="19">
        <f>SUM(U997:AA997)</f>
        <v>0</v>
      </c>
      <c r="AC1018" s="94" t="str">
        <f>+F1018</f>
        <v>HL16</v>
      </c>
    </row>
    <row r="1019" spans="1:29" x14ac:dyDescent="0.2">
      <c r="A1019" s="9"/>
      <c r="B1019" s="97">
        <v>-1</v>
      </c>
      <c r="D1019" s="41"/>
      <c r="E1019" s="80"/>
      <c r="F1019" s="36"/>
      <c r="G1019" s="98"/>
      <c r="H1019" s="19"/>
      <c r="I1019" s="19"/>
      <c r="J1019" s="88"/>
      <c r="K1019" s="42"/>
      <c r="L1019" s="82"/>
      <c r="M1019" s="42"/>
      <c r="N1019" s="42"/>
      <c r="O1019" s="42"/>
      <c r="P1019" s="42"/>
      <c r="Q1019" s="42"/>
      <c r="R1019" s="38" t="e">
        <f>VLOOKUP((D1020),'Pwr Factor'!$A$1:$B$52,2)</f>
        <v>#N/A</v>
      </c>
      <c r="S1019" s="50">
        <v>0.1</v>
      </c>
      <c r="T1019" s="42"/>
      <c r="U1019" s="42"/>
      <c r="V1019" s="42"/>
      <c r="W1019" s="42"/>
      <c r="X1019" s="42"/>
      <c r="Y1019" s="42"/>
      <c r="Z1019" s="42"/>
      <c r="AA1019" s="42"/>
      <c r="AB1019" s="19"/>
      <c r="AC1019" s="94"/>
    </row>
    <row r="1020" spans="1:29" x14ac:dyDescent="0.2">
      <c r="A1020" s="1" t="s">
        <v>154</v>
      </c>
      <c r="B1020" s="103">
        <f>IF(AND('AES Indiana Bill Calc.'!$D$17="HL1",'AES Indiana Bill Calc.'!$D$18="Yes 10%",'AES Indiana Bill Calc.'!$D$20="Yes 2026"),'AES Indiana Bill Calc.'!$D$19,-1)</f>
        <v>-1</v>
      </c>
      <c r="C1020" s="103">
        <f>MAX(E1020,$C$905)</f>
        <v>2000</v>
      </c>
      <c r="D1020" s="103" t="b">
        <f>IF(AND('AES Indiana Bill Calc.'!$D$17="HL1",'AES Indiana Bill Calc.'!$D$18="Yes 10%",'AES Indiana Bill Calc.'!$D$20="Yes 2025"),'AES Indiana Bill Calc.'!$D$22)</f>
        <v>0</v>
      </c>
      <c r="E1020" s="103" t="b">
        <f>IF(AND('AES Indiana Bill Calc.'!$D$17="HL1",'AES Indiana Bill Calc.'!$D$18="Yes 10%",'AES Indiana Bill Calc.'!$D$20="Yes 2025"),'AES Indiana Bill Calc.'!$D$21)</f>
        <v>0</v>
      </c>
      <c r="F1020" s="36" t="s">
        <v>382</v>
      </c>
      <c r="G1020" s="92" t="e">
        <f>SUM(J1020:M1020,R1020:AA1020)</f>
        <v>#N/A</v>
      </c>
      <c r="H1020" s="19" t="e">
        <f>IF(ISBLANK(B1020),0,+#REF!/B1020)</f>
        <v>#REF!</v>
      </c>
      <c r="I1020" s="19"/>
      <c r="J1020" s="88">
        <f>IF(ISBLANK(B1020),0,+J$909)</f>
        <v>130</v>
      </c>
      <c r="K1020" s="42">
        <f>ROUND($B1020*K$909,2)</f>
        <v>-0.04</v>
      </c>
      <c r="L1020" s="16">
        <f>IF(ISBLANK($C1020),0,IF($C1020&lt;$C$910,ROUND($C$910*$L$909,2),IF($C1020&gt;L$910,ROUND(L$910*L$909,2),ROUND($C1020*L$909,2))))</f>
        <v>55900</v>
      </c>
      <c r="M1020" s="17">
        <f>IF($C1020&gt;L$910,ROUND(($C1020-L$910)*M$909,2),0)</f>
        <v>0</v>
      </c>
      <c r="N1020" s="17">
        <f>K1020</f>
        <v>-0.04</v>
      </c>
      <c r="O1020" s="42"/>
      <c r="P1020" s="42"/>
      <c r="Q1020" s="17">
        <f>SUM(L1020:M1020)</f>
        <v>55900</v>
      </c>
      <c r="R1020" s="82" t="e">
        <f>ROUND(SUM(K1020:M1020)*(R1019-1),2)</f>
        <v>#N/A</v>
      </c>
      <c r="S1020" s="42">
        <f>ROUND($B1020*S$909*S1019,2)</f>
        <v>0</v>
      </c>
      <c r="T1020" s="42">
        <f>ROUND($B1020*T$909,2)</f>
        <v>0</v>
      </c>
      <c r="U1020" s="42">
        <f>ROUND($B1020*U$909,2)</f>
        <v>0</v>
      </c>
      <c r="V1020" s="42">
        <f>ROUND($B1020*V$908,2)</f>
        <v>-0.01</v>
      </c>
      <c r="W1020" s="42">
        <f>ROUND($B1020*W$909,2)</f>
        <v>0</v>
      </c>
      <c r="X1020" s="42">
        <f>ROUND($B1020*X$909,2)</f>
        <v>-0.01</v>
      </c>
      <c r="Y1020" s="42">
        <f>ROUND($B1020*Y$909,2)</f>
        <v>0</v>
      </c>
      <c r="Z1020" s="42">
        <f>ROUND($B1020*Z$909,2)</f>
        <v>0</v>
      </c>
      <c r="AA1020" s="42">
        <f>ROUND($B1020*AA$909,2)</f>
        <v>0</v>
      </c>
      <c r="AB1020" s="19">
        <f>SUM(U999:AA999)</f>
        <v>0</v>
      </c>
      <c r="AC1020" s="94" t="str">
        <f>+F1020</f>
        <v>HL16</v>
      </c>
    </row>
    <row r="1021" spans="1:29" x14ac:dyDescent="0.2">
      <c r="A1021" s="9"/>
      <c r="B1021" s="97">
        <v>-1</v>
      </c>
      <c r="D1021" s="41"/>
      <c r="E1021" s="80"/>
      <c r="F1021" s="36"/>
      <c r="G1021" s="98"/>
      <c r="H1021" s="19"/>
      <c r="I1021" s="19"/>
      <c r="J1021" s="88"/>
      <c r="K1021" s="42"/>
      <c r="L1021" s="82"/>
      <c r="M1021" s="42"/>
      <c r="N1021" s="42"/>
      <c r="O1021" s="42"/>
      <c r="P1021" s="42"/>
      <c r="Q1021" s="42"/>
      <c r="R1021" s="38" t="e">
        <f>VLOOKUP((D1022),'Pwr Factor'!$A$1:$B$52,2)</f>
        <v>#N/A</v>
      </c>
      <c r="S1021" s="50">
        <v>0</v>
      </c>
      <c r="T1021" s="42"/>
      <c r="U1021" s="42"/>
      <c r="V1021" s="42"/>
      <c r="W1021" s="42"/>
      <c r="X1021" s="42"/>
      <c r="Y1021" s="42"/>
      <c r="Z1021" s="42"/>
      <c r="AA1021" s="42"/>
      <c r="AB1021" s="19"/>
      <c r="AC1021" s="94"/>
    </row>
    <row r="1022" spans="1:29" x14ac:dyDescent="0.2">
      <c r="A1022" s="1" t="s">
        <v>137</v>
      </c>
      <c r="B1022" s="103">
        <f>IF(AND('AES Indiana Bill Calc.'!$D$17="HL1",'AES Indiana Bill Calc.'!$D$18="No",'AES Indiana Bill Calc.'!$D$20="Yes 2026"),'AES Indiana Bill Calc.'!$D$19,-1)</f>
        <v>-1</v>
      </c>
      <c r="C1022" s="103">
        <f>MAX(E1022,$C$905)</f>
        <v>2000</v>
      </c>
      <c r="D1022" s="103" t="b">
        <f>IF(AND('AES Indiana Bill Calc.'!$D$17="HL1",'AES Indiana Bill Calc.'!$D$18="No",'AES Indiana Bill Calc.'!$D$20="Yes 2025"),'AES Indiana Bill Calc.'!$D$22)</f>
        <v>0</v>
      </c>
      <c r="E1022" s="103" t="b">
        <f>IF(AND('AES Indiana Bill Calc.'!$D$17="HL1",'AES Indiana Bill Calc.'!$D$18="No",'AES Indiana Bill Calc.'!$D$20="Yes 2025"),'AES Indiana Bill Calc.'!$D$21)</f>
        <v>0</v>
      </c>
      <c r="F1022" s="36" t="s">
        <v>382</v>
      </c>
      <c r="G1022" s="92" t="e">
        <f>SUM(J1022:M1022,R1022:AA1022)</f>
        <v>#N/A</v>
      </c>
      <c r="H1022" s="19" t="e">
        <f>IF(ISBLANK(B1022),0,+#REF!/B1022)</f>
        <v>#REF!</v>
      </c>
      <c r="I1022" s="19"/>
      <c r="J1022" s="88">
        <f>IF(ISBLANK(B1022),0,+J$909)</f>
        <v>130</v>
      </c>
      <c r="K1022" s="42">
        <f>ROUND($B1022*K$909,2)</f>
        <v>-0.04</v>
      </c>
      <c r="L1022" s="16">
        <f>IF(ISBLANK($C1022),0,IF($C1022&lt;$C$910,ROUND($C$910*$L$909,2),IF($C1022&gt;L$910,ROUND(L$910*L$909,2),ROUND($C1022*L$909,2))))</f>
        <v>55900</v>
      </c>
      <c r="M1022" s="17">
        <f>IF($C1022&gt;L$910,ROUND(($C1022-L$910)*M$909,2),0)</f>
        <v>0</v>
      </c>
      <c r="N1022" s="17">
        <f>K1022</f>
        <v>-0.04</v>
      </c>
      <c r="O1022" s="42"/>
      <c r="P1022" s="42"/>
      <c r="Q1022" s="17">
        <f>SUM(L1022:M1022)</f>
        <v>55900</v>
      </c>
      <c r="R1022" s="82" t="e">
        <f>ROUND(SUM(K1022:M1022)*(R1021-1),2)</f>
        <v>#N/A</v>
      </c>
      <c r="S1022" s="42">
        <f>ROUND($B1022*S$909*S1021,2)</f>
        <v>0</v>
      </c>
      <c r="T1022" s="42">
        <f>ROUND($B1022*T$909,2)</f>
        <v>0</v>
      </c>
      <c r="U1022" s="42">
        <f>ROUND($B1022*U$909,2)</f>
        <v>0</v>
      </c>
      <c r="V1022" s="42">
        <f>ROUND($B1022*V$908,2)</f>
        <v>-0.01</v>
      </c>
      <c r="W1022" s="42">
        <f>ROUND($B1022*W$909,2)</f>
        <v>0</v>
      </c>
      <c r="X1022" s="42">
        <f>ROUND($B1022*X$909,2)</f>
        <v>-0.01</v>
      </c>
      <c r="Y1022" s="42">
        <f>ROUND($B1022*Y$909,2)</f>
        <v>0</v>
      </c>
      <c r="Z1022" s="42">
        <f>ROUND($B1022*Z$909,2)</f>
        <v>0</v>
      </c>
      <c r="AA1022" s="42">
        <f>ROUND($B1022*AA$909,2)</f>
        <v>0</v>
      </c>
      <c r="AB1022" s="19">
        <f>SUM(U1001:AA1001)</f>
        <v>0</v>
      </c>
      <c r="AC1022" s="94" t="str">
        <f>+F1022</f>
        <v>HL16</v>
      </c>
    </row>
    <row r="1023" spans="1:29" x14ac:dyDescent="0.2">
      <c r="A1023" s="53"/>
      <c r="B1023" s="103">
        <v>-1</v>
      </c>
      <c r="C1023" s="9"/>
      <c r="D1023" s="8"/>
      <c r="F1023" s="36"/>
      <c r="G1023" s="42"/>
      <c r="H1023" s="19"/>
      <c r="J1023" s="88"/>
      <c r="K1023" s="42"/>
      <c r="L1023" s="82"/>
      <c r="M1023" s="42"/>
      <c r="N1023" s="42"/>
      <c r="O1023" s="42"/>
      <c r="P1023" s="42"/>
      <c r="Q1023" s="42"/>
      <c r="R1023" s="82"/>
      <c r="S1023" s="42"/>
      <c r="T1023" s="42"/>
      <c r="U1023" s="42"/>
      <c r="V1023" s="41"/>
      <c r="W1023" s="42"/>
      <c r="X1023" s="42"/>
      <c r="Y1023" s="42"/>
      <c r="Z1023" s="42"/>
      <c r="AA1023" s="42"/>
      <c r="AB1023" s="19"/>
      <c r="AC1023" s="67"/>
    </row>
    <row r="1024" spans="1:29" x14ac:dyDescent="0.2">
      <c r="B1024" s="103">
        <v>-1</v>
      </c>
      <c r="C1024" s="9"/>
      <c r="D1024" s="8"/>
      <c r="R1024">
        <v>6571.2</v>
      </c>
      <c r="V1024" s="19">
        <f>+T8</f>
        <v>0</v>
      </c>
      <c r="W1024" s="6" t="s">
        <v>148</v>
      </c>
      <c r="AB1024" s="19">
        <f>+AB$1036-V$1036+V1024</f>
        <v>1.1679999999999999E-2</v>
      </c>
    </row>
    <row r="1025" spans="1:28" x14ac:dyDescent="0.2">
      <c r="B1025" s="103">
        <v>-1</v>
      </c>
      <c r="C1025" s="9"/>
      <c r="D1025" s="8"/>
      <c r="L1025" t="s">
        <v>183</v>
      </c>
      <c r="M1025" t="s">
        <v>183</v>
      </c>
      <c r="S1025" s="6"/>
      <c r="T1025" s="6"/>
      <c r="U1025" s="6"/>
      <c r="V1025" s="27">
        <f>+$T$12</f>
        <v>0</v>
      </c>
      <c r="W1025" s="6" t="s">
        <v>144</v>
      </c>
      <c r="X1025" s="6"/>
      <c r="Y1025" s="6"/>
      <c r="Z1025" s="6"/>
      <c r="AA1025" s="6"/>
      <c r="AB1025" s="19" t="e">
        <f>+AB$1036-V$1036+#REF!</f>
        <v>#REF!</v>
      </c>
    </row>
    <row r="1026" spans="1:28" x14ac:dyDescent="0.2">
      <c r="B1026" s="103">
        <v>-1</v>
      </c>
      <c r="C1026" s="9"/>
      <c r="D1026" s="8"/>
      <c r="S1026" s="6"/>
      <c r="T1026" s="6"/>
      <c r="U1026" s="6"/>
      <c r="V1026" s="27">
        <f>+$T$14</f>
        <v>0</v>
      </c>
      <c r="W1026" s="6" t="s">
        <v>145</v>
      </c>
      <c r="X1026" s="6"/>
      <c r="Y1026" s="6"/>
      <c r="Z1026" s="6"/>
      <c r="AA1026" s="6"/>
      <c r="AB1026" s="19">
        <f>+AB$1036-V$1036+V1025</f>
        <v>1.1679999999999999E-2</v>
      </c>
    </row>
    <row r="1027" spans="1:28" x14ac:dyDescent="0.2">
      <c r="B1027" s="103">
        <v>-1</v>
      </c>
      <c r="C1027" s="9"/>
      <c r="D1027" s="8"/>
      <c r="S1027" s="6"/>
      <c r="T1027" s="6"/>
      <c r="U1027" s="6"/>
      <c r="V1027" s="27">
        <f>$T$16</f>
        <v>0</v>
      </c>
      <c r="W1027" s="6" t="s">
        <v>146</v>
      </c>
      <c r="X1027" s="6"/>
      <c r="Y1027" s="6"/>
      <c r="Z1027" s="6"/>
      <c r="AA1027" s="6"/>
      <c r="AB1027" s="19"/>
    </row>
    <row r="1028" spans="1:28" x14ac:dyDescent="0.2">
      <c r="B1028" s="103">
        <v>-1</v>
      </c>
      <c r="C1028" s="9"/>
      <c r="D1028" s="8"/>
      <c r="S1028" s="6"/>
      <c r="T1028" s="6"/>
      <c r="U1028" s="6"/>
      <c r="V1028" s="27">
        <f>$T$19</f>
        <v>0</v>
      </c>
      <c r="W1028" s="6" t="s">
        <v>147</v>
      </c>
      <c r="X1028" s="6"/>
      <c r="Y1028" s="6"/>
      <c r="Z1028" s="6"/>
      <c r="AA1028" s="6"/>
      <c r="AB1028" s="19"/>
    </row>
    <row r="1029" spans="1:28" x14ac:dyDescent="0.2">
      <c r="B1029" s="103">
        <v>-1</v>
      </c>
      <c r="C1029" s="9"/>
      <c r="D1029" s="8"/>
      <c r="S1029" s="6"/>
      <c r="T1029" s="6"/>
      <c r="U1029" s="6"/>
      <c r="V1029" s="27">
        <f>$T$21</f>
        <v>0</v>
      </c>
      <c r="W1029" s="6" t="s">
        <v>148</v>
      </c>
      <c r="X1029" s="6"/>
      <c r="Y1029" s="6"/>
      <c r="Z1029" s="6"/>
      <c r="AA1029" s="6"/>
      <c r="AB1029" s="19"/>
    </row>
    <row r="1030" spans="1:28" x14ac:dyDescent="0.2">
      <c r="B1030" s="103">
        <v>-1</v>
      </c>
      <c r="C1030" s="9"/>
      <c r="D1030" s="8"/>
      <c r="S1030" s="6"/>
      <c r="T1030" s="6"/>
      <c r="U1030" s="6"/>
      <c r="V1030" s="27">
        <f>$T$23</f>
        <v>-4.0299999999999998E-4</v>
      </c>
      <c r="W1030" s="6" t="s">
        <v>149</v>
      </c>
      <c r="X1030" s="6"/>
      <c r="Y1030" s="6"/>
      <c r="Z1030" s="6"/>
      <c r="AA1030" s="6"/>
      <c r="AB1030" s="19"/>
    </row>
    <row r="1031" spans="1:28" x14ac:dyDescent="0.2">
      <c r="B1031" s="103">
        <v>-1</v>
      </c>
      <c r="C1031" s="9"/>
      <c r="D1031" s="8"/>
      <c r="S1031" s="6"/>
      <c r="T1031" s="6"/>
      <c r="U1031" s="6"/>
      <c r="V1031" s="27">
        <f>$T$25</f>
        <v>0</v>
      </c>
      <c r="W1031" s="6" t="s">
        <v>150</v>
      </c>
      <c r="X1031" s="6"/>
      <c r="Y1031" s="6"/>
      <c r="Z1031" s="6"/>
      <c r="AA1031" s="6"/>
      <c r="AB1031" s="19"/>
    </row>
    <row r="1032" spans="1:28" x14ac:dyDescent="0.2">
      <c r="B1032" s="103">
        <v>-1</v>
      </c>
      <c r="C1032" s="9"/>
      <c r="D1032" s="8"/>
      <c r="S1032" s="6"/>
      <c r="T1032" s="6"/>
      <c r="U1032" s="6"/>
      <c r="V1032" s="19">
        <f>T27</f>
        <v>0</v>
      </c>
      <c r="W1032" s="6" t="s">
        <v>151</v>
      </c>
      <c r="X1032" s="6"/>
      <c r="Y1032" s="6"/>
      <c r="Z1032" s="6"/>
      <c r="AA1032" s="6"/>
      <c r="AB1032" s="19"/>
    </row>
    <row r="1033" spans="1:28" x14ac:dyDescent="0.2">
      <c r="B1033" s="103">
        <v>-1</v>
      </c>
      <c r="C1033" s="9"/>
      <c r="D1033" s="8"/>
      <c r="S1033" s="6"/>
      <c r="T1033" s="6"/>
      <c r="U1033" s="6"/>
      <c r="V1033" s="19">
        <f>T29</f>
        <v>3.3769999999999998E-3</v>
      </c>
      <c r="W1033" s="6" t="s">
        <v>285</v>
      </c>
      <c r="X1033" s="6"/>
      <c r="Y1033" s="6"/>
      <c r="Z1033" s="6"/>
      <c r="AA1033" s="6"/>
      <c r="AB1033" s="19"/>
    </row>
    <row r="1034" spans="1:28" x14ac:dyDescent="0.2">
      <c r="B1034" s="103">
        <v>-1</v>
      </c>
      <c r="C1034" s="9"/>
      <c r="D1034" s="8"/>
      <c r="S1034" s="6"/>
      <c r="T1034" s="6"/>
      <c r="U1034" s="6"/>
      <c r="V1034" s="19">
        <f>T31</f>
        <v>7.6290000000000004E-3</v>
      </c>
      <c r="W1034" s="6" t="s">
        <v>162</v>
      </c>
      <c r="X1034" s="6"/>
      <c r="Y1034" s="6"/>
      <c r="Z1034" s="6"/>
      <c r="AA1034" s="6"/>
      <c r="AB1034" s="19"/>
    </row>
    <row r="1035" spans="1:28" x14ac:dyDescent="0.2">
      <c r="B1035" s="103"/>
      <c r="C1035" s="9"/>
      <c r="D1035" s="8"/>
      <c r="S1035" s="6"/>
      <c r="T1035" s="6"/>
      <c r="U1035" s="6"/>
      <c r="V1035" s="19">
        <f>V908</f>
        <v>9.0039999999999999E-3</v>
      </c>
      <c r="W1035" s="6" t="s">
        <v>144</v>
      </c>
      <c r="X1035" s="6"/>
      <c r="Y1035" s="6"/>
      <c r="Z1035" s="6"/>
      <c r="AA1035" s="6"/>
      <c r="AB1035" s="19"/>
    </row>
    <row r="1036" spans="1:28" x14ac:dyDescent="0.2">
      <c r="B1036" s="103">
        <v>-1</v>
      </c>
      <c r="C1036" s="9"/>
      <c r="D1036" s="8"/>
      <c r="F1036" s="70"/>
      <c r="G1036" s="70"/>
      <c r="H1036" s="70"/>
      <c r="I1036" s="70"/>
      <c r="J1036" s="157">
        <v>215</v>
      </c>
      <c r="K1036" s="158">
        <v>4.0410000000000001E-2</v>
      </c>
      <c r="L1036" s="157">
        <v>25</v>
      </c>
      <c r="M1036" s="157">
        <v>25</v>
      </c>
      <c r="N1036" s="72"/>
      <c r="O1036" s="72"/>
      <c r="P1036" s="72"/>
      <c r="Q1036" s="72"/>
      <c r="R1036" s="5"/>
      <c r="S1036" s="27">
        <f>+S782</f>
        <v>1.8E-3</v>
      </c>
      <c r="T1036" s="27">
        <f>+T782</f>
        <v>2.3900000000000001E-4</v>
      </c>
      <c r="U1036" s="27">
        <f>+$S$34</f>
        <v>1.6930000000000001E-3</v>
      </c>
      <c r="V1036" s="27">
        <f>+V782</f>
        <v>1.5089999999999999E-2</v>
      </c>
      <c r="W1036" s="27">
        <f>+W782</f>
        <v>0</v>
      </c>
      <c r="X1036" s="27">
        <f>+X909</f>
        <v>7.084E-3</v>
      </c>
      <c r="Y1036" s="27">
        <f>+Y909</f>
        <v>-2.5599999999999999E-4</v>
      </c>
      <c r="Z1036" s="27">
        <f>+Z909</f>
        <v>3.1589999999999999E-3</v>
      </c>
      <c r="AA1036" s="27">
        <f>+AA909</f>
        <v>5.6300000000000002E-4</v>
      </c>
      <c r="AB1036" s="19">
        <f>SUM(U1036:Z1036)</f>
        <v>2.6769999999999999E-2</v>
      </c>
    </row>
    <row r="1037" spans="1:28" x14ac:dyDescent="0.2">
      <c r="A1037" s="1"/>
      <c r="B1037" s="103">
        <v>-1</v>
      </c>
      <c r="C1037" s="9"/>
      <c r="D1037" s="8"/>
      <c r="F1037" s="70"/>
      <c r="G1037" s="70"/>
      <c r="H1037" s="70"/>
      <c r="I1037" s="70"/>
      <c r="J1037" s="70"/>
      <c r="K1037" s="70"/>
      <c r="L1037" s="73">
        <v>4000</v>
      </c>
      <c r="M1037" s="70"/>
      <c r="N1037" s="70"/>
      <c r="O1037" s="70"/>
      <c r="P1037" s="70"/>
      <c r="Q1037" s="70"/>
    </row>
    <row r="1038" spans="1:28" x14ac:dyDescent="0.2">
      <c r="B1038" s="103">
        <v>-1</v>
      </c>
      <c r="C1038" s="9"/>
      <c r="D1038" s="8"/>
      <c r="F1038" s="12"/>
      <c r="J1038" s="12" t="s">
        <v>127</v>
      </c>
      <c r="K1038" s="12" t="s">
        <v>187</v>
      </c>
      <c r="L1038" s="254" t="s">
        <v>30</v>
      </c>
      <c r="M1038" s="254"/>
      <c r="N1038" s="12"/>
      <c r="O1038" s="12"/>
      <c r="P1038" s="12"/>
      <c r="Q1038" s="140" t="s">
        <v>163</v>
      </c>
      <c r="R1038" s="12" t="s">
        <v>186</v>
      </c>
      <c r="S1038" s="12">
        <v>21</v>
      </c>
      <c r="T1038" s="12">
        <v>6</v>
      </c>
      <c r="U1038" s="12">
        <v>3</v>
      </c>
      <c r="V1038" s="12">
        <v>22</v>
      </c>
      <c r="W1038" s="12">
        <v>13</v>
      </c>
      <c r="X1038" s="12">
        <v>20</v>
      </c>
      <c r="Y1038" s="12">
        <v>24</v>
      </c>
      <c r="Z1038" s="12">
        <v>25</v>
      </c>
      <c r="AA1038" s="12">
        <v>26</v>
      </c>
    </row>
    <row r="1039" spans="1:28" x14ac:dyDescent="0.2">
      <c r="A1039" s="13"/>
      <c r="B1039" s="103">
        <v>-1</v>
      </c>
      <c r="C1039" s="99" t="s">
        <v>199</v>
      </c>
      <c r="D1039" s="100" t="s">
        <v>200</v>
      </c>
      <c r="E1039" s="130" t="s">
        <v>189</v>
      </c>
      <c r="F1039" s="13" t="s">
        <v>131</v>
      </c>
      <c r="G1039" s="13" t="s">
        <v>132</v>
      </c>
      <c r="H1039" s="13" t="s">
        <v>133</v>
      </c>
      <c r="J1039" s="13" t="s">
        <v>134</v>
      </c>
      <c r="K1039" s="13" t="s">
        <v>134</v>
      </c>
      <c r="L1039" s="13" t="s">
        <v>222</v>
      </c>
      <c r="M1039" s="13" t="s">
        <v>223</v>
      </c>
      <c r="N1039" s="140" t="s">
        <v>128</v>
      </c>
      <c r="O1039" s="13"/>
      <c r="P1039" s="13"/>
      <c r="Q1039" s="13"/>
      <c r="R1039" s="13" t="s">
        <v>191</v>
      </c>
      <c r="S1039" s="13" t="s">
        <v>96</v>
      </c>
      <c r="T1039" s="13" t="s">
        <v>36</v>
      </c>
      <c r="U1039" s="136" t="s">
        <v>38</v>
      </c>
      <c r="V1039" s="13" t="s">
        <v>97</v>
      </c>
      <c r="W1039" s="13" t="s">
        <v>98</v>
      </c>
      <c r="X1039" s="13" t="s">
        <v>99</v>
      </c>
      <c r="Y1039" s="136" t="s">
        <v>44</v>
      </c>
      <c r="Z1039" s="136" t="s">
        <v>46</v>
      </c>
      <c r="AA1039" s="136" t="s">
        <v>48</v>
      </c>
      <c r="AB1039" s="66" t="s">
        <v>100</v>
      </c>
    </row>
    <row r="1040" spans="1:28" x14ac:dyDescent="0.2">
      <c r="A1040" s="48"/>
      <c r="B1040" s="103">
        <v>-1</v>
      </c>
      <c r="D1040" s="8"/>
      <c r="E1040" s="9"/>
      <c r="F1040" s="36"/>
      <c r="G1040" s="12"/>
      <c r="H1040" s="12"/>
      <c r="J1040" s="12"/>
      <c r="K1040" s="12"/>
      <c r="L1040" s="12"/>
      <c r="M1040" s="12"/>
      <c r="N1040" s="12"/>
      <c r="O1040" s="12"/>
      <c r="P1040" s="12"/>
      <c r="Q1040" s="12"/>
      <c r="R1040" s="16" t="e">
        <f>VLOOKUP((D1041),'Pwr Factor'!$A$1:$B$52,2)</f>
        <v>#N/A</v>
      </c>
      <c r="S1040" s="50">
        <v>1</v>
      </c>
      <c r="T1040" s="12"/>
      <c r="U1040" s="12"/>
      <c r="V1040" s="12"/>
      <c r="W1040" s="12"/>
      <c r="X1040" s="12"/>
      <c r="Y1040" s="12"/>
      <c r="Z1040" s="12"/>
      <c r="AA1040" s="12"/>
    </row>
    <row r="1041" spans="1:29" x14ac:dyDescent="0.2">
      <c r="A1041" s="1" t="s">
        <v>138</v>
      </c>
      <c r="B1041" s="103">
        <f>IF(AND('AES Indiana Bill Calc.'!$D$17="HL2",'AES Indiana Bill Calc.'!$D$18="Yes 100%",'AES Indiana Bill Calc.'!$D$20="No"),'AES Indiana Bill Calc.'!$D$19,-1)</f>
        <v>-1</v>
      </c>
      <c r="C1041" s="103">
        <f>MAX(E1041,$C$905)</f>
        <v>2000</v>
      </c>
      <c r="D1041" s="103" t="b">
        <f>IF(AND('AES Indiana Bill Calc.'!$D$17="HL2",'AES Indiana Bill Calc.'!$D$18="Yes 100%",'AES Indiana Bill Calc.'!$D$20="No"),'AES Indiana Bill Calc.'!$D$22)</f>
        <v>0</v>
      </c>
      <c r="E1041" s="103" t="b">
        <f>IF(AND('AES Indiana Bill Calc.'!$D$17="HL2",'AES Indiana Bill Calc.'!$D$18="Yes 100%",'AES Indiana Bill Calc.'!$D$20="No"),'AES Indiana Bill Calc.'!$D$21)</f>
        <v>0</v>
      </c>
      <c r="F1041" s="36" t="s">
        <v>67</v>
      </c>
      <c r="G1041" s="92" t="e">
        <f>SUM(J1041:M1041,R1041:AA1041)</f>
        <v>#N/A</v>
      </c>
      <c r="H1041" s="19" t="e">
        <f>IF(ISBLANK(B1041),0,+#REF!/B1041)</f>
        <v>#REF!</v>
      </c>
      <c r="I1041" s="148"/>
      <c r="J1041" s="51">
        <f>IF(ISBLANK(B1041),0,+J$1036)</f>
        <v>215</v>
      </c>
      <c r="K1041" s="17">
        <f>ROUND($B1041*K$1036,2)</f>
        <v>-0.04</v>
      </c>
      <c r="L1041" s="17">
        <f>IF(ISBLANK($C1041),0,IF($C1041&lt;$C$1037,ROUND($C$1037*$L$1036,2),IF($C1041&gt;L$1037,ROUND(L$1037*L$1036,2),ROUND($C1041*L$1036,2))))</f>
        <v>50000</v>
      </c>
      <c r="M1041" s="17">
        <f>IF($C1041&gt;L$1037,ROUND(($C1041-L$1037)*M$1036,2),0)</f>
        <v>0</v>
      </c>
      <c r="N1041" s="17">
        <f>K1041</f>
        <v>-0.04</v>
      </c>
      <c r="O1041" s="17"/>
      <c r="P1041" s="17"/>
      <c r="Q1041" s="17">
        <f>SUM(L1041:M1041)</f>
        <v>50000</v>
      </c>
      <c r="R1041" s="16" t="e">
        <f>ROUND(SUM(K1041:M1041)*(R1040-1),2)</f>
        <v>#N/A</v>
      </c>
      <c r="S1041" s="17">
        <f>ROUND($B1041*S$1036*S1040,2)</f>
        <v>0</v>
      </c>
      <c r="T1041" s="17">
        <f t="shared" ref="T1041:AA1041" si="57">ROUND($B1041*T$1036,2)</f>
        <v>0</v>
      </c>
      <c r="U1041" s="17">
        <f t="shared" si="57"/>
        <v>0</v>
      </c>
      <c r="V1041" s="8">
        <f t="shared" si="57"/>
        <v>-0.02</v>
      </c>
      <c r="W1041" s="17">
        <f t="shared" si="57"/>
        <v>0</v>
      </c>
      <c r="X1041" s="17">
        <f t="shared" si="57"/>
        <v>-0.01</v>
      </c>
      <c r="Y1041" s="17">
        <f t="shared" si="57"/>
        <v>0</v>
      </c>
      <c r="Z1041" s="17">
        <f t="shared" si="57"/>
        <v>0</v>
      </c>
      <c r="AA1041" s="17">
        <f t="shared" si="57"/>
        <v>0</v>
      </c>
      <c r="AB1041" s="19">
        <f>SUM(U1036:AA1036)</f>
        <v>2.7333E-2</v>
      </c>
      <c r="AC1041" s="67" t="str">
        <f>+F1041</f>
        <v>HL2</v>
      </c>
    </row>
    <row r="1042" spans="1:29" x14ac:dyDescent="0.2">
      <c r="A1042" s="9"/>
      <c r="B1042" s="103">
        <v>-1</v>
      </c>
      <c r="D1042" s="8"/>
      <c r="E1042" s="9"/>
      <c r="F1042" s="36"/>
      <c r="G1042" s="12"/>
      <c r="H1042" s="12"/>
      <c r="J1042" s="12"/>
      <c r="K1042" s="12"/>
      <c r="L1042" s="12"/>
      <c r="M1042" s="12"/>
      <c r="N1042" s="12"/>
      <c r="O1042" s="12"/>
      <c r="P1042" s="12"/>
      <c r="Q1042" s="12"/>
      <c r="R1042" s="16" t="e">
        <f>VLOOKUP((D1043),'Pwr Factor'!$A$1:$B$52,2)</f>
        <v>#N/A</v>
      </c>
      <c r="S1042" s="50">
        <v>0.5</v>
      </c>
      <c r="T1042" s="12"/>
      <c r="U1042" s="12"/>
      <c r="V1042" s="12"/>
      <c r="W1042" s="12"/>
      <c r="X1042" s="12"/>
      <c r="Y1042" s="12"/>
      <c r="Z1042" s="12"/>
      <c r="AA1042" s="12"/>
    </row>
    <row r="1043" spans="1:29" x14ac:dyDescent="0.2">
      <c r="A1043" s="1" t="s">
        <v>139</v>
      </c>
      <c r="B1043" s="103">
        <f>IF(AND('AES Indiana Bill Calc.'!$D$17="HL2",'AES Indiana Bill Calc.'!$D$18="Yes 50%",'AES Indiana Bill Calc.'!$D$20="No"),'AES Indiana Bill Calc.'!$D$19,-1)</f>
        <v>-1</v>
      </c>
      <c r="C1043" s="103">
        <f>MAX(E1043,$C$905)</f>
        <v>2000</v>
      </c>
      <c r="D1043" s="103" t="b">
        <f>IF(AND('AES Indiana Bill Calc.'!$D$17="HL2",'AES Indiana Bill Calc.'!$D$18="Yes 50%",'AES Indiana Bill Calc.'!$D$20="No"),'AES Indiana Bill Calc.'!$D$22)</f>
        <v>0</v>
      </c>
      <c r="E1043" s="103" t="b">
        <f>IF(AND('AES Indiana Bill Calc.'!$D$17="HL2",'AES Indiana Bill Calc.'!$D$18="Yes 50%",'AES Indiana Bill Calc.'!$D$20="No"),'AES Indiana Bill Calc.'!$D$21)</f>
        <v>0</v>
      </c>
      <c r="F1043" s="36" t="s">
        <v>67</v>
      </c>
      <c r="G1043" s="92" t="e">
        <f>SUM(J1043:M1043,R1043:AA1043)</f>
        <v>#N/A</v>
      </c>
      <c r="H1043" s="19" t="e">
        <f>IF(ISBLANK(B1043),0,+#REF!/B1043)</f>
        <v>#REF!</v>
      </c>
      <c r="I1043" s="148"/>
      <c r="J1043" s="51">
        <f>IF(ISBLANK(B1043),0,+J$1036)</f>
        <v>215</v>
      </c>
      <c r="K1043" s="17">
        <f>ROUND($B1043*K$1036,2)</f>
        <v>-0.04</v>
      </c>
      <c r="L1043" s="17">
        <f>IF(ISBLANK($C1043),0,IF($C1043&lt;$C$1037,ROUND($C$1037*$L$1036,2),IF($C1043&gt;L$1037,ROUND(L$1037*L$1036,2),ROUND($C1043*L$1036,2))))</f>
        <v>50000</v>
      </c>
      <c r="M1043" s="17">
        <f>IF($C1043&gt;L$1037,ROUND(($C1043-L$1037)*M$1036,2),0)</f>
        <v>0</v>
      </c>
      <c r="N1043" s="17">
        <f>K1043</f>
        <v>-0.04</v>
      </c>
      <c r="O1043" s="17"/>
      <c r="P1043" s="17"/>
      <c r="Q1043" s="17">
        <f>SUM(L1043:M1043)</f>
        <v>50000</v>
      </c>
      <c r="R1043" s="16" t="e">
        <f>ROUND(SUM(K1043:M1043)*(R1042-1),2)</f>
        <v>#N/A</v>
      </c>
      <c r="S1043" s="17">
        <f>ROUND($B1043*S$1036*S1042,2)</f>
        <v>0</v>
      </c>
      <c r="T1043" s="17">
        <f t="shared" ref="T1043:AA1043" si="58">ROUND($B1043*T$1036,2)</f>
        <v>0</v>
      </c>
      <c r="U1043" s="17">
        <f t="shared" si="58"/>
        <v>0</v>
      </c>
      <c r="V1043" s="8">
        <f t="shared" si="58"/>
        <v>-0.02</v>
      </c>
      <c r="W1043" s="17">
        <f t="shared" si="58"/>
        <v>0</v>
      </c>
      <c r="X1043" s="17">
        <f t="shared" si="58"/>
        <v>-0.01</v>
      </c>
      <c r="Y1043" s="17">
        <f t="shared" si="58"/>
        <v>0</v>
      </c>
      <c r="Z1043" s="17">
        <f t="shared" si="58"/>
        <v>0</v>
      </c>
      <c r="AA1043" s="17">
        <f t="shared" si="58"/>
        <v>0</v>
      </c>
      <c r="AB1043" s="19">
        <f>SUM(U1038:AA1038)</f>
        <v>133</v>
      </c>
      <c r="AC1043" s="67" t="str">
        <f>+F1043</f>
        <v>HL2</v>
      </c>
    </row>
    <row r="1044" spans="1:29" x14ac:dyDescent="0.2">
      <c r="A1044" s="9"/>
      <c r="B1044" s="103">
        <v>-1</v>
      </c>
      <c r="D1044" s="8"/>
      <c r="E1044" s="9"/>
      <c r="F1044" s="36"/>
      <c r="G1044" s="12"/>
      <c r="H1044" s="12"/>
      <c r="J1044" s="12"/>
      <c r="K1044" s="12"/>
      <c r="L1044" s="12"/>
      <c r="M1044" s="12"/>
      <c r="N1044" s="12"/>
      <c r="O1044" s="12"/>
      <c r="P1044" s="12"/>
      <c r="Q1044" s="12"/>
      <c r="R1044" s="16" t="e">
        <f>VLOOKUP((D1045),'Pwr Factor'!$A$1:$B$52,2)</f>
        <v>#N/A</v>
      </c>
      <c r="S1044" s="50">
        <v>0.25</v>
      </c>
      <c r="T1044" s="12"/>
      <c r="U1044" s="12"/>
      <c r="V1044" s="12"/>
      <c r="W1044" s="12"/>
      <c r="X1044" s="12"/>
      <c r="Y1044" s="12"/>
      <c r="Z1044" s="12"/>
      <c r="AA1044" s="12"/>
    </row>
    <row r="1045" spans="1:29" x14ac:dyDescent="0.2">
      <c r="A1045" s="1" t="s">
        <v>140</v>
      </c>
      <c r="B1045" s="103">
        <f>IF(AND('AES Indiana Bill Calc.'!$D$17="HL2",'AES Indiana Bill Calc.'!$D$18="Yes 25%",'AES Indiana Bill Calc.'!$D$20="No"),'AES Indiana Bill Calc.'!$D$19,-1)</f>
        <v>-1</v>
      </c>
      <c r="C1045" s="103">
        <f>MAX(E1045,$C$905)</f>
        <v>2000</v>
      </c>
      <c r="D1045" s="103" t="b">
        <f>IF(AND('AES Indiana Bill Calc.'!$D$17="HL2",'AES Indiana Bill Calc.'!$D$18="Yes 25%",'AES Indiana Bill Calc.'!$D$20="No"),'AES Indiana Bill Calc.'!$D$22)</f>
        <v>0</v>
      </c>
      <c r="E1045" s="103" t="b">
        <f>IF(AND('AES Indiana Bill Calc.'!$D$17="HL2",'AES Indiana Bill Calc.'!$D$18="Yes 25%",'AES Indiana Bill Calc.'!$D$20="No"),'AES Indiana Bill Calc.'!$D$21)</f>
        <v>0</v>
      </c>
      <c r="F1045" s="36" t="s">
        <v>67</v>
      </c>
      <c r="G1045" s="92" t="e">
        <f>SUM(J1045:M1045,R1045:AA1045)</f>
        <v>#N/A</v>
      </c>
      <c r="H1045" s="19" t="e">
        <f>IF(ISBLANK(B1045),0,+#REF!/B1045)</f>
        <v>#REF!</v>
      </c>
      <c r="I1045" s="148"/>
      <c r="J1045" s="51">
        <f>IF(ISBLANK(B1045),0,+J$1036)</f>
        <v>215</v>
      </c>
      <c r="K1045" s="17">
        <f>ROUND($B1045*K$1036,2)</f>
        <v>-0.04</v>
      </c>
      <c r="L1045" s="17">
        <f>IF(ISBLANK($C1045),0,IF($C1045&lt;$C$1037,ROUND($C$1037*$L$1036,2),IF($C1045&gt;L$1037,ROUND(L$1037*L$1036,2),ROUND($C1045*L$1036,2))))</f>
        <v>50000</v>
      </c>
      <c r="M1045" s="17">
        <f>IF($C1045&gt;L$1037,ROUND(($C1045-L$1037)*M$1036,2),0)</f>
        <v>0</v>
      </c>
      <c r="N1045" s="17">
        <f>K1045</f>
        <v>-0.04</v>
      </c>
      <c r="O1045" s="17"/>
      <c r="P1045" s="17"/>
      <c r="Q1045" s="17">
        <f>SUM(L1045:M1045)</f>
        <v>50000</v>
      </c>
      <c r="R1045" s="16" t="e">
        <f>ROUND(SUM(K1045:M1045)*(R1044-1),2)</f>
        <v>#N/A</v>
      </c>
      <c r="S1045" s="17">
        <f>ROUND($B1045*S$1036*S1044,2)</f>
        <v>0</v>
      </c>
      <c r="T1045" s="17">
        <f t="shared" ref="T1045:AA1045" si="59">ROUND($B1045*T$1036,2)</f>
        <v>0</v>
      </c>
      <c r="U1045" s="17">
        <f t="shared" si="59"/>
        <v>0</v>
      </c>
      <c r="V1045" s="8">
        <f t="shared" si="59"/>
        <v>-0.02</v>
      </c>
      <c r="W1045" s="17">
        <f t="shared" si="59"/>
        <v>0</v>
      </c>
      <c r="X1045" s="17">
        <f t="shared" si="59"/>
        <v>-0.01</v>
      </c>
      <c r="Y1045" s="17">
        <f t="shared" si="59"/>
        <v>0</v>
      </c>
      <c r="Z1045" s="17">
        <f t="shared" si="59"/>
        <v>0</v>
      </c>
      <c r="AA1045" s="17">
        <f t="shared" si="59"/>
        <v>0</v>
      </c>
      <c r="AB1045" s="19">
        <f>SUM(U1040:AA1040)</f>
        <v>0</v>
      </c>
      <c r="AC1045" s="67" t="str">
        <f>+F1045</f>
        <v>HL2</v>
      </c>
    </row>
    <row r="1046" spans="1:29" x14ac:dyDescent="0.2">
      <c r="A1046" s="9"/>
      <c r="B1046" s="103">
        <v>-1</v>
      </c>
      <c r="D1046" s="8"/>
      <c r="E1046" s="9"/>
      <c r="F1046" s="36"/>
      <c r="G1046" s="12"/>
      <c r="H1046" s="12"/>
      <c r="J1046" s="12"/>
      <c r="K1046" s="12"/>
      <c r="L1046" s="12"/>
      <c r="M1046" s="12"/>
      <c r="N1046" s="12"/>
      <c r="O1046" s="12"/>
      <c r="P1046" s="12"/>
      <c r="Q1046" s="12"/>
      <c r="R1046" s="16" t="e">
        <f>VLOOKUP((D1047),'Pwr Factor'!$A$1:$B$52,2)</f>
        <v>#N/A</v>
      </c>
      <c r="S1046" s="50">
        <v>0.1</v>
      </c>
      <c r="T1046" s="12"/>
      <c r="U1046" s="12"/>
      <c r="V1046" s="12"/>
      <c r="W1046" s="12"/>
      <c r="X1046" s="12"/>
      <c r="Y1046" s="12"/>
      <c r="Z1046" s="12"/>
      <c r="AA1046" s="12"/>
    </row>
    <row r="1047" spans="1:29" x14ac:dyDescent="0.2">
      <c r="A1047" s="1" t="s">
        <v>154</v>
      </c>
      <c r="B1047" s="103">
        <f>IF(AND('AES Indiana Bill Calc.'!$D$17="HL2",'AES Indiana Bill Calc.'!$D$18="Yes 10%",'AES Indiana Bill Calc.'!$D$20="No"),'AES Indiana Bill Calc.'!$D$19,-1)</f>
        <v>-1</v>
      </c>
      <c r="C1047" s="103">
        <f>MAX(E1047,$C$905)</f>
        <v>2000</v>
      </c>
      <c r="D1047" s="103" t="b">
        <f>IF(AND('AES Indiana Bill Calc.'!$D$17="HL2",'AES Indiana Bill Calc.'!$D$18="Yes 10%",'AES Indiana Bill Calc.'!$D$20="No"),'AES Indiana Bill Calc.'!$D$22)</f>
        <v>0</v>
      </c>
      <c r="E1047" s="103" t="b">
        <f>IF(AND('AES Indiana Bill Calc.'!$D$17="HL2",'AES Indiana Bill Calc.'!$D$18="Yes 10%",'AES Indiana Bill Calc.'!$D$20="No"),'AES Indiana Bill Calc.'!$D$21)</f>
        <v>0</v>
      </c>
      <c r="F1047" s="36" t="s">
        <v>67</v>
      </c>
      <c r="G1047" s="92" t="e">
        <f>SUM(J1047:M1047,R1047:AA1047)</f>
        <v>#N/A</v>
      </c>
      <c r="H1047" s="19" t="e">
        <f>IF(ISBLANK(B1047),0,+#REF!/B1047)</f>
        <v>#REF!</v>
      </c>
      <c r="I1047" s="148"/>
      <c r="J1047" s="51">
        <f>IF(ISBLANK(B1047),0,+J$1036)</f>
        <v>215</v>
      </c>
      <c r="K1047" s="17">
        <f>ROUND($B1047*K$1036,2)</f>
        <v>-0.04</v>
      </c>
      <c r="L1047" s="17">
        <f>IF(ISBLANK($C1047),0,IF($C1047&lt;$C$1037,ROUND($C$1037*$L$1036,2),IF($C1047&gt;L$1037,ROUND(L$1037*L$1036,2),ROUND($C1047*L$1036,2))))</f>
        <v>50000</v>
      </c>
      <c r="M1047" s="17">
        <f>IF($C1047&gt;L$1037,ROUND(($C1047-L$1037)*M$1036,2),0)</f>
        <v>0</v>
      </c>
      <c r="N1047" s="17">
        <f>K1047</f>
        <v>-0.04</v>
      </c>
      <c r="O1047" s="17"/>
      <c r="P1047" s="17"/>
      <c r="Q1047" s="17">
        <f>SUM(L1047:M1047)</f>
        <v>50000</v>
      </c>
      <c r="R1047" s="16" t="e">
        <f>ROUND(SUM(K1047:M1047)*(R1046-1),2)</f>
        <v>#N/A</v>
      </c>
      <c r="S1047" s="17">
        <f>ROUND($B1047*S$1036*S1046,2)</f>
        <v>0</v>
      </c>
      <c r="T1047" s="17">
        <f t="shared" ref="T1047:AA1047" si="60">ROUND($B1047*T$1036,2)</f>
        <v>0</v>
      </c>
      <c r="U1047" s="17">
        <f t="shared" si="60"/>
        <v>0</v>
      </c>
      <c r="V1047" s="8">
        <f t="shared" si="60"/>
        <v>-0.02</v>
      </c>
      <c r="W1047" s="17">
        <f t="shared" si="60"/>
        <v>0</v>
      </c>
      <c r="X1047" s="17">
        <f t="shared" si="60"/>
        <v>-0.01</v>
      </c>
      <c r="Y1047" s="17">
        <f t="shared" si="60"/>
        <v>0</v>
      </c>
      <c r="Z1047" s="17">
        <f t="shared" si="60"/>
        <v>0</v>
      </c>
      <c r="AA1047" s="17">
        <f t="shared" si="60"/>
        <v>0</v>
      </c>
      <c r="AB1047" s="19">
        <f>SUM(U1042:AA1042)</f>
        <v>0</v>
      </c>
      <c r="AC1047" s="67" t="str">
        <f>+F1047</f>
        <v>HL2</v>
      </c>
    </row>
    <row r="1048" spans="1:29" x14ac:dyDescent="0.2">
      <c r="A1048" s="9"/>
      <c r="B1048" s="103">
        <v>-1</v>
      </c>
      <c r="D1048" s="8"/>
      <c r="E1048" s="9"/>
      <c r="F1048" s="36"/>
      <c r="G1048" s="12"/>
      <c r="H1048" s="12"/>
      <c r="J1048" s="12"/>
      <c r="K1048" s="12"/>
      <c r="L1048" s="12"/>
      <c r="M1048" s="12"/>
      <c r="N1048" s="12"/>
      <c r="O1048" s="12"/>
      <c r="P1048" s="12"/>
      <c r="Q1048" s="12"/>
      <c r="R1048" s="16" t="e">
        <f>VLOOKUP((D1049),'Pwr Factor'!$A$1:$B$52,2)</f>
        <v>#N/A</v>
      </c>
      <c r="S1048" s="50">
        <v>0</v>
      </c>
      <c r="T1048" s="12"/>
      <c r="U1048" s="12"/>
      <c r="V1048" s="12"/>
      <c r="W1048" s="12"/>
      <c r="X1048" s="12"/>
      <c r="Y1048" s="12"/>
      <c r="Z1048" s="12"/>
      <c r="AA1048" s="12"/>
    </row>
    <row r="1049" spans="1:29" x14ac:dyDescent="0.2">
      <c r="A1049" s="1" t="s">
        <v>137</v>
      </c>
      <c r="B1049" s="103">
        <f>IF(AND('AES Indiana Bill Calc.'!$D$17="HL2",'AES Indiana Bill Calc.'!$D$18="No",'AES Indiana Bill Calc.'!$D$20="No"),'AES Indiana Bill Calc.'!$D$19,-1)</f>
        <v>-1</v>
      </c>
      <c r="C1049" s="103">
        <f>MAX(E1049,$C$905)</f>
        <v>2000</v>
      </c>
      <c r="D1049" s="103" t="b">
        <f>IF(AND('AES Indiana Bill Calc.'!$D$17="HL2",'AES Indiana Bill Calc.'!$D$18="No",'AES Indiana Bill Calc.'!$D$20="No"),'AES Indiana Bill Calc.'!$D$22)</f>
        <v>0</v>
      </c>
      <c r="E1049" s="103" t="b">
        <f>IF(AND('AES Indiana Bill Calc.'!$D$17="HL2",'AES Indiana Bill Calc.'!$D$18="No",'AES Indiana Bill Calc.'!$D$20="No"),'AES Indiana Bill Calc.'!$D$21)</f>
        <v>0</v>
      </c>
      <c r="F1049" s="36" t="s">
        <v>67</v>
      </c>
      <c r="G1049" s="92" t="e">
        <f>SUM(J1049:M1049,R1049:AA1049)</f>
        <v>#N/A</v>
      </c>
      <c r="H1049" s="19" t="e">
        <f>IF(ISBLANK(B1049),0,+#REF!/B1049)</f>
        <v>#REF!</v>
      </c>
      <c r="I1049" s="148"/>
      <c r="J1049" s="51">
        <f t="shared" ref="J1049:J1112" si="61">IF(ISBLANK(B1049),0,+J$1036)</f>
        <v>215</v>
      </c>
      <c r="K1049" s="17">
        <f t="shared" ref="K1049:K1112" si="62">ROUND($B1049*K$1036,2)</f>
        <v>-0.04</v>
      </c>
      <c r="L1049" s="17">
        <f>IF(ISBLANK($C1049),0,IF($C1049&lt;$C$1037,ROUND($C$1037*$L$1036,2),IF($C1049&gt;L$1037,ROUND(L$1037*L$1036,2),ROUND($C1049*L$1036,2))))</f>
        <v>50000</v>
      </c>
      <c r="M1049" s="17">
        <f>IF($C1049&gt;L$1037,ROUND(($C1049-L$1037)*M$1036,2),0)</f>
        <v>0</v>
      </c>
      <c r="N1049" s="17">
        <f>K1049</f>
        <v>-0.04</v>
      </c>
      <c r="O1049" s="17"/>
      <c r="P1049" s="17"/>
      <c r="Q1049" s="17">
        <f>SUM(L1049:M1049)</f>
        <v>50000</v>
      </c>
      <c r="R1049" s="16" t="e">
        <f>ROUND(SUM(K1049:M1049)*(R1048-1),2)</f>
        <v>#N/A</v>
      </c>
      <c r="S1049" s="17">
        <f>ROUND($B1049*S$1036*S1048,2)</f>
        <v>0</v>
      </c>
      <c r="T1049" s="17">
        <f t="shared" ref="T1049:AA1049" si="63">ROUND($B1049*T$1036,2)</f>
        <v>0</v>
      </c>
      <c r="U1049" s="17">
        <f t="shared" si="63"/>
        <v>0</v>
      </c>
      <c r="V1049" s="8">
        <f t="shared" si="63"/>
        <v>-0.02</v>
      </c>
      <c r="W1049" s="17">
        <f t="shared" si="63"/>
        <v>0</v>
      </c>
      <c r="X1049" s="17">
        <f t="shared" si="63"/>
        <v>-0.01</v>
      </c>
      <c r="Y1049" s="17">
        <f t="shared" si="63"/>
        <v>0</v>
      </c>
      <c r="Z1049" s="17">
        <f t="shared" si="63"/>
        <v>0</v>
      </c>
      <c r="AA1049" s="17">
        <f t="shared" si="63"/>
        <v>0</v>
      </c>
      <c r="AB1049" s="19">
        <f>SUM(U1044:AA1044)</f>
        <v>0</v>
      </c>
      <c r="AC1049" s="67" t="str">
        <f t="shared" ref="AC1049:AC1112" si="64">+F1049</f>
        <v>HL2</v>
      </c>
    </row>
    <row r="1050" spans="1:29" x14ac:dyDescent="0.2">
      <c r="B1050" s="103">
        <v>-1</v>
      </c>
      <c r="D1050" s="32"/>
      <c r="E1050" s="103"/>
      <c r="F1050" s="36"/>
      <c r="G1050" s="92"/>
      <c r="H1050" s="19" t="e">
        <f>IF(ISBLANK(B1050),0,+#REF!/B1050)</f>
        <v>#REF!</v>
      </c>
      <c r="J1050" s="109">
        <f t="shared" si="61"/>
        <v>215</v>
      </c>
      <c r="K1050" s="92">
        <f t="shared" si="62"/>
        <v>-0.04</v>
      </c>
      <c r="L1050" s="92">
        <f>IF(ISBLANK($E1050),0,IF($E1050&lt;$C$1037,ROUND($C$1037*$L$1036,2),IF($E1050&gt;L$1037,ROUND(L$1037*L$1036,2),ROUND($E1050*L$1036,2))))</f>
        <v>0</v>
      </c>
      <c r="M1050" s="92">
        <f>IF($E1050&gt;L$1037,ROUND(($E1050-L$1037)*M$1036,2),0)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4"/>
        <v>0</v>
      </c>
    </row>
    <row r="1051" spans="1:29" x14ac:dyDescent="0.2">
      <c r="A1051" s="1" t="s">
        <v>138</v>
      </c>
      <c r="B1051" s="103">
        <f>IF(AND('AES Indiana Bill Calc.'!$D$17="HL2",'AES Indiana Bill Calc.'!$D$18="Yes 100%",'AES Indiana Bill Calc.'!$D$20="Yes Before 2018"),'AES Indiana Bill Calc.'!$D$19,-1)</f>
        <v>-1</v>
      </c>
      <c r="C1051" s="103">
        <f>MAX(E1051,$C$905)</f>
        <v>2000</v>
      </c>
      <c r="D1051" s="103" t="b">
        <f>IF(AND('AES Indiana Bill Calc.'!$D$17="HL2",'AES Indiana Bill Calc.'!$D$18="Yes 100%",'AES Indiana Bill Calc.'!$D$20="Yes Before 2018"),'AES Indiana Bill Calc.'!$D$22)</f>
        <v>0</v>
      </c>
      <c r="E1051" s="103" t="b">
        <f>IF(AND('AES Indiana Bill Calc.'!$D$17="HL2",'AES Indiana Bill Calc.'!$D$18="Yes 100%",'AES Indiana Bill Calc.'!$D$20="Yes Before 2018"),'AES Indiana Bill Calc.'!$D$21)</f>
        <v>0</v>
      </c>
      <c r="F1051" s="36" t="s">
        <v>231</v>
      </c>
      <c r="G1051" s="92" t="e">
        <f>SUM(J1051:M1051,R1051:AA1051)</f>
        <v>#N/A</v>
      </c>
      <c r="H1051" s="19" t="e">
        <f>IF(ISBLANK(B1051),0,+#REF!/B1051)</f>
        <v>#REF!</v>
      </c>
      <c r="J1051" s="109">
        <f t="shared" si="61"/>
        <v>215</v>
      </c>
      <c r="K1051" s="92">
        <f t="shared" si="62"/>
        <v>-0.04</v>
      </c>
      <c r="L1051" s="17">
        <f>IF(ISBLANK($C1051),0,IF($C1051&lt;$C$1037,ROUND($C$1037*$L$1036,2),IF($C1051&gt;L$1037,ROUND(L$1037*L$1036,2),ROUND($C1051*L$1036,2))))</f>
        <v>50000</v>
      </c>
      <c r="M1051" s="17">
        <f>IF($C1051&gt;L$1037,ROUND(($C1051-L$1037)*M$1036,2),0)</f>
        <v>0</v>
      </c>
      <c r="N1051" s="17">
        <f>K1051</f>
        <v>-0.04</v>
      </c>
      <c r="O1051" s="92"/>
      <c r="P1051" s="92"/>
      <c r="Q1051" s="17">
        <f>SUM(L1051:M1051)</f>
        <v>50000</v>
      </c>
      <c r="R1051" s="110" t="e">
        <f>ROUND(SUM(K1051:M1051)*(R1050-1),2)</f>
        <v>#N/A</v>
      </c>
      <c r="S1051" s="92">
        <f>ROUND($B1051*S$1036*S1050,2)</f>
        <v>0</v>
      </c>
      <c r="T1051" s="92">
        <f>ROUND($B1051*T$1036,2)</f>
        <v>0</v>
      </c>
      <c r="U1051" s="92">
        <f>ROUND($B1051*U$1036,2)</f>
        <v>0</v>
      </c>
      <c r="V1051" s="32">
        <f>ROUND($B1051*$V$1026,2)</f>
        <v>0</v>
      </c>
      <c r="W1051" s="92">
        <f>ROUND($B1051*W$1036,2)</f>
        <v>0</v>
      </c>
      <c r="X1051" s="92">
        <f>ROUND($B1051*X$1036,2)</f>
        <v>-0.01</v>
      </c>
      <c r="Y1051" s="92">
        <f>ROUND($B1051*Y$1036,2)</f>
        <v>0</v>
      </c>
      <c r="Z1051" s="92">
        <f>ROUND($B1051*Z$1036,2)</f>
        <v>0</v>
      </c>
      <c r="AA1051" s="92">
        <f>ROUND($B1051*AA$1036,2)</f>
        <v>0</v>
      </c>
      <c r="AB1051" s="19">
        <f>SUM(U$1036:AA$1036)+(-V$1036+V1037)</f>
        <v>1.2243E-2</v>
      </c>
      <c r="AC1051" s="105" t="str">
        <f t="shared" si="64"/>
        <v>HL27</v>
      </c>
    </row>
    <row r="1052" spans="1:29" x14ac:dyDescent="0.2">
      <c r="A1052" s="9"/>
      <c r="B1052" s="103">
        <v>-1</v>
      </c>
      <c r="D1052" s="32"/>
      <c r="E1052" s="103"/>
      <c r="F1052" s="36"/>
      <c r="G1052" s="92"/>
      <c r="H1052" s="19" t="e">
        <f>IF(ISBLANK(B1052),0,+#REF!/B1052)</f>
        <v>#REF!</v>
      </c>
      <c r="J1052" s="109">
        <f t="shared" si="61"/>
        <v>215</v>
      </c>
      <c r="K1052" s="92">
        <f t="shared" si="62"/>
        <v>-0.04</v>
      </c>
      <c r="L1052" s="92">
        <f>IF(ISBLANK($E1052),0,IF($E1052&lt;$C$1037,ROUND($C$1037*$L$1036,2),IF($E1052&gt;L$1037,ROUND(L$1037*L$1036,2),ROUND($E1052*L$1036,2))))</f>
        <v>0</v>
      </c>
      <c r="M1052" s="92">
        <f>IF($E1052&gt;L$1037,ROUND(($E1052-L$1037)*M$1036,2),0)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4"/>
        <v>0</v>
      </c>
    </row>
    <row r="1053" spans="1:29" x14ac:dyDescent="0.2">
      <c r="A1053" s="1" t="s">
        <v>139</v>
      </c>
      <c r="B1053" s="103">
        <f>IF(AND('AES Indiana Bill Calc.'!$D$17="HL2",'AES Indiana Bill Calc.'!$D$18="Yes 50%",'AES Indiana Bill Calc.'!$D$20="Yes Before 2018"),'AES Indiana Bill Calc.'!$D$19,-1)</f>
        <v>-1</v>
      </c>
      <c r="C1053" s="103">
        <f>MAX(E1053,$C$905)</f>
        <v>2000</v>
      </c>
      <c r="D1053" s="103" t="b">
        <f>IF(AND('AES Indiana Bill Calc.'!$D$17="HL2",'AES Indiana Bill Calc.'!$D$18="Yes 50%",'AES Indiana Bill Calc.'!$D$20="Yes Before 2018"),'AES Indiana Bill Calc.'!$D$22)</f>
        <v>0</v>
      </c>
      <c r="E1053" s="103" t="b">
        <f>IF(AND('AES Indiana Bill Calc.'!$D$17="HL2",'AES Indiana Bill Calc.'!$D$18="Yes 50%",'AES Indiana Bill Calc.'!$D$20="Yes Before 2018"),'AES Indiana Bill Calc.'!$D$21)</f>
        <v>0</v>
      </c>
      <c r="F1053" s="36" t="s">
        <v>231</v>
      </c>
      <c r="G1053" s="92" t="e">
        <f>SUM(J1053:M1053,R1053:AA1053)</f>
        <v>#N/A</v>
      </c>
      <c r="H1053" s="19" t="e">
        <f>IF(ISBLANK(B1053),0,+#REF!/B1053)</f>
        <v>#REF!</v>
      </c>
      <c r="J1053" s="109">
        <f t="shared" si="61"/>
        <v>215</v>
      </c>
      <c r="K1053" s="92">
        <f t="shared" si="62"/>
        <v>-0.04</v>
      </c>
      <c r="L1053" s="17">
        <f>IF(ISBLANK($C1053),0,IF($C1053&lt;$C$1037,ROUND($C$1037*$L$1036,2),IF($C1053&gt;L$1037,ROUND(L$1037*L$1036,2),ROUND($C1053*L$1036,2))))</f>
        <v>50000</v>
      </c>
      <c r="M1053" s="17">
        <f>IF($C1053&gt;L$1037,ROUND(($C1053-L$1037)*M$1036,2),0)</f>
        <v>0</v>
      </c>
      <c r="N1053" s="17">
        <f>K1053</f>
        <v>-0.04</v>
      </c>
      <c r="O1053" s="92"/>
      <c r="P1053" s="92"/>
      <c r="Q1053" s="17">
        <f>SUM(L1053:M1053)</f>
        <v>50000</v>
      </c>
      <c r="R1053" s="110" t="e">
        <f>ROUND(SUM(K1053:M1053)*(R1052-1),2)</f>
        <v>#N/A</v>
      </c>
      <c r="S1053" s="92">
        <f>ROUND($B1053*S$1036*S1052,2)</f>
        <v>0</v>
      </c>
      <c r="T1053" s="92">
        <f>ROUND($B1053*T$1036,2)</f>
        <v>0</v>
      </c>
      <c r="U1053" s="92">
        <f>ROUND($B1053*U$1036,2)</f>
        <v>0</v>
      </c>
      <c r="V1053" s="32">
        <f>ROUND($B1053*$V$1026,2)</f>
        <v>0</v>
      </c>
      <c r="W1053" s="92">
        <f>ROUND($B1053*W$1036,2)</f>
        <v>0</v>
      </c>
      <c r="X1053" s="92">
        <f>ROUND($B1053*X$1036,2)</f>
        <v>-0.01</v>
      </c>
      <c r="Y1053" s="92">
        <f>ROUND($B1053*Y$1036,2)</f>
        <v>0</v>
      </c>
      <c r="Z1053" s="92">
        <f>ROUND($B1053*Z$1036,2)</f>
        <v>0</v>
      </c>
      <c r="AA1053" s="92">
        <f>ROUND($B1053*AA$1036,2)</f>
        <v>0</v>
      </c>
      <c r="AB1053" s="19" t="e">
        <f>SUM(U$1036:AA$1036)+(-V$1036+V1039)</f>
        <v>#VALUE!</v>
      </c>
      <c r="AC1053" s="105" t="str">
        <f t="shared" si="64"/>
        <v>HL27</v>
      </c>
    </row>
    <row r="1054" spans="1:29" x14ac:dyDescent="0.2">
      <c r="A1054" s="9"/>
      <c r="B1054" s="103">
        <v>-1</v>
      </c>
      <c r="D1054" s="32"/>
      <c r="E1054" s="103"/>
      <c r="F1054" s="36"/>
      <c r="G1054" s="92"/>
      <c r="H1054" s="19" t="e">
        <f>IF(ISBLANK(B1054),0,+#REF!/B1054)</f>
        <v>#REF!</v>
      </c>
      <c r="J1054" s="109">
        <f t="shared" si="61"/>
        <v>215</v>
      </c>
      <c r="K1054" s="92">
        <f t="shared" si="62"/>
        <v>-0.04</v>
      </c>
      <c r="L1054" s="92">
        <f>IF(ISBLANK($E1054),0,IF($E1054&lt;$C$1037,ROUND($C$1037*$L$1036,2),IF($E1054&gt;L$1037,ROUND(L$1037*L$1036,2),ROUND($E1054*L$1036,2))))</f>
        <v>0</v>
      </c>
      <c r="M1054" s="92">
        <f>IF($E1054&gt;L$1037,ROUND(($E1054-L$1037)*M$1036,2),0)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64"/>
        <v>0</v>
      </c>
    </row>
    <row r="1055" spans="1:29" x14ac:dyDescent="0.2">
      <c r="A1055" s="1" t="s">
        <v>140</v>
      </c>
      <c r="B1055" s="103">
        <f>IF(AND('AES Indiana Bill Calc.'!$D$17="HL2",'AES Indiana Bill Calc.'!$D$18="Yes 25%",'AES Indiana Bill Calc.'!$D$20="Yes Before 2018"),'AES Indiana Bill Calc.'!$D$19,-1)</f>
        <v>-1</v>
      </c>
      <c r="C1055" s="103">
        <f>MAX(E1055,$C$905)</f>
        <v>2000</v>
      </c>
      <c r="D1055" s="103" t="b">
        <f>IF(AND('AES Indiana Bill Calc.'!$D$17="HL2",'AES Indiana Bill Calc.'!$D$18="Yes 25%",'AES Indiana Bill Calc.'!$D$20="Yes Before 2018"),'AES Indiana Bill Calc.'!$D$22)</f>
        <v>0</v>
      </c>
      <c r="E1055" s="103" t="b">
        <f>IF(AND('AES Indiana Bill Calc.'!$D$17="HL2",'AES Indiana Bill Calc.'!$D$18="Yes 25%",'AES Indiana Bill Calc.'!$D$20="Yes Before 2018"),'AES Indiana Bill Calc.'!$D$21)</f>
        <v>0</v>
      </c>
      <c r="F1055" s="36" t="s">
        <v>231</v>
      </c>
      <c r="G1055" s="92" t="e">
        <f>SUM(J1055:M1055,R1055:AA1055)</f>
        <v>#N/A</v>
      </c>
      <c r="H1055" s="19" t="e">
        <f>IF(ISBLANK(B1055),0,+#REF!/B1055)</f>
        <v>#REF!</v>
      </c>
      <c r="J1055" s="109">
        <f t="shared" si="61"/>
        <v>215</v>
      </c>
      <c r="K1055" s="92">
        <f t="shared" si="62"/>
        <v>-0.04</v>
      </c>
      <c r="L1055" s="17">
        <f>IF(ISBLANK($C1055),0,IF($C1055&lt;$C$1037,ROUND($C$1037*$L$1036,2),IF($C1055&gt;L$1037,ROUND(L$1037*L$1036,2),ROUND($C1055*L$1036,2))))</f>
        <v>50000</v>
      </c>
      <c r="M1055" s="17">
        <f>IF($C1055&gt;L$1037,ROUND(($C1055-L$1037)*M$1036,2),0)</f>
        <v>0</v>
      </c>
      <c r="N1055" s="17">
        <f>K1055</f>
        <v>-0.04</v>
      </c>
      <c r="O1055" s="92"/>
      <c r="P1055" s="92"/>
      <c r="Q1055" s="17">
        <f>SUM(L1055:M1055)</f>
        <v>50000</v>
      </c>
      <c r="R1055" s="110" t="e">
        <f>ROUND(SUM(K1055:M1055)*(R1054-1),2)</f>
        <v>#N/A</v>
      </c>
      <c r="S1055" s="92">
        <f>ROUND($B1055*S$1036*S1054,2)</f>
        <v>0</v>
      </c>
      <c r="T1055" s="92">
        <f>ROUND($B1055*T$1036,2)</f>
        <v>0</v>
      </c>
      <c r="U1055" s="92">
        <f>ROUND($B1055*U$1036,2)</f>
        <v>0</v>
      </c>
      <c r="V1055" s="32">
        <f>ROUND($B1055*$V$1026,2)</f>
        <v>0</v>
      </c>
      <c r="W1055" s="92">
        <f>ROUND($B1055*W$1036,2)</f>
        <v>0</v>
      </c>
      <c r="X1055" s="92">
        <f>ROUND($B1055*X$1036,2)</f>
        <v>-0.01</v>
      </c>
      <c r="Y1055" s="92">
        <f>ROUND($B1055*Y$1036,2)</f>
        <v>0</v>
      </c>
      <c r="Z1055" s="92">
        <f>ROUND($B1055*Z$1036,2)</f>
        <v>0</v>
      </c>
      <c r="AA1055" s="92">
        <f>ROUND($B1055*AA$1036,2)</f>
        <v>0</v>
      </c>
      <c r="AB1055" s="19">
        <f>SUM(U$1036:AA$1036)+(-V$1036+V1041)</f>
        <v>-7.7569999999999965E-3</v>
      </c>
      <c r="AC1055" s="105" t="str">
        <f t="shared" si="64"/>
        <v>HL27</v>
      </c>
    </row>
    <row r="1056" spans="1:29" x14ac:dyDescent="0.2">
      <c r="A1056" s="9"/>
      <c r="B1056" s="103">
        <v>-1</v>
      </c>
      <c r="D1056" s="32"/>
      <c r="E1056" s="103"/>
      <c r="F1056" s="36"/>
      <c r="G1056" s="92"/>
      <c r="H1056" s="19" t="e">
        <f>IF(ISBLANK(B1056),0,+#REF!/B1056)</f>
        <v>#REF!</v>
      </c>
      <c r="J1056" s="109">
        <f t="shared" si="61"/>
        <v>215</v>
      </c>
      <c r="K1056" s="92">
        <f t="shared" si="62"/>
        <v>-0.04</v>
      </c>
      <c r="L1056" s="92">
        <f>IF(ISBLANK($E1056),0,IF($E1056&lt;$C$1037,ROUND($C$1037*$L$1036,2),IF($E1056&gt;L$1037,ROUND(L$1037*L$1036,2),ROUND($E1056*L$1036,2))))</f>
        <v>0</v>
      </c>
      <c r="M1056" s="92">
        <f>IF($E1056&gt;L$1037,ROUND(($E1056-L$1037)*M$1036,2),0)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64"/>
        <v>0</v>
      </c>
    </row>
    <row r="1057" spans="1:252" x14ac:dyDescent="0.2">
      <c r="A1057" s="1" t="s">
        <v>154</v>
      </c>
      <c r="B1057" s="103">
        <f>IF(AND('AES Indiana Bill Calc.'!$D$17="HL2",'AES Indiana Bill Calc.'!$D$18="Yes 10%",'AES Indiana Bill Calc.'!$D$20="Yes Before 2018"),'AES Indiana Bill Calc.'!$D$19,-1)</f>
        <v>-1</v>
      </c>
      <c r="C1057" s="103">
        <f>MAX(E1057,$C$905)</f>
        <v>2000</v>
      </c>
      <c r="D1057" s="103" t="b">
        <f>IF(AND('AES Indiana Bill Calc.'!$D$17="HL2",'AES Indiana Bill Calc.'!$D$18="Yes 10%",'AES Indiana Bill Calc.'!$D$20="Yes Before 2018"),'AES Indiana Bill Calc.'!$D$22)</f>
        <v>0</v>
      </c>
      <c r="E1057" s="103" t="b">
        <f>IF(AND('AES Indiana Bill Calc.'!$D$17="HL2",'AES Indiana Bill Calc.'!$D$18="Yes 10%",'AES Indiana Bill Calc.'!$D$20="Yes Before 2018"),'AES Indiana Bill Calc.'!$D$21)</f>
        <v>0</v>
      </c>
      <c r="F1057" s="36" t="s">
        <v>231</v>
      </c>
      <c r="G1057" s="92" t="e">
        <f>SUM(J1057:M1057,R1057:AA1057)</f>
        <v>#N/A</v>
      </c>
      <c r="H1057" s="19" t="e">
        <f>IF(ISBLANK(B1057),0,+#REF!/B1057)</f>
        <v>#REF!</v>
      </c>
      <c r="J1057" s="109">
        <f t="shared" si="61"/>
        <v>215</v>
      </c>
      <c r="K1057" s="92">
        <f t="shared" si="62"/>
        <v>-0.04</v>
      </c>
      <c r="L1057" s="17">
        <f>IF(ISBLANK($C1057),0,IF($C1057&lt;$C$1037,ROUND($C$1037*$L$1036,2),IF($C1057&gt;L$1037,ROUND(L$1037*L$1036,2),ROUND($C1057*L$1036,2))))</f>
        <v>50000</v>
      </c>
      <c r="M1057" s="17">
        <f>IF($C1057&gt;L$1037,ROUND(($C1057-L$1037)*M$1036,2),0)</f>
        <v>0</v>
      </c>
      <c r="N1057" s="17">
        <f>K1057</f>
        <v>-0.04</v>
      </c>
      <c r="O1057" s="92"/>
      <c r="P1057" s="92"/>
      <c r="Q1057" s="17">
        <f>SUM(L1057:M1057)</f>
        <v>50000</v>
      </c>
      <c r="R1057" s="110" t="e">
        <f>ROUND(SUM(K1057:M1057)*(R1056-1),2)</f>
        <v>#N/A</v>
      </c>
      <c r="S1057" s="92">
        <f>ROUND($B1057*S$1036*S1056,2)</f>
        <v>0</v>
      </c>
      <c r="T1057" s="92">
        <f>ROUND($B1057*T$1036,2)</f>
        <v>0</v>
      </c>
      <c r="U1057" s="92">
        <f>ROUND($B1057*U$1036,2)</f>
        <v>0</v>
      </c>
      <c r="V1057" s="32">
        <f>ROUND($B1057*$V$1026,2)</f>
        <v>0</v>
      </c>
      <c r="W1057" s="92">
        <f>ROUND($B1057*W$1036,2)</f>
        <v>0</v>
      </c>
      <c r="X1057" s="92">
        <f>ROUND($B1057*X$1036,2)</f>
        <v>-0.01</v>
      </c>
      <c r="Y1057" s="92">
        <f>ROUND($B1057*Y$1036,2)</f>
        <v>0</v>
      </c>
      <c r="Z1057" s="92">
        <f>ROUND($B1057*Z$1036,2)</f>
        <v>0</v>
      </c>
      <c r="AA1057" s="92">
        <f>ROUND($B1057*AA$1036,2)</f>
        <v>0</v>
      </c>
      <c r="AB1057" s="19">
        <f>SUM(U$1036:AA$1036)+(-V$1036+V1043)</f>
        <v>-7.7569999999999965E-3</v>
      </c>
      <c r="AC1057" s="105" t="str">
        <f t="shared" si="64"/>
        <v>HL27</v>
      </c>
    </row>
    <row r="1058" spans="1:252" x14ac:dyDescent="0.2">
      <c r="A1058" s="9"/>
      <c r="B1058" s="103">
        <v>-1</v>
      </c>
      <c r="D1058" s="32"/>
      <c r="E1058" s="103"/>
      <c r="F1058" s="36"/>
      <c r="G1058" s="92"/>
      <c r="H1058" s="19" t="e">
        <f>IF(ISBLANK(B1058),0,+#REF!/B1058)</f>
        <v>#REF!</v>
      </c>
      <c r="J1058" s="109">
        <f t="shared" si="61"/>
        <v>215</v>
      </c>
      <c r="K1058" s="92">
        <f t="shared" si="62"/>
        <v>-0.04</v>
      </c>
      <c r="L1058" s="92">
        <f>IF(ISBLANK($E1058),0,IF($E1058&lt;$C$1037,ROUND($C$1037*$L$1036,2),IF($E1058&gt;L$1037,ROUND(L$1037*L$1036,2),ROUND($E1058*L$1036,2))))</f>
        <v>0</v>
      </c>
      <c r="M1058" s="92">
        <f>IF($E1058&gt;L$1037,ROUND(($E1058-L$1037)*M$1036,2),0)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64"/>
        <v>0</v>
      </c>
    </row>
    <row r="1059" spans="1:252" x14ac:dyDescent="0.2">
      <c r="A1059" s="1" t="s">
        <v>137</v>
      </c>
      <c r="B1059" s="103">
        <f>IF(AND('AES Indiana Bill Calc.'!$D$17="HL2",'AES Indiana Bill Calc.'!$D$18="No",'AES Indiana Bill Calc.'!$D$20="Yes Before 2018"),'AES Indiana Bill Calc.'!$D$19,-1)</f>
        <v>-1</v>
      </c>
      <c r="C1059" s="103">
        <f>MAX(E1059,$C$905)</f>
        <v>2000</v>
      </c>
      <c r="D1059" s="103" t="b">
        <f>IF(AND('AES Indiana Bill Calc.'!$D$17="HL2",'AES Indiana Bill Calc.'!$D$18="No",'AES Indiana Bill Calc.'!$D$20="Yes Before 2018"),'AES Indiana Bill Calc.'!$D$22)</f>
        <v>0</v>
      </c>
      <c r="E1059" s="103" t="b">
        <f>IF(AND('AES Indiana Bill Calc.'!$D$17="HL2",'AES Indiana Bill Calc.'!$D$18="No",'AES Indiana Bill Calc.'!$D$20="Yes Before 2018"),'AES Indiana Bill Calc.'!$D$21)</f>
        <v>0</v>
      </c>
      <c r="F1059" s="36" t="s">
        <v>231</v>
      </c>
      <c r="G1059" s="92" t="e">
        <f>SUM(J1059:M1059,R1059:AA1059)</f>
        <v>#N/A</v>
      </c>
      <c r="H1059" s="19" t="e">
        <f>IF(ISBLANK(B1059),0,+#REF!/B1059)</f>
        <v>#REF!</v>
      </c>
      <c r="J1059" s="109">
        <f t="shared" si="61"/>
        <v>215</v>
      </c>
      <c r="K1059" s="92">
        <f t="shared" si="62"/>
        <v>-0.04</v>
      </c>
      <c r="L1059" s="17">
        <f>IF(ISBLANK($C1059),0,IF($C1059&lt;$C$1037,ROUND($C$1037*$L$1036,2),IF($C1059&gt;L$1037,ROUND(L$1037*L$1036,2),ROUND($C1059*L$1036,2))))</f>
        <v>50000</v>
      </c>
      <c r="M1059" s="17">
        <f>IF($C1059&gt;L$1037,ROUND(($C1059-L$1037)*M$1036,2),0)</f>
        <v>0</v>
      </c>
      <c r="N1059" s="17">
        <f>K1059</f>
        <v>-0.04</v>
      </c>
      <c r="O1059" s="92"/>
      <c r="P1059" s="92"/>
      <c r="Q1059" s="17">
        <f>SUM(L1059:M1059)</f>
        <v>50000</v>
      </c>
      <c r="R1059" s="110" t="e">
        <f>ROUND(SUM(K1059:M1059)*(R1058-1),2)</f>
        <v>#N/A</v>
      </c>
      <c r="S1059" s="92">
        <f>ROUND($B1059*S$1036*S1058,2)</f>
        <v>0</v>
      </c>
      <c r="T1059" s="92">
        <f>ROUND($B1059*T$1036,2)</f>
        <v>0</v>
      </c>
      <c r="U1059" s="92">
        <f>ROUND($B1059*U$1036,2)</f>
        <v>0</v>
      </c>
      <c r="V1059" s="32">
        <f>ROUND($B1059*$V$1026,2)</f>
        <v>0</v>
      </c>
      <c r="W1059" s="92">
        <f>ROUND($B1059*W$1036,2)</f>
        <v>0</v>
      </c>
      <c r="X1059" s="92">
        <f>ROUND($B1059*X$1036,2)</f>
        <v>-0.01</v>
      </c>
      <c r="Y1059" s="92">
        <f>ROUND($B1059*Y$1036,2)</f>
        <v>0</v>
      </c>
      <c r="Z1059" s="92">
        <f>ROUND($B1059*Z$1036,2)</f>
        <v>0</v>
      </c>
      <c r="AA1059" s="92">
        <f>ROUND($B1059*AA$1036,2)</f>
        <v>0</v>
      </c>
      <c r="AB1059" s="19">
        <f>SUM(U$1036:AA$1036)+(-V$1036+V1045)</f>
        <v>-7.7569999999999965E-3</v>
      </c>
      <c r="AC1059" s="105" t="str">
        <f t="shared" si="64"/>
        <v>HL27</v>
      </c>
    </row>
    <row r="1060" spans="1:252" x14ac:dyDescent="0.2">
      <c r="B1060" s="103">
        <v>-1</v>
      </c>
      <c r="D1060" s="32"/>
      <c r="E1060" s="103"/>
      <c r="F1060" s="36"/>
      <c r="G1060" s="92"/>
      <c r="H1060" s="19" t="e">
        <f>IF(ISBLANK(B1060),0,+#REF!/B1060)</f>
        <v>#REF!</v>
      </c>
      <c r="J1060" s="109">
        <f t="shared" si="61"/>
        <v>215</v>
      </c>
      <c r="K1060" s="92">
        <f t="shared" si="62"/>
        <v>-0.04</v>
      </c>
      <c r="L1060" s="92">
        <f>IF(ISBLANK($E1060),0,IF($E1060&lt;$C$1037,ROUND($C$1037*$L$1036,2),IF($E1060&gt;L$1037,ROUND(L$1037*L$1036,2),ROUND($E1060*L$1036,2))))</f>
        <v>0</v>
      </c>
      <c r="M1060" s="92">
        <f>IF($E1060&gt;L$1037,ROUND(($E1060-L$1037)*M$1036,2),0)</f>
        <v>0</v>
      </c>
      <c r="N1060" s="92"/>
      <c r="O1060" s="92"/>
      <c r="P1060" s="92"/>
      <c r="Q1060" s="92"/>
      <c r="R1060" s="16" t="e">
        <f>VLOOKUP((D1061),'Pwr Factor'!$A$1:$B$52,2)</f>
        <v>#N/A</v>
      </c>
      <c r="S1060" s="50">
        <v>1</v>
      </c>
      <c r="T1060" s="92"/>
      <c r="U1060" s="92"/>
      <c r="V1060" s="32"/>
      <c r="W1060" s="92"/>
      <c r="X1060" s="92"/>
      <c r="Y1060" s="92"/>
      <c r="Z1060" s="92"/>
      <c r="AA1060" s="92"/>
      <c r="AB1060" s="19"/>
      <c r="AC1060" s="105">
        <f t="shared" si="64"/>
        <v>0</v>
      </c>
    </row>
    <row r="1061" spans="1:252" x14ac:dyDescent="0.2">
      <c r="A1061" s="1" t="s">
        <v>138</v>
      </c>
      <c r="B1061" s="103">
        <f>IF(AND('AES Indiana Bill Calc.'!$D$17="HL2",'AES Indiana Bill Calc.'!$D$18="Yes 100%",'AES Indiana Bill Calc.'!$D$20="Yes 2018"),'AES Indiana Bill Calc.'!$D$19,-1)</f>
        <v>-1</v>
      </c>
      <c r="C1061" s="103">
        <f>MAX(E1061,$C$905)</f>
        <v>2000</v>
      </c>
      <c r="D1061" s="103" t="b">
        <f>IF(AND('AES Indiana Bill Calc.'!$D$17="HL2",'AES Indiana Bill Calc.'!$D$18="Yes 100%",'AES Indiana Bill Calc.'!$D$20="Yes 2018"),'AES Indiana Bill Calc.'!$D$22)</f>
        <v>0</v>
      </c>
      <c r="E1061" s="103" t="b">
        <f>IF(AND('AES Indiana Bill Calc.'!$D$17="HL2",'AES Indiana Bill Calc.'!$D$18="Yes 100%",'AES Indiana Bill Calc.'!$D$20="Yes 2018"),'AES Indiana Bill Calc.'!$D$21)</f>
        <v>0</v>
      </c>
      <c r="F1061" s="36" t="s">
        <v>232</v>
      </c>
      <c r="G1061" s="92" t="e">
        <f>SUM(J1061:M1061,R1061:AA1061)</f>
        <v>#N/A</v>
      </c>
      <c r="H1061" s="19" t="e">
        <f>IF(ISBLANK(B1061),0,+#REF!/B1061)</f>
        <v>#REF!</v>
      </c>
      <c r="J1061" s="109">
        <f t="shared" si="61"/>
        <v>215</v>
      </c>
      <c r="K1061" s="92">
        <f t="shared" si="62"/>
        <v>-0.04</v>
      </c>
      <c r="L1061" s="17">
        <f>IF(ISBLANK($C1061),0,IF($C1061&lt;$C$1037,ROUND($C$1037*$L$1036,2),IF($C1061&gt;L$1037,ROUND(L$1037*L$1036,2),ROUND($C1061*L$1036,2))))</f>
        <v>50000</v>
      </c>
      <c r="M1061" s="17">
        <f>IF($C1061&gt;L$1037,ROUND(($C1061-L$1037)*M$1036,2),0)</f>
        <v>0</v>
      </c>
      <c r="N1061" s="17">
        <f>K1061</f>
        <v>-0.04</v>
      </c>
      <c r="O1061" s="92"/>
      <c r="P1061" s="92"/>
      <c r="Q1061" s="17">
        <f>SUM(L1061:M1061)</f>
        <v>50000</v>
      </c>
      <c r="R1061" s="110" t="e">
        <f>ROUND(SUM(K1061:M1061)*(R1060-1),2)</f>
        <v>#N/A</v>
      </c>
      <c r="S1061" s="92">
        <f>ROUND($B1061*S$1036*S1060,2)</f>
        <v>0</v>
      </c>
      <c r="T1061" s="92">
        <f>ROUND($B1061*T$1036,2)</f>
        <v>0</v>
      </c>
      <c r="U1061" s="92">
        <f>ROUND($B1061*U$1036,2)</f>
        <v>0</v>
      </c>
      <c r="V1061" s="32">
        <f>ROUND($B1061*$V$1027,2)</f>
        <v>0</v>
      </c>
      <c r="W1061" s="92">
        <f>ROUND($B1061*W$1036,2)</f>
        <v>0</v>
      </c>
      <c r="X1061" s="92">
        <f>ROUND($B1061*X$1036,2)</f>
        <v>-0.01</v>
      </c>
      <c r="Y1061" s="92">
        <f>ROUND($B1061*Y$1036,2)</f>
        <v>0</v>
      </c>
      <c r="Z1061" s="92">
        <f>ROUND($B1061*Z$1036,2)</f>
        <v>0</v>
      </c>
      <c r="AA1061" s="92">
        <f>ROUND($B1061*AA$1036,2)</f>
        <v>0</v>
      </c>
      <c r="AB1061" s="19">
        <f>SUM(U$1036:AA$1036)+(-V$1036+V1047)</f>
        <v>-7.7569999999999965E-3</v>
      </c>
      <c r="AC1061" s="105" t="str">
        <f t="shared" si="64"/>
        <v>HL28</v>
      </c>
    </row>
    <row r="1062" spans="1:252" x14ac:dyDescent="0.2">
      <c r="A1062" s="9"/>
      <c r="B1062" s="103">
        <v>-1</v>
      </c>
      <c r="D1062" s="32"/>
      <c r="E1062" s="103"/>
      <c r="F1062" s="36"/>
      <c r="G1062" s="92"/>
      <c r="H1062" s="19" t="e">
        <f>IF(ISBLANK(B1062),0,+#REF!/B1062)</f>
        <v>#REF!</v>
      </c>
      <c r="J1062" s="109">
        <f t="shared" si="61"/>
        <v>215</v>
      </c>
      <c r="K1062" s="92">
        <f t="shared" si="62"/>
        <v>-0.04</v>
      </c>
      <c r="L1062" s="92">
        <f>IF(ISBLANK($E1062),0,IF($E1062&lt;$C$1037,ROUND($C$1037*$L$1036,2),IF($E1062&gt;L$1037,ROUND(L$1037*L$1036,2),ROUND($E1062*L$1036,2))))</f>
        <v>0</v>
      </c>
      <c r="M1062" s="92">
        <f>IF($E1062&gt;L$1037,ROUND(($E1062-L$1037)*M$1036,2),0)</f>
        <v>0</v>
      </c>
      <c r="N1062" s="92"/>
      <c r="O1062" s="92"/>
      <c r="P1062" s="92"/>
      <c r="Q1062" s="92"/>
      <c r="R1062" s="16" t="e">
        <f>VLOOKUP((D1063),'Pwr Factor'!$A$1:$B$52,2)</f>
        <v>#N/A</v>
      </c>
      <c r="S1062" s="50">
        <v>0.5</v>
      </c>
      <c r="T1062" s="92"/>
      <c r="U1062" s="92"/>
      <c r="V1062" s="32"/>
      <c r="W1062" s="92"/>
      <c r="X1062" s="92"/>
      <c r="Y1062" s="92"/>
      <c r="Z1062" s="92"/>
      <c r="AA1062" s="92"/>
      <c r="AB1062" s="19"/>
      <c r="AC1062" s="105">
        <f t="shared" si="64"/>
        <v>0</v>
      </c>
    </row>
    <row r="1063" spans="1:252" x14ac:dyDescent="0.2">
      <c r="A1063" s="1" t="s">
        <v>139</v>
      </c>
      <c r="B1063" s="103">
        <f>IF(AND('AES Indiana Bill Calc.'!$D$17="HL2",'AES Indiana Bill Calc.'!$D$18="Yes 50%",'AES Indiana Bill Calc.'!$D$20="Yes 2018"),'AES Indiana Bill Calc.'!$D$19,-1)</f>
        <v>-1</v>
      </c>
      <c r="C1063" s="103">
        <f>MAX(E1063,$C$905)</f>
        <v>2000</v>
      </c>
      <c r="D1063" s="103" t="b">
        <f>IF(AND('AES Indiana Bill Calc.'!$D$17="HL2",'AES Indiana Bill Calc.'!$D$18="Yes 50%",'AES Indiana Bill Calc.'!$D$20="Yes 2018"),'AES Indiana Bill Calc.'!$D$22)</f>
        <v>0</v>
      </c>
      <c r="E1063" s="103" t="b">
        <f>IF(AND('AES Indiana Bill Calc.'!$D$17="HL2",'AES Indiana Bill Calc.'!$D$18="Yes 50%",'AES Indiana Bill Calc.'!$D$20="Yes 2018"),'AES Indiana Bill Calc.'!$D$21)</f>
        <v>0</v>
      </c>
      <c r="F1063" s="36" t="s">
        <v>232</v>
      </c>
      <c r="G1063" s="92" t="e">
        <f>SUM(J1063:M1063,R1063:AA1063)</f>
        <v>#N/A</v>
      </c>
      <c r="H1063" s="19" t="e">
        <f>IF(ISBLANK(B1063),0,+#REF!/B1063)</f>
        <v>#REF!</v>
      </c>
      <c r="J1063" s="109">
        <f t="shared" si="61"/>
        <v>215</v>
      </c>
      <c r="K1063" s="92">
        <f t="shared" si="62"/>
        <v>-0.04</v>
      </c>
      <c r="L1063" s="17">
        <f>IF(ISBLANK($C1063),0,IF($C1063&lt;$C$1037,ROUND($C$1037*$L$1036,2),IF($C1063&gt;L$1037,ROUND(L$1037*L$1036,2),ROUND($C1063*L$1036,2))))</f>
        <v>50000</v>
      </c>
      <c r="M1063" s="17">
        <f>IF($C1063&gt;L$1037,ROUND(($C1063-L$1037)*M$1036,2),0)</f>
        <v>0</v>
      </c>
      <c r="N1063" s="17">
        <f>K1063</f>
        <v>-0.04</v>
      </c>
      <c r="O1063" s="92"/>
      <c r="P1063" s="92"/>
      <c r="Q1063" s="17">
        <f>SUM(L1063:M1063)</f>
        <v>50000</v>
      </c>
      <c r="R1063" s="110" t="e">
        <f>ROUND(SUM(K1063:M1063)*(R1062-1),2)</f>
        <v>#N/A</v>
      </c>
      <c r="S1063" s="92">
        <f>ROUND($B1063*S$1036*S1062,2)</f>
        <v>0</v>
      </c>
      <c r="T1063" s="92">
        <f>ROUND($B1063*T$1036,2)</f>
        <v>0</v>
      </c>
      <c r="U1063" s="92">
        <f>ROUND($B1063*U$1036,2)</f>
        <v>0</v>
      </c>
      <c r="V1063" s="32">
        <f>ROUND($B1063*$V$1027,2)</f>
        <v>0</v>
      </c>
      <c r="W1063" s="92">
        <f>ROUND($B1063*W$1036,2)</f>
        <v>0</v>
      </c>
      <c r="X1063" s="92">
        <f>ROUND($B1063*X$1036,2)</f>
        <v>-0.01</v>
      </c>
      <c r="Y1063" s="92">
        <f>ROUND($B1063*Y$1036,2)</f>
        <v>0</v>
      </c>
      <c r="Z1063" s="92">
        <f>ROUND($B1063*Z$1036,2)</f>
        <v>0</v>
      </c>
      <c r="AA1063" s="92">
        <f>ROUND($B1063*AA$1036,2)</f>
        <v>0</v>
      </c>
      <c r="AB1063" s="19">
        <f>SUM(U$1036:AA$1036)+(-V$1036+V1049)</f>
        <v>-7.7569999999999965E-3</v>
      </c>
      <c r="AC1063" s="105" t="str">
        <f t="shared" si="64"/>
        <v>HL28</v>
      </c>
    </row>
    <row r="1064" spans="1:252" x14ac:dyDescent="0.2">
      <c r="A1064" s="9"/>
      <c r="B1064" s="103">
        <v>-1</v>
      </c>
      <c r="D1064" s="32"/>
      <c r="E1064" s="103"/>
      <c r="F1064" s="36"/>
      <c r="G1064" s="92"/>
      <c r="H1064" s="19" t="e">
        <f>IF(ISBLANK(B1064),0,+#REF!/B1064)</f>
        <v>#REF!</v>
      </c>
      <c r="J1064" s="109">
        <f t="shared" si="61"/>
        <v>215</v>
      </c>
      <c r="K1064" s="92">
        <f t="shared" si="62"/>
        <v>-0.04</v>
      </c>
      <c r="L1064" s="92">
        <f>IF(ISBLANK($E1064),0,IF($E1064&lt;$C$1037,ROUND($C$1037*$L$1036,2),IF($E1064&gt;L$1037,ROUND(L$1037*L$1036,2),ROUND($E1064*L$1036,2))))</f>
        <v>0</v>
      </c>
      <c r="M1064" s="92">
        <f>IF($E1064&gt;L$1037,ROUND(($E1064-L$1037)*M$1036,2),0)</f>
        <v>0</v>
      </c>
      <c r="N1064" s="92"/>
      <c r="O1064" s="92"/>
      <c r="P1064" s="92"/>
      <c r="Q1064" s="92"/>
      <c r="R1064" s="16" t="e">
        <f>VLOOKUP((D1065),'Pwr Factor'!$A$1:$B$52,2)</f>
        <v>#N/A</v>
      </c>
      <c r="S1064" s="50">
        <v>0.25</v>
      </c>
      <c r="T1064" s="92"/>
      <c r="U1064" s="92"/>
      <c r="V1064" s="32"/>
      <c r="W1064" s="92"/>
      <c r="X1064" s="92"/>
      <c r="Y1064" s="92"/>
      <c r="Z1064" s="92"/>
      <c r="AA1064" s="92"/>
      <c r="AB1064" s="19"/>
      <c r="AC1064" s="105">
        <f t="shared" si="64"/>
        <v>0</v>
      </c>
    </row>
    <row r="1065" spans="1:252" x14ac:dyDescent="0.2">
      <c r="A1065" s="1" t="s">
        <v>140</v>
      </c>
      <c r="B1065" s="103">
        <f>IF(AND('AES Indiana Bill Calc.'!$D$17="HL2",'AES Indiana Bill Calc.'!$D$18="Yes 25%",'AES Indiana Bill Calc.'!$D$20="Yes 2018"),'AES Indiana Bill Calc.'!$D$19,-1)</f>
        <v>-1</v>
      </c>
      <c r="C1065" s="103">
        <f>MAX(E1065,$C$905)</f>
        <v>2000</v>
      </c>
      <c r="D1065" s="103" t="b">
        <f>IF(AND('AES Indiana Bill Calc.'!$D$17="HL2",'AES Indiana Bill Calc.'!$D$18="Yes 25%",'AES Indiana Bill Calc.'!$D$20="Yes 2018"),'AES Indiana Bill Calc.'!$D$22)</f>
        <v>0</v>
      </c>
      <c r="E1065" s="103" t="b">
        <f>IF(AND('AES Indiana Bill Calc.'!$D$17="HL2",'AES Indiana Bill Calc.'!$D$18="Yes 25%",'AES Indiana Bill Calc.'!$D$20="Yes 2018"),'AES Indiana Bill Calc.'!$D$21)</f>
        <v>0</v>
      </c>
      <c r="F1065" s="36" t="s">
        <v>232</v>
      </c>
      <c r="G1065" s="92" t="e">
        <f>SUM(J1065:M1065,R1065:AA1065)</f>
        <v>#N/A</v>
      </c>
      <c r="H1065" s="19" t="e">
        <f>IF(ISBLANK(B1065),0,+#REF!/B1065)</f>
        <v>#REF!</v>
      </c>
      <c r="J1065" s="109">
        <f t="shared" si="61"/>
        <v>215</v>
      </c>
      <c r="K1065" s="92">
        <f t="shared" si="62"/>
        <v>-0.04</v>
      </c>
      <c r="L1065" s="17">
        <f>IF(ISBLANK($C1065),0,IF($C1065&lt;$C$1037,ROUND($C$1037*$L$1036,2),IF($C1065&gt;L$1037,ROUND(L$1037*L$1036,2),ROUND($C1065*L$1036,2))))</f>
        <v>50000</v>
      </c>
      <c r="M1065" s="17">
        <f>IF($C1065&gt;L$1037,ROUND(($C1065-L$1037)*M$1036,2),0)</f>
        <v>0</v>
      </c>
      <c r="N1065" s="17">
        <f>K1065</f>
        <v>-0.04</v>
      </c>
      <c r="O1065" s="92"/>
      <c r="P1065" s="92"/>
      <c r="Q1065" s="17">
        <f>SUM(L1065:M1065)</f>
        <v>50000</v>
      </c>
      <c r="R1065" s="110" t="e">
        <f>ROUND(SUM(K1065:M1065)*(R1064-1),2)</f>
        <v>#N/A</v>
      </c>
      <c r="S1065" s="92">
        <f>ROUND($B1065*S$1036*S1064,2)</f>
        <v>0</v>
      </c>
      <c r="T1065" s="92">
        <f>ROUND($B1065*T$1036,2)</f>
        <v>0</v>
      </c>
      <c r="U1065" s="92">
        <f>ROUND($B1065*U$1036,2)</f>
        <v>0</v>
      </c>
      <c r="V1065" s="32">
        <f>ROUND($B1065*$V$1027,2)</f>
        <v>0</v>
      </c>
      <c r="W1065" s="92">
        <f>ROUND($B1065*W$1036,2)</f>
        <v>0</v>
      </c>
      <c r="X1065" s="92">
        <f>ROUND($B1065*X$1036,2)</f>
        <v>-0.01</v>
      </c>
      <c r="Y1065" s="92">
        <f>ROUND($B1065*Y$1036,2)</f>
        <v>0</v>
      </c>
      <c r="Z1065" s="92">
        <f>ROUND($B1065*Z$1036,2)</f>
        <v>0</v>
      </c>
      <c r="AA1065" s="92">
        <f>ROUND($B1065*AA$1036,2)</f>
        <v>0</v>
      </c>
      <c r="AB1065" s="19">
        <f>SUM(U$1036:AA$1036)+(-V$1036+V1051)</f>
        <v>1.2243E-2</v>
      </c>
      <c r="AC1065" s="105" t="str">
        <f t="shared" si="64"/>
        <v>HL28</v>
      </c>
    </row>
    <row r="1066" spans="1:252" x14ac:dyDescent="0.2">
      <c r="A1066" s="9"/>
      <c r="B1066" s="103">
        <v>-1</v>
      </c>
      <c r="D1066" s="32"/>
      <c r="E1066" s="103"/>
      <c r="F1066" s="36"/>
      <c r="G1066" s="92"/>
      <c r="H1066" s="19" t="e">
        <f>IF(ISBLANK(B1066),0,+#REF!/B1066)</f>
        <v>#REF!</v>
      </c>
      <c r="J1066" s="109">
        <f t="shared" si="61"/>
        <v>215</v>
      </c>
      <c r="K1066" s="92">
        <f t="shared" si="62"/>
        <v>-0.04</v>
      </c>
      <c r="L1066" s="92">
        <f>IF(ISBLANK($E1066),0,IF($E1066&lt;$C$1037,ROUND($C$1037*$L$1036,2),IF($E1066&gt;L$1037,ROUND(L$1037*L$1036,2),ROUND($E1066*L$1036,2))))</f>
        <v>0</v>
      </c>
      <c r="M1066" s="92">
        <f>IF($E1066&gt;L$1037,ROUND(($E1066-L$1037)*M$1036,2),0)</f>
        <v>0</v>
      </c>
      <c r="N1066" s="92"/>
      <c r="O1066" s="92"/>
      <c r="P1066" s="92"/>
      <c r="Q1066" s="92"/>
      <c r="R1066" s="16" t="e">
        <f>VLOOKUP((D1067),'Pwr Factor'!$A$1:$B$52,2)</f>
        <v>#N/A</v>
      </c>
      <c r="S1066" s="50">
        <v>0.1</v>
      </c>
      <c r="T1066" s="92"/>
      <c r="U1066" s="92"/>
      <c r="V1066" s="32"/>
      <c r="W1066" s="92"/>
      <c r="X1066" s="92"/>
      <c r="Y1066" s="92"/>
      <c r="Z1066" s="92"/>
      <c r="AA1066" s="92"/>
      <c r="AB1066" s="19"/>
      <c r="AC1066" s="105">
        <f t="shared" si="64"/>
        <v>0</v>
      </c>
    </row>
    <row r="1067" spans="1:252" x14ac:dyDescent="0.2">
      <c r="A1067" s="1" t="s">
        <v>154</v>
      </c>
      <c r="B1067" s="103">
        <f>IF(AND('AES Indiana Bill Calc.'!$D$17="HL2",'AES Indiana Bill Calc.'!$D$18="Yes 10%",'AES Indiana Bill Calc.'!$D$20="Yes 2018"),'AES Indiana Bill Calc.'!$D$19,-1)</f>
        <v>-1</v>
      </c>
      <c r="C1067" s="103">
        <f>MAX(E1067,$C$905)</f>
        <v>2000</v>
      </c>
      <c r="D1067" s="103" t="b">
        <f>IF(AND('AES Indiana Bill Calc.'!$D$17="HL2",'AES Indiana Bill Calc.'!$D$18="Yes 10%",'AES Indiana Bill Calc.'!$D$20="Yes 2018"),'AES Indiana Bill Calc.'!$D$22)</f>
        <v>0</v>
      </c>
      <c r="E1067" s="103" t="b">
        <f>IF(AND('AES Indiana Bill Calc.'!$D$17="HL2",'AES Indiana Bill Calc.'!$D$18="Yes 10%",'AES Indiana Bill Calc.'!$D$20="Yes 2018"),'AES Indiana Bill Calc.'!$D$21)</f>
        <v>0</v>
      </c>
      <c r="F1067" s="36" t="s">
        <v>232</v>
      </c>
      <c r="G1067" s="92" t="e">
        <f>SUM(J1067:M1067,R1067:AA1067)</f>
        <v>#N/A</v>
      </c>
      <c r="H1067" s="19" t="e">
        <f>IF(ISBLANK(B1067),0,+#REF!/B1067)</f>
        <v>#REF!</v>
      </c>
      <c r="J1067" s="109">
        <f t="shared" si="61"/>
        <v>215</v>
      </c>
      <c r="K1067" s="92">
        <f t="shared" si="62"/>
        <v>-0.04</v>
      </c>
      <c r="L1067" s="17">
        <f>IF(ISBLANK($C1067),0,IF($C1067&lt;$C$1037,ROUND($C$1037*$L$1036,2),IF($C1067&gt;L$1037,ROUND(L$1037*L$1036,2),ROUND($C1067*L$1036,2))))</f>
        <v>50000</v>
      </c>
      <c r="M1067" s="17">
        <f>IF($C1067&gt;L$1037,ROUND(($C1067-L$1037)*M$1036,2),0)</f>
        <v>0</v>
      </c>
      <c r="N1067" s="17">
        <f>K1067</f>
        <v>-0.04</v>
      </c>
      <c r="O1067" s="92"/>
      <c r="P1067" s="92"/>
      <c r="Q1067" s="17">
        <f>SUM(L1067:M1067)</f>
        <v>50000</v>
      </c>
      <c r="R1067" s="110" t="e">
        <f>ROUND(SUM(K1067:M1067)*(R1066-1),2)</f>
        <v>#N/A</v>
      </c>
      <c r="S1067" s="92">
        <f>ROUND($B1067*S$1036*S1066,2)</f>
        <v>0</v>
      </c>
      <c r="T1067" s="92">
        <f>ROUND($B1067*T$1036,2)</f>
        <v>0</v>
      </c>
      <c r="U1067" s="92">
        <f>ROUND($B1067*U$1036,2)</f>
        <v>0</v>
      </c>
      <c r="V1067" s="32">
        <f>ROUND($B1067*$V$1027,2)</f>
        <v>0</v>
      </c>
      <c r="W1067" s="92">
        <f>ROUND($B1067*W$1036,2)</f>
        <v>0</v>
      </c>
      <c r="X1067" s="92">
        <f>ROUND($B1067*X$1036,2)</f>
        <v>-0.01</v>
      </c>
      <c r="Y1067" s="92">
        <f>ROUND($B1067*Y$1036,2)</f>
        <v>0</v>
      </c>
      <c r="Z1067" s="92">
        <f>ROUND($B1067*Z$1036,2)</f>
        <v>0</v>
      </c>
      <c r="AA1067" s="92">
        <f>ROUND($B1067*AA$1036,2)</f>
        <v>0</v>
      </c>
      <c r="AB1067" s="19">
        <f>SUM(U$1036:AA$1036)+(-V$1036+V1053)</f>
        <v>1.2243E-2</v>
      </c>
      <c r="AC1067" s="105" t="str">
        <f t="shared" si="64"/>
        <v>HL28</v>
      </c>
    </row>
    <row r="1068" spans="1:252" x14ac:dyDescent="0.2">
      <c r="A1068" s="9"/>
      <c r="B1068" s="103">
        <v>-1</v>
      </c>
      <c r="D1068" s="32"/>
      <c r="E1068" s="103"/>
      <c r="F1068" s="36"/>
      <c r="G1068" s="92"/>
      <c r="H1068" s="19" t="e">
        <f>IF(ISBLANK(B1068),0,+#REF!/B1068)</f>
        <v>#REF!</v>
      </c>
      <c r="J1068" s="109">
        <f t="shared" si="61"/>
        <v>215</v>
      </c>
      <c r="K1068" s="92">
        <f t="shared" si="62"/>
        <v>-0.04</v>
      </c>
      <c r="L1068" s="92">
        <f>IF(ISBLANK($E1068),0,IF($E1068&lt;$C$1037,ROUND($C$1037*$L$1036,2),IF($E1068&gt;L$1037,ROUND(L$1037*L$1036,2),ROUND($E1068*L$1036,2))))</f>
        <v>0</v>
      </c>
      <c r="M1068" s="92">
        <f>IF($E1068&gt;L$1037,ROUND(($E1068-L$1037)*M$1036,2),0)</f>
        <v>0</v>
      </c>
      <c r="N1068" s="92"/>
      <c r="O1068" s="92"/>
      <c r="P1068" s="92"/>
      <c r="Q1068" s="92"/>
      <c r="R1068" s="16" t="e">
        <f>VLOOKUP((D1069),'Pwr Factor'!$A$1:$B$52,2)</f>
        <v>#N/A</v>
      </c>
      <c r="S1068" s="50">
        <v>0</v>
      </c>
      <c r="T1068" s="92"/>
      <c r="U1068" s="92"/>
      <c r="V1068" s="32"/>
      <c r="W1068" s="92"/>
      <c r="X1068" s="92"/>
      <c r="Y1068" s="92"/>
      <c r="Z1068" s="92"/>
      <c r="AA1068" s="92"/>
      <c r="AB1068" s="19"/>
      <c r="AC1068" s="105">
        <f t="shared" si="64"/>
        <v>0</v>
      </c>
    </row>
    <row r="1069" spans="1:252" x14ac:dyDescent="0.2">
      <c r="A1069" s="1" t="s">
        <v>137</v>
      </c>
      <c r="B1069" s="103">
        <f>IF(AND('AES Indiana Bill Calc.'!$D$17="HL2",'AES Indiana Bill Calc.'!$D$18="No",'AES Indiana Bill Calc.'!$D$20="Yes 2018"),'AES Indiana Bill Calc.'!$D$19,-1)</f>
        <v>-1</v>
      </c>
      <c r="C1069" s="103">
        <f>MAX(E1069,$C$905)</f>
        <v>2000</v>
      </c>
      <c r="D1069" s="103" t="b">
        <f>IF(AND('AES Indiana Bill Calc.'!$D$17="HL2",'AES Indiana Bill Calc.'!$D$18="No",'AES Indiana Bill Calc.'!$D$20="Yes 2018"),'AES Indiana Bill Calc.'!$D$22)</f>
        <v>0</v>
      </c>
      <c r="E1069" s="103" t="b">
        <f>IF(AND('AES Indiana Bill Calc.'!$D$17="HL2",'AES Indiana Bill Calc.'!$D$18="No",'AES Indiana Bill Calc.'!$D$20="Yes 2018"),'AES Indiana Bill Calc.'!$D$21)</f>
        <v>0</v>
      </c>
      <c r="F1069" s="36" t="s">
        <v>232</v>
      </c>
      <c r="G1069" s="92" t="e">
        <f>SUM(J1069:M1069,R1069:AA1069)</f>
        <v>#N/A</v>
      </c>
      <c r="H1069" s="19" t="e">
        <f>IF(ISBLANK(B1069),0,+#REF!/B1069)</f>
        <v>#REF!</v>
      </c>
      <c r="J1069" s="109">
        <f t="shared" si="61"/>
        <v>215</v>
      </c>
      <c r="K1069" s="92">
        <f t="shared" si="62"/>
        <v>-0.04</v>
      </c>
      <c r="L1069" s="17">
        <f>IF(ISBLANK($C1069),0,IF($C1069&lt;$C$1037,ROUND($C$1037*$L$1036,2),IF($C1069&gt;L$1037,ROUND(L$1037*L$1036,2),ROUND($C1069*L$1036,2))))</f>
        <v>50000</v>
      </c>
      <c r="M1069" s="17">
        <f>IF($C1069&gt;L$1037,ROUND(($C1069-L$1037)*M$1036,2),0)</f>
        <v>0</v>
      </c>
      <c r="N1069" s="17">
        <f>K1069</f>
        <v>-0.04</v>
      </c>
      <c r="O1069" s="92"/>
      <c r="P1069" s="92"/>
      <c r="Q1069" s="17">
        <f>SUM(L1069:M1069)</f>
        <v>50000</v>
      </c>
      <c r="R1069" s="110" t="e">
        <f>ROUND(SUM(K1069:M1069)*(R1068-1),2)</f>
        <v>#N/A</v>
      </c>
      <c r="S1069" s="92">
        <f>ROUND($B1069*S$1036*S1068,2)</f>
        <v>0</v>
      </c>
      <c r="T1069" s="92">
        <f>ROUND($B1069*T$1036,2)</f>
        <v>0</v>
      </c>
      <c r="U1069" s="92">
        <f>ROUND($B1069*U$1036,2)</f>
        <v>0</v>
      </c>
      <c r="V1069" s="32">
        <f>ROUND($B1069*$V$1027,2)</f>
        <v>0</v>
      </c>
      <c r="W1069" s="92">
        <f>ROUND($B1069*W$1036,2)</f>
        <v>0</v>
      </c>
      <c r="X1069" s="92">
        <f>ROUND($B1069*X$1036,2)</f>
        <v>-0.01</v>
      </c>
      <c r="Y1069" s="92">
        <f>ROUND($B1069*Y$1036,2)</f>
        <v>0</v>
      </c>
      <c r="Z1069" s="92">
        <f>ROUND($B1069*Z$1036,2)</f>
        <v>0</v>
      </c>
      <c r="AA1069" s="92">
        <f>ROUND($B1069*AA$1036,2)</f>
        <v>0</v>
      </c>
      <c r="AB1069" s="19">
        <f>SUM(U$1036:AA$1036)+(-V$1036+V1055)</f>
        <v>1.2243E-2</v>
      </c>
      <c r="AC1069" s="105" t="str">
        <f t="shared" si="64"/>
        <v>HL28</v>
      </c>
    </row>
    <row r="1070" spans="1:252" x14ac:dyDescent="0.2">
      <c r="B1070" s="103">
        <v>-1</v>
      </c>
      <c r="D1070" s="32"/>
      <c r="E1070" s="103"/>
      <c r="F1070" s="36"/>
      <c r="G1070" s="92"/>
      <c r="H1070" s="19" t="e">
        <f>IF(ISBLANK(B1070),0,+#REF!/B1070)</f>
        <v>#REF!</v>
      </c>
      <c r="J1070" s="109">
        <f t="shared" si="61"/>
        <v>215</v>
      </c>
      <c r="K1070" s="92">
        <f t="shared" si="62"/>
        <v>-0.04</v>
      </c>
      <c r="L1070" s="92">
        <f>IF(ISBLANK($E1070),0,IF($E1070&lt;$C$1037,ROUND($C$1037*$L$1036,2),IF($E1070&gt;L$1037,ROUND(L$1037*L$1036,2),ROUND($E1070*L$1036,2))))</f>
        <v>0</v>
      </c>
      <c r="M1070" s="92">
        <f>IF($E1070&gt;L$1037,ROUND(($E1070-L$1037)*M$1036,2),0)</f>
        <v>0</v>
      </c>
      <c r="N1070" s="92"/>
      <c r="O1070" s="92"/>
      <c r="P1070" s="92"/>
      <c r="Q1070" s="92"/>
      <c r="R1070" s="16" t="e">
        <f>VLOOKUP((D1071),'Pwr Factor'!$A$1:$B$52,2)</f>
        <v>#N/A</v>
      </c>
      <c r="S1070" s="50">
        <v>1</v>
      </c>
      <c r="T1070" s="92"/>
      <c r="U1070" s="92"/>
      <c r="V1070" s="32"/>
      <c r="W1070" s="92"/>
      <c r="X1070" s="92"/>
      <c r="Y1070" s="92"/>
      <c r="Z1070" s="92"/>
      <c r="AA1070" s="92"/>
      <c r="AB1070" s="19"/>
      <c r="AC1070" s="105">
        <f t="shared" si="64"/>
        <v>0</v>
      </c>
    </row>
    <row r="1071" spans="1:252" s="21" customFormat="1" ht="13.5" thickBot="1" x14ac:dyDescent="0.25">
      <c r="A1071" s="1" t="s">
        <v>138</v>
      </c>
      <c r="B1071" s="103">
        <f>IF(AND('AES Indiana Bill Calc.'!$D$17="HL2",'AES Indiana Bill Calc.'!$D$18="Yes 100%",'AES Indiana Bill Calc.'!$D$20="Yes 2019"),'AES Indiana Bill Calc.'!$D$19,-1)</f>
        <v>-1</v>
      </c>
      <c r="C1071" s="103">
        <f>MAX(E1071,$C$905)</f>
        <v>2000</v>
      </c>
      <c r="D1071" s="103" t="b">
        <f>IF(AND('AES Indiana Bill Calc.'!$D$17="HL2",'AES Indiana Bill Calc.'!$D$18="Yes 100%",'AES Indiana Bill Calc.'!$D$20="Yes 2019"),'AES Indiana Bill Calc.'!$D$22)</f>
        <v>0</v>
      </c>
      <c r="E1071" s="103" t="b">
        <f>IF(AND('AES Indiana Bill Calc.'!$D$17="HL2",'AES Indiana Bill Calc.'!$D$18="Yes 100%",'AES Indiana Bill Calc.'!$D$20="Yes 2019"),'AES Indiana Bill Calc.'!$D$21)</f>
        <v>0</v>
      </c>
      <c r="F1071" s="36" t="s">
        <v>233</v>
      </c>
      <c r="G1071" s="92" t="e">
        <f>SUM(J1071:M1071,R1071:AA1071)</f>
        <v>#N/A</v>
      </c>
      <c r="H1071" s="19" t="e">
        <f>IF(ISBLANK(B1071),0,+#REF!/B1071)</f>
        <v>#REF!</v>
      </c>
      <c r="I1071"/>
      <c r="J1071" s="109">
        <f t="shared" si="61"/>
        <v>215</v>
      </c>
      <c r="K1071" s="92">
        <f t="shared" si="62"/>
        <v>-0.04</v>
      </c>
      <c r="L1071" s="17">
        <f>IF(ISBLANK($C1071),0,IF($C1071&lt;$C$1037,ROUND($C$1037*$L$1036,2),IF($C1071&gt;L$1037,ROUND(L$1037*L$1036,2),ROUND($C1071*L$1036,2))))</f>
        <v>50000</v>
      </c>
      <c r="M1071" s="17">
        <f>IF($C1071&gt;L$1037,ROUND(($C1071-L$1037)*M$1036,2),0)</f>
        <v>0</v>
      </c>
      <c r="N1071" s="17">
        <f>K1071</f>
        <v>-0.04</v>
      </c>
      <c r="O1071" s="92"/>
      <c r="P1071" s="92"/>
      <c r="Q1071" s="17">
        <f>SUM(L1071:M1071)</f>
        <v>50000</v>
      </c>
      <c r="R1071" s="110" t="e">
        <f>ROUND(SUM(K1071:M1071)*(R1070-1),2)</f>
        <v>#N/A</v>
      </c>
      <c r="S1071" s="92">
        <f>ROUND($B1071*S$1036*S1070,2)</f>
        <v>0</v>
      </c>
      <c r="T1071" s="92">
        <f>ROUND($B1071*T$1036,2)</f>
        <v>0</v>
      </c>
      <c r="U1071" s="92">
        <f>ROUND($B1071*U$1036,2)</f>
        <v>0</v>
      </c>
      <c r="V1071" s="32">
        <f>ROUND($B1071*$V$1028,2)</f>
        <v>0</v>
      </c>
      <c r="W1071" s="92">
        <f>ROUND($B1071*W$1036,2)</f>
        <v>0</v>
      </c>
      <c r="X1071" s="92">
        <f>ROUND($B1071*X$1036,2)</f>
        <v>-0.01</v>
      </c>
      <c r="Y1071" s="92">
        <f>ROUND($B1071*Y$1036,2)</f>
        <v>0</v>
      </c>
      <c r="Z1071" s="92">
        <f>ROUND($B1071*Z$1036,2)</f>
        <v>0</v>
      </c>
      <c r="AA1071" s="92">
        <f>ROUND($B1071*AA$1036,2)</f>
        <v>0</v>
      </c>
      <c r="AB1071" s="19">
        <f>SUM(U$1036:AA$1036)+(-V$1036+V1057)</f>
        <v>1.2243E-2</v>
      </c>
      <c r="AC1071" s="105" t="str">
        <f t="shared" si="64"/>
        <v>HL29</v>
      </c>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row>
    <row r="1072" spans="1:252" x14ac:dyDescent="0.2">
      <c r="A1072" s="9"/>
      <c r="B1072" s="103">
        <v>-1</v>
      </c>
      <c r="D1072" s="32"/>
      <c r="E1072" s="103"/>
      <c r="F1072" s="36"/>
      <c r="G1072" s="92"/>
      <c r="H1072" s="19" t="e">
        <f>IF(ISBLANK(B1072),0,+#REF!/B1072)</f>
        <v>#REF!</v>
      </c>
      <c r="J1072" s="109">
        <f t="shared" si="61"/>
        <v>215</v>
      </c>
      <c r="K1072" s="92">
        <f t="shared" si="62"/>
        <v>-0.04</v>
      </c>
      <c r="L1072" s="92">
        <f>IF(ISBLANK($E1072),0,IF($E1072&lt;$C$1037,ROUND($C$1037*$L$1036,2),IF($E1072&gt;L$1037,ROUND(L$1037*L$1036,2),ROUND($E1072*L$1036,2))))</f>
        <v>0</v>
      </c>
      <c r="M1072" s="92">
        <f>IF($E1072&gt;L$1037,ROUND(($E1072-L$1037)*M$1036,2),0)</f>
        <v>0</v>
      </c>
      <c r="N1072" s="92"/>
      <c r="O1072" s="92"/>
      <c r="P1072" s="92"/>
      <c r="Q1072" s="92"/>
      <c r="R1072" s="16" t="e">
        <f>VLOOKUP((D1073),'Pwr Factor'!$A$1:$B$52,2)</f>
        <v>#N/A</v>
      </c>
      <c r="S1072" s="50">
        <v>0.5</v>
      </c>
      <c r="T1072" s="92"/>
      <c r="U1072" s="92"/>
      <c r="V1072" s="32"/>
      <c r="W1072" s="92"/>
      <c r="X1072" s="92"/>
      <c r="Y1072" s="92"/>
      <c r="Z1072" s="92"/>
      <c r="AA1072" s="92"/>
      <c r="AB1072" s="19"/>
      <c r="AC1072" s="105">
        <f t="shared" si="64"/>
        <v>0</v>
      </c>
    </row>
    <row r="1073" spans="1:29" x14ac:dyDescent="0.2">
      <c r="A1073" s="1" t="s">
        <v>139</v>
      </c>
      <c r="B1073" s="103">
        <f>IF(AND('AES Indiana Bill Calc.'!$D$17="HL2",'AES Indiana Bill Calc.'!$D$18="Yes 50%",'AES Indiana Bill Calc.'!$D$20="Yes 2019"),'AES Indiana Bill Calc.'!$D$19,-1)</f>
        <v>-1</v>
      </c>
      <c r="C1073" s="103">
        <f>MAX(E1073,$C$905)</f>
        <v>2000</v>
      </c>
      <c r="D1073" s="103" t="b">
        <f>IF(AND('AES Indiana Bill Calc.'!$D$17="HL2",'AES Indiana Bill Calc.'!$D$18="Yes 50%",'AES Indiana Bill Calc.'!$D$20="Yes 2019"),'AES Indiana Bill Calc.'!$D$22)</f>
        <v>0</v>
      </c>
      <c r="E1073" s="103" t="b">
        <f>IF(AND('AES Indiana Bill Calc.'!$D$17="HL2",'AES Indiana Bill Calc.'!$D$18="Yes 50%",'AES Indiana Bill Calc.'!$D$20="Yes 2019"),'AES Indiana Bill Calc.'!$D$21)</f>
        <v>0</v>
      </c>
      <c r="F1073" s="36" t="s">
        <v>233</v>
      </c>
      <c r="G1073" s="92" t="e">
        <f>SUM(J1073:M1073,R1073:AA1073)</f>
        <v>#N/A</v>
      </c>
      <c r="H1073" s="19" t="e">
        <f>IF(ISBLANK(B1073),0,+#REF!/B1073)</f>
        <v>#REF!</v>
      </c>
      <c r="J1073" s="109">
        <f t="shared" si="61"/>
        <v>215</v>
      </c>
      <c r="K1073" s="92">
        <f t="shared" si="62"/>
        <v>-0.04</v>
      </c>
      <c r="L1073" s="17">
        <f>IF(ISBLANK($C1073),0,IF($C1073&lt;$C$1037,ROUND($C$1037*$L$1036,2),IF($C1073&gt;L$1037,ROUND(L$1037*L$1036,2),ROUND($C1073*L$1036,2))))</f>
        <v>50000</v>
      </c>
      <c r="M1073" s="17">
        <f>IF($C1073&gt;L$1037,ROUND(($C1073-L$1037)*M$1036,2),0)</f>
        <v>0</v>
      </c>
      <c r="N1073" s="17">
        <f>K1073</f>
        <v>-0.04</v>
      </c>
      <c r="O1073" s="92"/>
      <c r="P1073" s="92"/>
      <c r="Q1073" s="17">
        <f>SUM(L1073:M1073)</f>
        <v>50000</v>
      </c>
      <c r="R1073" s="110" t="e">
        <f>ROUND(SUM(K1073:M1073)*(R1072-1),2)</f>
        <v>#N/A</v>
      </c>
      <c r="S1073" s="92">
        <f>ROUND($B1073*S$1036*S1072,2)</f>
        <v>0</v>
      </c>
      <c r="T1073" s="92">
        <f>ROUND($B1073*T$1036,2)</f>
        <v>0</v>
      </c>
      <c r="U1073" s="92">
        <f>ROUND($B1073*U$1036,2)</f>
        <v>0</v>
      </c>
      <c r="V1073" s="32">
        <f>ROUND($B1073*$V$1028,2)</f>
        <v>0</v>
      </c>
      <c r="W1073" s="92">
        <f>ROUND($B1073*W$1036,2)</f>
        <v>0</v>
      </c>
      <c r="X1073" s="92">
        <f>ROUND($B1073*X$1036,2)</f>
        <v>-0.01</v>
      </c>
      <c r="Y1073" s="92">
        <f>ROUND($B1073*Y$1036,2)</f>
        <v>0</v>
      </c>
      <c r="Z1073" s="92">
        <f>ROUND($B1073*Z$1036,2)</f>
        <v>0</v>
      </c>
      <c r="AA1073" s="92">
        <f>ROUND($B1073*AA$1036,2)</f>
        <v>0</v>
      </c>
      <c r="AB1073" s="19">
        <f>SUM(U$1036:AA$1036)+(-V$1036+V1059)</f>
        <v>1.2243E-2</v>
      </c>
      <c r="AC1073" s="105" t="str">
        <f t="shared" si="64"/>
        <v>HL29</v>
      </c>
    </row>
    <row r="1074" spans="1:29" x14ac:dyDescent="0.2">
      <c r="A1074" s="9"/>
      <c r="B1074" s="103">
        <v>-1</v>
      </c>
      <c r="D1074" s="32"/>
      <c r="E1074" s="103"/>
      <c r="F1074" s="36"/>
      <c r="G1074" s="92"/>
      <c r="H1074" s="19" t="e">
        <f>IF(ISBLANK(B1074),0,+#REF!/B1074)</f>
        <v>#REF!</v>
      </c>
      <c r="J1074" s="109">
        <f t="shared" si="61"/>
        <v>215</v>
      </c>
      <c r="K1074" s="92">
        <f t="shared" si="62"/>
        <v>-0.04</v>
      </c>
      <c r="L1074" s="92">
        <f>IF(ISBLANK($E1074),0,IF($E1074&lt;$C$1037,ROUND($C$1037*$L$1036,2),IF($E1074&gt;L$1037,ROUND(L$1037*L$1036,2),ROUND($E1074*L$1036,2))))</f>
        <v>0</v>
      </c>
      <c r="M1074" s="92">
        <f>IF($E1074&gt;L$1037,ROUND(($E1074-L$1037)*M$1036,2),0)</f>
        <v>0</v>
      </c>
      <c r="N1074" s="92"/>
      <c r="O1074" s="92"/>
      <c r="P1074" s="92"/>
      <c r="Q1074" s="92"/>
      <c r="R1074" s="16" t="e">
        <f>VLOOKUP((D1075),'Pwr Factor'!$A$1:$B$52,2)</f>
        <v>#N/A</v>
      </c>
      <c r="S1074" s="50">
        <v>0.25</v>
      </c>
      <c r="T1074" s="92"/>
      <c r="U1074" s="92"/>
      <c r="V1074" s="32"/>
      <c r="W1074" s="92"/>
      <c r="X1074" s="92"/>
      <c r="Y1074" s="92"/>
      <c r="Z1074" s="92"/>
      <c r="AA1074" s="92"/>
      <c r="AB1074" s="19"/>
      <c r="AC1074" s="105">
        <f t="shared" si="64"/>
        <v>0</v>
      </c>
    </row>
    <row r="1075" spans="1:29" x14ac:dyDescent="0.2">
      <c r="A1075" s="1" t="s">
        <v>140</v>
      </c>
      <c r="B1075" s="103">
        <f>IF(AND('AES Indiana Bill Calc.'!$D$17="HL2",'AES Indiana Bill Calc.'!$D$18="Yes 25%",'AES Indiana Bill Calc.'!$D$20="Yes 2019"),'AES Indiana Bill Calc.'!$D$19,-1)</f>
        <v>-1</v>
      </c>
      <c r="C1075" s="103">
        <f>MAX(E1075,$C$905)</f>
        <v>2000</v>
      </c>
      <c r="D1075" s="103" t="b">
        <f>IF(AND('AES Indiana Bill Calc.'!$D$17="HL2",'AES Indiana Bill Calc.'!$D$18="Yes 25%",'AES Indiana Bill Calc.'!$D$20="Yes 2019"),'AES Indiana Bill Calc.'!$D$22)</f>
        <v>0</v>
      </c>
      <c r="E1075" s="103" t="b">
        <f>IF(AND('AES Indiana Bill Calc.'!$D$17="HL2",'AES Indiana Bill Calc.'!$D$18="Yes 25%",'AES Indiana Bill Calc.'!$D$20="Yes 2019"),'AES Indiana Bill Calc.'!$D$21)</f>
        <v>0</v>
      </c>
      <c r="F1075" s="36" t="s">
        <v>233</v>
      </c>
      <c r="G1075" s="92" t="e">
        <f>SUM(J1075:M1075,R1075:AA1075)</f>
        <v>#N/A</v>
      </c>
      <c r="H1075" s="19" t="e">
        <f>IF(ISBLANK(B1075),0,+#REF!/B1075)</f>
        <v>#REF!</v>
      </c>
      <c r="J1075" s="109">
        <f t="shared" si="61"/>
        <v>215</v>
      </c>
      <c r="K1075" s="92">
        <f t="shared" si="62"/>
        <v>-0.04</v>
      </c>
      <c r="L1075" s="17">
        <f>IF(ISBLANK($C1075),0,IF($C1075&lt;$C$1037,ROUND($C$1037*$L$1036,2),IF($C1075&gt;L$1037,ROUND(L$1037*L$1036,2),ROUND($C1075*L$1036,2))))</f>
        <v>50000</v>
      </c>
      <c r="M1075" s="17">
        <f>IF($C1075&gt;L$1037,ROUND(($C1075-L$1037)*M$1036,2),0)</f>
        <v>0</v>
      </c>
      <c r="N1075" s="17">
        <f>K1075</f>
        <v>-0.04</v>
      </c>
      <c r="O1075" s="92"/>
      <c r="P1075" s="92"/>
      <c r="Q1075" s="17">
        <f>SUM(L1075:M1075)</f>
        <v>50000</v>
      </c>
      <c r="R1075" s="110" t="e">
        <f>ROUND(SUM(K1075:M1075)*(R1074-1),2)</f>
        <v>#N/A</v>
      </c>
      <c r="S1075" s="92">
        <f>ROUND($B1075*S$1036*S1074,2)</f>
        <v>0</v>
      </c>
      <c r="T1075" s="92">
        <f>ROUND($B1075*T$1036,2)</f>
        <v>0</v>
      </c>
      <c r="U1075" s="92">
        <f>ROUND($B1075*U$1036,2)</f>
        <v>0</v>
      </c>
      <c r="V1075" s="32">
        <f>ROUND($B1075*$V$1028,2)</f>
        <v>0</v>
      </c>
      <c r="W1075" s="92">
        <f>ROUND($B1075*W$1036,2)</f>
        <v>0</v>
      </c>
      <c r="X1075" s="92">
        <f>ROUND($B1075*X$1036,2)</f>
        <v>-0.01</v>
      </c>
      <c r="Y1075" s="92">
        <f>ROUND($B1075*Y$1036,2)</f>
        <v>0</v>
      </c>
      <c r="Z1075" s="92">
        <f>ROUND($B1075*Z$1036,2)</f>
        <v>0</v>
      </c>
      <c r="AA1075" s="92">
        <f>ROUND($B1075*AA$1036,2)</f>
        <v>0</v>
      </c>
      <c r="AB1075" s="19">
        <f>SUM(U$1036:AA$1036)+(-V$1036+V1061)</f>
        <v>1.2243E-2</v>
      </c>
      <c r="AC1075" s="105" t="str">
        <f t="shared" si="64"/>
        <v>HL29</v>
      </c>
    </row>
    <row r="1076" spans="1:29" x14ac:dyDescent="0.2">
      <c r="A1076" s="9"/>
      <c r="B1076" s="103">
        <v>-1</v>
      </c>
      <c r="D1076" s="32"/>
      <c r="E1076" s="103"/>
      <c r="F1076" s="36"/>
      <c r="G1076" s="92"/>
      <c r="H1076" s="19" t="e">
        <f>IF(ISBLANK(B1076),0,+#REF!/B1076)</f>
        <v>#REF!</v>
      </c>
      <c r="J1076" s="109">
        <f t="shared" si="61"/>
        <v>215</v>
      </c>
      <c r="K1076" s="92">
        <f t="shared" si="62"/>
        <v>-0.04</v>
      </c>
      <c r="L1076" s="92">
        <f>IF(ISBLANK($E1076),0,IF($E1076&lt;$C$1037,ROUND($C$1037*$L$1036,2),IF($E1076&gt;L$1037,ROUND(L$1037*L$1036,2),ROUND($E1076*L$1036,2))))</f>
        <v>0</v>
      </c>
      <c r="M1076" s="92">
        <f>IF($E1076&gt;L$1037,ROUND(($E1076-L$1037)*M$1036,2),0)</f>
        <v>0</v>
      </c>
      <c r="N1076" s="92"/>
      <c r="O1076" s="92"/>
      <c r="P1076" s="92"/>
      <c r="Q1076" s="92"/>
      <c r="R1076" s="16" t="e">
        <f>VLOOKUP((D1077),'Pwr Factor'!$A$1:$B$52,2)</f>
        <v>#N/A</v>
      </c>
      <c r="S1076" s="50">
        <v>0.1</v>
      </c>
      <c r="T1076" s="92"/>
      <c r="U1076" s="92"/>
      <c r="V1076" s="32"/>
      <c r="W1076" s="92"/>
      <c r="X1076" s="92"/>
      <c r="Y1076" s="92"/>
      <c r="Z1076" s="92"/>
      <c r="AA1076" s="92"/>
      <c r="AB1076" s="19"/>
      <c r="AC1076" s="105">
        <f t="shared" si="64"/>
        <v>0</v>
      </c>
    </row>
    <row r="1077" spans="1:29" x14ac:dyDescent="0.2">
      <c r="A1077" s="1" t="s">
        <v>154</v>
      </c>
      <c r="B1077" s="103">
        <f>IF(AND('AES Indiana Bill Calc.'!$D$17="HL2",'AES Indiana Bill Calc.'!$D$18="Yes 10%",'AES Indiana Bill Calc.'!$D$20="Yes 2019"),'AES Indiana Bill Calc.'!$D$19,-1)</f>
        <v>-1</v>
      </c>
      <c r="C1077" s="103">
        <f>MAX(E1077,$C$905)</f>
        <v>2000</v>
      </c>
      <c r="D1077" s="103" t="b">
        <f>IF(AND('AES Indiana Bill Calc.'!$D$17="HL2",'AES Indiana Bill Calc.'!$D$18="Yes 10%",'AES Indiana Bill Calc.'!$D$20="Yes 2019"),'AES Indiana Bill Calc.'!$D$22)</f>
        <v>0</v>
      </c>
      <c r="E1077" s="103" t="b">
        <f>IF(AND('AES Indiana Bill Calc.'!$D$17="HL2",'AES Indiana Bill Calc.'!$D$18="Yes 10%",'AES Indiana Bill Calc.'!$D$20="Yes 2019"),'AES Indiana Bill Calc.'!$D$21)</f>
        <v>0</v>
      </c>
      <c r="F1077" s="36" t="s">
        <v>233</v>
      </c>
      <c r="G1077" s="92" t="e">
        <f>SUM(J1077:M1077,R1077:AA1077)</f>
        <v>#N/A</v>
      </c>
      <c r="H1077" s="19" t="e">
        <f>IF(ISBLANK(B1077),0,+#REF!/B1077)</f>
        <v>#REF!</v>
      </c>
      <c r="J1077" s="109">
        <f t="shared" si="61"/>
        <v>215</v>
      </c>
      <c r="K1077" s="92">
        <f t="shared" si="62"/>
        <v>-0.04</v>
      </c>
      <c r="L1077" s="17">
        <f>IF(ISBLANK($C1077),0,IF($C1077&lt;$C$1037,ROUND($C$1037*$L$1036,2),IF($C1077&gt;L$1037,ROUND(L$1037*L$1036,2),ROUND($C1077*L$1036,2))))</f>
        <v>50000</v>
      </c>
      <c r="M1077" s="17">
        <f>IF($C1077&gt;L$1037,ROUND(($C1077-L$1037)*M$1036,2),0)</f>
        <v>0</v>
      </c>
      <c r="N1077" s="17">
        <f>K1077</f>
        <v>-0.04</v>
      </c>
      <c r="O1077" s="92"/>
      <c r="P1077" s="92"/>
      <c r="Q1077" s="17">
        <f>SUM(L1077:M1077)</f>
        <v>50000</v>
      </c>
      <c r="R1077" s="110" t="e">
        <f>ROUND(SUM(K1077:M1077)*(R1076-1),2)</f>
        <v>#N/A</v>
      </c>
      <c r="S1077" s="92">
        <f>ROUND($B1077*S$1036*S1076,2)</f>
        <v>0</v>
      </c>
      <c r="T1077" s="92">
        <f>ROUND($B1077*T$1036,2)</f>
        <v>0</v>
      </c>
      <c r="U1077" s="92">
        <f>ROUND($B1077*U$1036,2)</f>
        <v>0</v>
      </c>
      <c r="V1077" s="32">
        <f>ROUND($B1077*$V$1028,2)</f>
        <v>0</v>
      </c>
      <c r="W1077" s="92">
        <f>ROUND($B1077*W$1036,2)</f>
        <v>0</v>
      </c>
      <c r="X1077" s="92">
        <f>ROUND($B1077*X$1036,2)</f>
        <v>-0.01</v>
      </c>
      <c r="Y1077" s="92">
        <f>ROUND($B1077*Y$1036,2)</f>
        <v>0</v>
      </c>
      <c r="Z1077" s="92">
        <f>ROUND($B1077*Z$1036,2)</f>
        <v>0</v>
      </c>
      <c r="AA1077" s="92">
        <f>ROUND($B1077*AA$1036,2)</f>
        <v>0</v>
      </c>
      <c r="AB1077" s="19">
        <f>SUM(U$1036:AA$1036)+(-V$1036+V1063)</f>
        <v>1.2243E-2</v>
      </c>
      <c r="AC1077" s="105" t="str">
        <f t="shared" si="64"/>
        <v>HL29</v>
      </c>
    </row>
    <row r="1078" spans="1:29" x14ac:dyDescent="0.2">
      <c r="A1078" s="9"/>
      <c r="B1078" s="103">
        <v>-1</v>
      </c>
      <c r="D1078" s="32"/>
      <c r="E1078" s="103"/>
      <c r="F1078" s="36"/>
      <c r="G1078" s="92"/>
      <c r="H1078" s="19" t="e">
        <f>IF(ISBLANK(B1078),0,+#REF!/B1078)</f>
        <v>#REF!</v>
      </c>
      <c r="J1078" s="109">
        <f t="shared" si="61"/>
        <v>215</v>
      </c>
      <c r="K1078" s="92">
        <f t="shared" si="62"/>
        <v>-0.04</v>
      </c>
      <c r="L1078" s="92">
        <f>IF(ISBLANK($E1078),0,IF($E1078&lt;$C$1037,ROUND($C$1037*$L$1036,2),IF($E1078&gt;L$1037,ROUND(L$1037*L$1036,2),ROUND($E1078*L$1036,2))))</f>
        <v>0</v>
      </c>
      <c r="M1078" s="92">
        <f>IF($E1078&gt;L$1037,ROUND(($E1078-L$1037)*M$1036,2),0)</f>
        <v>0</v>
      </c>
      <c r="N1078" s="92"/>
      <c r="O1078" s="92"/>
      <c r="P1078" s="92"/>
      <c r="Q1078" s="92"/>
      <c r="R1078" s="16" t="e">
        <f>VLOOKUP((D1079),'Pwr Factor'!$A$1:$B$52,2)</f>
        <v>#N/A</v>
      </c>
      <c r="S1078" s="50">
        <v>0</v>
      </c>
      <c r="T1078" s="92"/>
      <c r="U1078" s="92"/>
      <c r="V1078" s="32"/>
      <c r="W1078" s="92"/>
      <c r="X1078" s="92"/>
      <c r="Y1078" s="92"/>
      <c r="Z1078" s="92"/>
      <c r="AA1078" s="92"/>
      <c r="AB1078" s="19"/>
      <c r="AC1078" s="105">
        <f t="shared" si="64"/>
        <v>0</v>
      </c>
    </row>
    <row r="1079" spans="1:29" x14ac:dyDescent="0.2">
      <c r="A1079" s="1" t="s">
        <v>137</v>
      </c>
      <c r="B1079" s="103">
        <f>IF(AND('AES Indiana Bill Calc.'!$D$17="HL2",'AES Indiana Bill Calc.'!$D$18="No",'AES Indiana Bill Calc.'!$D$20="Yes 2019"),'AES Indiana Bill Calc.'!$D$19,-1)</f>
        <v>-1</v>
      </c>
      <c r="C1079" s="103">
        <f>MAX(E1079,$C$905)</f>
        <v>2000</v>
      </c>
      <c r="D1079" s="103" t="b">
        <f>IF(AND('AES Indiana Bill Calc.'!$D$17="HL2",'AES Indiana Bill Calc.'!$D$18="No",'AES Indiana Bill Calc.'!$D$20="Yes 2019"),'AES Indiana Bill Calc.'!$D$22)</f>
        <v>0</v>
      </c>
      <c r="E1079" s="103" t="b">
        <f>IF(AND('AES Indiana Bill Calc.'!$D$17="HL2",'AES Indiana Bill Calc.'!$D$18="No",'AES Indiana Bill Calc.'!$D$20="Yes 2019"),'AES Indiana Bill Calc.'!$D$21)</f>
        <v>0</v>
      </c>
      <c r="F1079" s="36" t="s">
        <v>233</v>
      </c>
      <c r="G1079" s="92" t="e">
        <f>SUM(J1079:M1079,R1079:AA1079)</f>
        <v>#N/A</v>
      </c>
      <c r="H1079" s="19" t="e">
        <f>IF(ISBLANK(B1079),0,+#REF!/B1079)</f>
        <v>#REF!</v>
      </c>
      <c r="J1079" s="109">
        <f t="shared" si="61"/>
        <v>215</v>
      </c>
      <c r="K1079" s="92">
        <f t="shared" si="62"/>
        <v>-0.04</v>
      </c>
      <c r="L1079" s="17">
        <f>IF(ISBLANK($C1079),0,IF($C1079&lt;$C$1037,ROUND($C$1037*$L$1036,2),IF($C1079&gt;L$1037,ROUND(L$1037*L$1036,2),ROUND($C1079*L$1036,2))))</f>
        <v>50000</v>
      </c>
      <c r="M1079" s="17">
        <f>IF($C1079&gt;L$1037,ROUND(($C1079-L$1037)*M$1036,2),0)</f>
        <v>0</v>
      </c>
      <c r="N1079" s="17">
        <f>K1079</f>
        <v>-0.04</v>
      </c>
      <c r="O1079" s="92"/>
      <c r="P1079" s="92"/>
      <c r="Q1079" s="17">
        <f>SUM(L1079:M1079)</f>
        <v>50000</v>
      </c>
      <c r="R1079" s="110" t="e">
        <f>ROUND(SUM(K1079:M1079)*(R1078-1),2)</f>
        <v>#N/A</v>
      </c>
      <c r="S1079" s="92">
        <f>ROUND($B1079*S$1036*S1078,2)</f>
        <v>0</v>
      </c>
      <c r="T1079" s="92">
        <f>ROUND($B1079*T$1036,2)</f>
        <v>0</v>
      </c>
      <c r="U1079" s="92">
        <f>ROUND($B1079*U$1036,2)</f>
        <v>0</v>
      </c>
      <c r="V1079" s="32">
        <f>ROUND($B1079*$V$1028,2)</f>
        <v>0</v>
      </c>
      <c r="W1079" s="92">
        <f>ROUND($B1079*W$1036,2)</f>
        <v>0</v>
      </c>
      <c r="X1079" s="92">
        <f>ROUND($B1079*X$1036,2)</f>
        <v>-0.01</v>
      </c>
      <c r="Y1079" s="92">
        <f>ROUND($B1079*Y$1036,2)</f>
        <v>0</v>
      </c>
      <c r="Z1079" s="92">
        <f>ROUND($B1079*Z$1036,2)</f>
        <v>0</v>
      </c>
      <c r="AA1079" s="92">
        <f>ROUND($B1079*AA$1036,2)</f>
        <v>0</v>
      </c>
      <c r="AB1079" s="19">
        <f>SUM(U$1036:AA$1036)+(-V$1036+V1065)</f>
        <v>1.2243E-2</v>
      </c>
      <c r="AC1079" s="105" t="str">
        <f t="shared" si="64"/>
        <v>HL29</v>
      </c>
    </row>
    <row r="1080" spans="1:29" x14ac:dyDescent="0.2">
      <c r="B1080" s="103">
        <v>-1</v>
      </c>
      <c r="D1080" s="32"/>
      <c r="E1080" s="103"/>
      <c r="F1080" s="36"/>
      <c r="G1080" s="92"/>
      <c r="H1080" s="19" t="e">
        <f>IF(ISBLANK(B1080),0,+#REF!/B1080)</f>
        <v>#REF!</v>
      </c>
      <c r="J1080" s="109">
        <f t="shared" si="61"/>
        <v>215</v>
      </c>
      <c r="K1080" s="92">
        <f t="shared" si="62"/>
        <v>-0.04</v>
      </c>
      <c r="L1080" s="92">
        <f>IF(ISBLANK($E1080),0,IF($E1080&lt;$C$1037,ROUND($C$1037*$L$1036,2),IF($E1080&gt;L$1037,ROUND(L$1037*L$1036,2),ROUND($E1080*L$1036,2))))</f>
        <v>0</v>
      </c>
      <c r="M1080" s="92">
        <f>IF($E1080&gt;L$1037,ROUND(($E1080-L$1037)*M$1036,2),0)</f>
        <v>0</v>
      </c>
      <c r="N1080" s="92"/>
      <c r="O1080" s="92"/>
      <c r="P1080" s="92"/>
      <c r="Q1080" s="92"/>
      <c r="R1080" s="16" t="e">
        <f>VLOOKUP((D1081),'Pwr Factor'!$A$1:$B$52,2)</f>
        <v>#N/A</v>
      </c>
      <c r="S1080" s="50">
        <v>1</v>
      </c>
      <c r="T1080" s="92"/>
      <c r="U1080" s="92"/>
      <c r="V1080" s="32"/>
      <c r="W1080" s="92"/>
      <c r="X1080" s="92"/>
      <c r="Y1080" s="92"/>
      <c r="Z1080" s="92"/>
      <c r="AA1080" s="92"/>
      <c r="AB1080" s="19"/>
      <c r="AC1080" s="105">
        <f t="shared" si="64"/>
        <v>0</v>
      </c>
    </row>
    <row r="1081" spans="1:29" x14ac:dyDescent="0.2">
      <c r="A1081" s="1" t="s">
        <v>138</v>
      </c>
      <c r="B1081" s="103">
        <f>IF(AND('AES Indiana Bill Calc.'!$D$17="HL2",'AES Indiana Bill Calc.'!$D$18="Yes 100%",'AES Indiana Bill Calc.'!$D$20="Yes 2020"),'AES Indiana Bill Calc.'!$D$19,-1)</f>
        <v>-1</v>
      </c>
      <c r="C1081" s="103">
        <f>MAX(E1081,$C$905)</f>
        <v>2000</v>
      </c>
      <c r="D1081" s="103" t="b">
        <f>IF(AND('AES Indiana Bill Calc.'!$D$17="HL2",'AES Indiana Bill Calc.'!$D$18="Yes 100%",'AES Indiana Bill Calc.'!$D$20="Yes 2020"),'AES Indiana Bill Calc.'!$D$22)</f>
        <v>0</v>
      </c>
      <c r="E1081" s="103" t="b">
        <f>IF(AND('AES Indiana Bill Calc.'!$D$17="HL2",'AES Indiana Bill Calc.'!$D$18="Yes 100%",'AES Indiana Bill Calc.'!$D$20="Yes 2020"),'AES Indiana Bill Calc.'!$D$21)</f>
        <v>0</v>
      </c>
      <c r="F1081" s="36" t="s">
        <v>234</v>
      </c>
      <c r="G1081" s="92" t="e">
        <f>SUM(J1081:M1081,R1081:AA1081)</f>
        <v>#N/A</v>
      </c>
      <c r="H1081" s="19" t="e">
        <f>IF(ISBLANK(B1081),0,+#REF!/B1081)</f>
        <v>#REF!</v>
      </c>
      <c r="J1081" s="109">
        <f t="shared" si="61"/>
        <v>215</v>
      </c>
      <c r="K1081" s="92">
        <f t="shared" si="62"/>
        <v>-0.04</v>
      </c>
      <c r="L1081" s="17">
        <f>IF(ISBLANK($C1081),0,IF($C1081&lt;$C$1037,ROUND($C$1037*$L$1036,2),IF($C1081&gt;L$1037,ROUND(L$1037*L$1036,2),ROUND($C1081*L$1036,2))))</f>
        <v>50000</v>
      </c>
      <c r="M1081" s="17">
        <f>IF($C1081&gt;L$1037,ROUND(($C1081-L$1037)*M$1036,2),0)</f>
        <v>0</v>
      </c>
      <c r="N1081" s="17">
        <f>K1081</f>
        <v>-0.04</v>
      </c>
      <c r="O1081" s="92"/>
      <c r="P1081" s="92"/>
      <c r="Q1081" s="17">
        <f>SUM(L1081:M1081)</f>
        <v>50000</v>
      </c>
      <c r="R1081" s="110" t="e">
        <f>ROUND(SUM(K1081:M1081)*(R1080-1),2)</f>
        <v>#N/A</v>
      </c>
      <c r="S1081" s="92">
        <f>ROUND($B1081*S$1036*S1080,2)</f>
        <v>0</v>
      </c>
      <c r="T1081" s="92">
        <f>ROUND($B1081*T$1036,2)</f>
        <v>0</v>
      </c>
      <c r="U1081" s="92">
        <f>ROUND($B1081*U$1036,2)</f>
        <v>0</v>
      </c>
      <c r="V1081" s="32">
        <f>ROUND($B1081*$V$1029,2)</f>
        <v>0</v>
      </c>
      <c r="W1081" s="92">
        <f>ROUND($B1081*W$1036,2)</f>
        <v>0</v>
      </c>
      <c r="X1081" s="92">
        <f>ROUND($B1081*X$1036,2)</f>
        <v>-0.01</v>
      </c>
      <c r="Y1081" s="92">
        <f>ROUND($B1081*Y$1036,2)</f>
        <v>0</v>
      </c>
      <c r="Z1081" s="92">
        <f>ROUND($B1081*Z$1036,2)</f>
        <v>0</v>
      </c>
      <c r="AA1081" s="92">
        <f>ROUND($B1081*AA$1036,2)</f>
        <v>0</v>
      </c>
      <c r="AB1081" s="19">
        <f>SUM(U$1036:AA$1036)+(-V$1036+V1067)</f>
        <v>1.2243E-2</v>
      </c>
      <c r="AC1081" s="105" t="str">
        <f t="shared" si="64"/>
        <v>HL20</v>
      </c>
    </row>
    <row r="1082" spans="1:29" x14ac:dyDescent="0.2">
      <c r="A1082" s="9"/>
      <c r="B1082" s="103">
        <v>-1</v>
      </c>
      <c r="D1082" s="32"/>
      <c r="E1082" s="103"/>
      <c r="F1082" s="36"/>
      <c r="G1082" s="92"/>
      <c r="H1082" s="19" t="e">
        <f>IF(ISBLANK(B1082),0,+#REF!/B1082)</f>
        <v>#REF!</v>
      </c>
      <c r="J1082" s="109">
        <f t="shared" si="61"/>
        <v>215</v>
      </c>
      <c r="K1082" s="92">
        <f t="shared" si="62"/>
        <v>-0.04</v>
      </c>
      <c r="L1082" s="92">
        <f>IF(ISBLANK($E1082),0,IF($E1082&lt;$C$1037,ROUND($C$1037*$L$1036,2),IF($E1082&gt;L$1037,ROUND(L$1037*L$1036,2),ROUND($E1082*L$1036,2))))</f>
        <v>0</v>
      </c>
      <c r="M1082" s="92">
        <f>IF($E1082&gt;L$1037,ROUND(($E1082-L$1037)*M$1036,2),0)</f>
        <v>0</v>
      </c>
      <c r="N1082" s="92"/>
      <c r="O1082" s="92"/>
      <c r="P1082" s="92"/>
      <c r="Q1082" s="92"/>
      <c r="R1082" s="16" t="e">
        <f>VLOOKUP((D1083),'Pwr Factor'!$A$1:$B$52,2)</f>
        <v>#N/A</v>
      </c>
      <c r="S1082" s="50">
        <v>0.5</v>
      </c>
      <c r="T1082" s="92"/>
      <c r="U1082" s="92"/>
      <c r="V1082" s="32"/>
      <c r="W1082" s="92"/>
      <c r="X1082" s="92"/>
      <c r="Y1082" s="92"/>
      <c r="Z1082" s="92"/>
      <c r="AA1082" s="92"/>
      <c r="AB1082" s="19"/>
      <c r="AC1082" s="105">
        <f t="shared" si="64"/>
        <v>0</v>
      </c>
    </row>
    <row r="1083" spans="1:29" x14ac:dyDescent="0.2">
      <c r="A1083" s="1" t="s">
        <v>139</v>
      </c>
      <c r="B1083" s="103">
        <f>IF(AND('AES Indiana Bill Calc.'!$D$17="HL2",'AES Indiana Bill Calc.'!$D$18="Yes 50%",'AES Indiana Bill Calc.'!$D$20="Yes 2020"),'AES Indiana Bill Calc.'!$D$19,-1)</f>
        <v>-1</v>
      </c>
      <c r="C1083" s="103">
        <f>MAX(E1083,$C$905)</f>
        <v>2000</v>
      </c>
      <c r="D1083" s="103" t="b">
        <f>IF(AND('AES Indiana Bill Calc.'!$D$17="HL2",'AES Indiana Bill Calc.'!$D$18="Yes 50%",'AES Indiana Bill Calc.'!$D$20="Yes 2020"),'AES Indiana Bill Calc.'!$D$22)</f>
        <v>0</v>
      </c>
      <c r="E1083" s="103" t="b">
        <f>IF(AND('AES Indiana Bill Calc.'!$D$17="HL2",'AES Indiana Bill Calc.'!$D$18="Yes 50%",'AES Indiana Bill Calc.'!$D$20="Yes 2020"),'AES Indiana Bill Calc.'!$D$21)</f>
        <v>0</v>
      </c>
      <c r="F1083" s="36" t="s">
        <v>234</v>
      </c>
      <c r="G1083" s="92" t="e">
        <f>SUM(J1083:M1083,R1083:AA1083)</f>
        <v>#N/A</v>
      </c>
      <c r="H1083" s="19" t="e">
        <f>IF(ISBLANK(B1083),0,+#REF!/B1083)</f>
        <v>#REF!</v>
      </c>
      <c r="J1083" s="109">
        <f t="shared" si="61"/>
        <v>215</v>
      </c>
      <c r="K1083" s="92">
        <f t="shared" si="62"/>
        <v>-0.04</v>
      </c>
      <c r="L1083" s="17">
        <f>IF(ISBLANK($C1083),0,IF($C1083&lt;$C$1037,ROUND($C$1037*$L$1036,2),IF($C1083&gt;L$1037,ROUND(L$1037*L$1036,2),ROUND($C1083*L$1036,2))))</f>
        <v>50000</v>
      </c>
      <c r="M1083" s="17">
        <f>IF($C1083&gt;L$1037,ROUND(($C1083-L$1037)*M$1036,2),0)</f>
        <v>0</v>
      </c>
      <c r="N1083" s="17">
        <f>K1083</f>
        <v>-0.04</v>
      </c>
      <c r="O1083" s="92"/>
      <c r="P1083" s="92"/>
      <c r="Q1083" s="17">
        <f>SUM(L1083:M1083)</f>
        <v>50000</v>
      </c>
      <c r="R1083" s="110" t="e">
        <f>ROUND(SUM(K1083:M1083)*(R1082-1),2)</f>
        <v>#N/A</v>
      </c>
      <c r="S1083" s="92">
        <f>ROUND($B1083*S$1036*S1082,2)</f>
        <v>0</v>
      </c>
      <c r="T1083" s="92">
        <f>ROUND($B1083*T$1036,2)</f>
        <v>0</v>
      </c>
      <c r="U1083" s="92">
        <f>ROUND($B1083*U$1036,2)</f>
        <v>0</v>
      </c>
      <c r="V1083" s="32">
        <f>ROUND($B1083*$V$1029,2)</f>
        <v>0</v>
      </c>
      <c r="W1083" s="92">
        <f>ROUND($B1083*W$1036,2)</f>
        <v>0</v>
      </c>
      <c r="X1083" s="92">
        <f>ROUND($B1083*X$1036,2)</f>
        <v>-0.01</v>
      </c>
      <c r="Y1083" s="92">
        <f>ROUND($B1083*Y$1036,2)</f>
        <v>0</v>
      </c>
      <c r="Z1083" s="92">
        <f>ROUND($B1083*Z$1036,2)</f>
        <v>0</v>
      </c>
      <c r="AA1083" s="92">
        <f>ROUND($B1083*AA$1036,2)</f>
        <v>0</v>
      </c>
      <c r="AB1083" s="19">
        <f>SUM(U$1036:AA$1036)+(-V$1036+V1069)</f>
        <v>1.2243E-2</v>
      </c>
      <c r="AC1083" s="105" t="str">
        <f t="shared" si="64"/>
        <v>HL20</v>
      </c>
    </row>
    <row r="1084" spans="1:29" x14ac:dyDescent="0.2">
      <c r="A1084" s="9"/>
      <c r="B1084" s="103">
        <v>-1</v>
      </c>
      <c r="D1084" s="32"/>
      <c r="E1084" s="103"/>
      <c r="F1084" s="36"/>
      <c r="G1084" s="92"/>
      <c r="H1084" s="19" t="e">
        <f>IF(ISBLANK(B1084),0,+#REF!/B1084)</f>
        <v>#REF!</v>
      </c>
      <c r="J1084" s="109">
        <f t="shared" si="61"/>
        <v>215</v>
      </c>
      <c r="K1084" s="92">
        <f t="shared" si="62"/>
        <v>-0.04</v>
      </c>
      <c r="L1084" s="92">
        <f>IF(ISBLANK($E1084),0,IF($E1084&lt;$C$1037,ROUND($C$1037*$L$1036,2),IF($E1084&gt;L$1037,ROUND(L$1037*L$1036,2),ROUND($E1084*L$1036,2))))</f>
        <v>0</v>
      </c>
      <c r="M1084" s="92">
        <f>IF($E1084&gt;L$1037,ROUND(($E1084-L$1037)*M$1036,2),0)</f>
        <v>0</v>
      </c>
      <c r="N1084" s="92"/>
      <c r="O1084" s="92"/>
      <c r="P1084" s="92"/>
      <c r="Q1084" s="92"/>
      <c r="R1084" s="16" t="e">
        <f>VLOOKUP((D1085),'Pwr Factor'!$A$1:$B$52,2)</f>
        <v>#N/A</v>
      </c>
      <c r="S1084" s="50">
        <v>0.25</v>
      </c>
      <c r="T1084" s="92"/>
      <c r="U1084" s="92"/>
      <c r="V1084" s="32"/>
      <c r="W1084" s="92"/>
      <c r="X1084" s="92"/>
      <c r="Y1084" s="92"/>
      <c r="Z1084" s="92"/>
      <c r="AA1084" s="92"/>
      <c r="AB1084" s="19"/>
      <c r="AC1084" s="105">
        <f t="shared" si="64"/>
        <v>0</v>
      </c>
    </row>
    <row r="1085" spans="1:29" x14ac:dyDescent="0.2">
      <c r="A1085" s="1" t="s">
        <v>140</v>
      </c>
      <c r="B1085" s="103">
        <f>IF(AND('AES Indiana Bill Calc.'!$D$17="HL2",'AES Indiana Bill Calc.'!$D$18="Yes 25%",'AES Indiana Bill Calc.'!$D$20="Yes 2020"),'AES Indiana Bill Calc.'!$D$19,-1)</f>
        <v>-1</v>
      </c>
      <c r="C1085" s="103">
        <f>MAX(E1085,$C$905)</f>
        <v>2000</v>
      </c>
      <c r="D1085" s="103" t="b">
        <f>IF(AND('AES Indiana Bill Calc.'!$D$17="HL2",'AES Indiana Bill Calc.'!$D$18="Yes 25%",'AES Indiana Bill Calc.'!$D$20="Yes 2020"),'AES Indiana Bill Calc.'!$D$22)</f>
        <v>0</v>
      </c>
      <c r="E1085" s="103" t="b">
        <f>IF(AND('AES Indiana Bill Calc.'!$D$17="HL2",'AES Indiana Bill Calc.'!$D$18="Yes 25%",'AES Indiana Bill Calc.'!$D$20="Yes 2020"),'AES Indiana Bill Calc.'!$D$21)</f>
        <v>0</v>
      </c>
      <c r="F1085" s="36" t="s">
        <v>234</v>
      </c>
      <c r="G1085" s="92" t="e">
        <f>SUM(J1085:M1085,R1085:AA1085)</f>
        <v>#N/A</v>
      </c>
      <c r="H1085" s="19" t="e">
        <f>IF(ISBLANK(B1085),0,+#REF!/B1085)</f>
        <v>#REF!</v>
      </c>
      <c r="J1085" s="109">
        <f t="shared" si="61"/>
        <v>215</v>
      </c>
      <c r="K1085" s="92">
        <f t="shared" si="62"/>
        <v>-0.04</v>
      </c>
      <c r="L1085" s="17">
        <f>IF(ISBLANK($C1085),0,IF($C1085&lt;$C$1037,ROUND($C$1037*$L$1036,2),IF($C1085&gt;L$1037,ROUND(L$1037*L$1036,2),ROUND($C1085*L$1036,2))))</f>
        <v>50000</v>
      </c>
      <c r="M1085" s="17">
        <f>IF($C1085&gt;L$1037,ROUND(($C1085-L$1037)*M$1036,2),0)</f>
        <v>0</v>
      </c>
      <c r="N1085" s="17">
        <f>K1085</f>
        <v>-0.04</v>
      </c>
      <c r="O1085" s="92"/>
      <c r="P1085" s="92"/>
      <c r="Q1085" s="17">
        <f>SUM(L1085:M1085)</f>
        <v>50000</v>
      </c>
      <c r="R1085" s="110" t="e">
        <f>ROUND(SUM(K1085:M1085)*(R1084-1),2)</f>
        <v>#N/A</v>
      </c>
      <c r="S1085" s="92">
        <f>ROUND($B1085*S$1036*S1084,2)</f>
        <v>0</v>
      </c>
      <c r="T1085" s="92">
        <f>ROUND($B1085*T$1036,2)</f>
        <v>0</v>
      </c>
      <c r="U1085" s="92">
        <f>ROUND($B1085*U$1036,2)</f>
        <v>0</v>
      </c>
      <c r="V1085" s="32">
        <f>ROUND($B1085*$V$1029,2)</f>
        <v>0</v>
      </c>
      <c r="W1085" s="92">
        <f>ROUND($B1085*W$1036,2)</f>
        <v>0</v>
      </c>
      <c r="X1085" s="92">
        <f>ROUND($B1085*X$1036,2)</f>
        <v>-0.01</v>
      </c>
      <c r="Y1085" s="92">
        <f>ROUND($B1085*Y$1036,2)</f>
        <v>0</v>
      </c>
      <c r="Z1085" s="92">
        <f>ROUND($B1085*Z$1036,2)</f>
        <v>0</v>
      </c>
      <c r="AA1085" s="92">
        <f>ROUND($B1085*AA$1036,2)</f>
        <v>0</v>
      </c>
      <c r="AB1085" s="19">
        <f>SUM(U$1036:AA$1036)+(-V$1036+V1071)</f>
        <v>1.2243E-2</v>
      </c>
      <c r="AC1085" s="105" t="str">
        <f t="shared" si="64"/>
        <v>HL20</v>
      </c>
    </row>
    <row r="1086" spans="1:29" x14ac:dyDescent="0.2">
      <c r="A1086" s="9"/>
      <c r="B1086" s="103">
        <v>-1</v>
      </c>
      <c r="D1086" s="32"/>
      <c r="E1086" s="103"/>
      <c r="F1086" s="36"/>
      <c r="G1086" s="92"/>
      <c r="H1086" s="19" t="e">
        <f>IF(ISBLANK(B1086),0,+#REF!/B1086)</f>
        <v>#REF!</v>
      </c>
      <c r="J1086" s="109">
        <f t="shared" si="61"/>
        <v>215</v>
      </c>
      <c r="K1086" s="92">
        <f t="shared" si="62"/>
        <v>-0.04</v>
      </c>
      <c r="L1086" s="92">
        <f>IF(ISBLANK($E1086),0,IF($E1086&lt;$C$1037,ROUND($C$1037*$L$1036,2),IF($E1086&gt;L$1037,ROUND(L$1037*L$1036,2),ROUND($E1086*L$1036,2))))</f>
        <v>0</v>
      </c>
      <c r="M1086" s="92">
        <f>IF($E1086&gt;L$1037,ROUND(($E1086-L$1037)*M$1036,2),0)</f>
        <v>0</v>
      </c>
      <c r="N1086" s="92"/>
      <c r="O1086" s="92"/>
      <c r="P1086" s="92"/>
      <c r="Q1086" s="92"/>
      <c r="R1086" s="16" t="e">
        <f>VLOOKUP((D1087),'Pwr Factor'!$A$1:$B$52,2)</f>
        <v>#N/A</v>
      </c>
      <c r="S1086" s="50">
        <v>0.1</v>
      </c>
      <c r="T1086" s="92"/>
      <c r="U1086" s="92"/>
      <c r="V1086" s="32"/>
      <c r="W1086" s="92"/>
      <c r="X1086" s="92"/>
      <c r="Y1086" s="92"/>
      <c r="Z1086" s="92"/>
      <c r="AA1086" s="92"/>
      <c r="AB1086" s="19"/>
      <c r="AC1086" s="105">
        <f t="shared" si="64"/>
        <v>0</v>
      </c>
    </row>
    <row r="1087" spans="1:29" x14ac:dyDescent="0.2">
      <c r="A1087" s="1" t="s">
        <v>154</v>
      </c>
      <c r="B1087" s="103">
        <f>IF(AND('AES Indiana Bill Calc.'!$D$17="HL2",'AES Indiana Bill Calc.'!$D$18="Yes 10%",'AES Indiana Bill Calc.'!$D$20="Yes 2020"),'AES Indiana Bill Calc.'!$D$19,-1)</f>
        <v>-1</v>
      </c>
      <c r="C1087" s="103">
        <f>MAX(E1087,$C$905)</f>
        <v>2000</v>
      </c>
      <c r="D1087" s="103" t="b">
        <f>IF(AND('AES Indiana Bill Calc.'!$D$17="HL2",'AES Indiana Bill Calc.'!$D$18="Yes 10%",'AES Indiana Bill Calc.'!$D$20="Yes 2020"),'AES Indiana Bill Calc.'!$D$22)</f>
        <v>0</v>
      </c>
      <c r="E1087" s="103" t="b">
        <f>IF(AND('AES Indiana Bill Calc.'!$D$17="HL2",'AES Indiana Bill Calc.'!$D$18="Yes 10%",'AES Indiana Bill Calc.'!$D$20="Yes 2020"),'AES Indiana Bill Calc.'!$D$21)</f>
        <v>0</v>
      </c>
      <c r="F1087" s="36" t="s">
        <v>234</v>
      </c>
      <c r="G1087" s="92" t="e">
        <f>SUM(J1087:M1087,R1087:AA1087)</f>
        <v>#N/A</v>
      </c>
      <c r="H1087" s="19" t="e">
        <f>IF(ISBLANK(B1087),0,+#REF!/B1087)</f>
        <v>#REF!</v>
      </c>
      <c r="J1087" s="109">
        <f t="shared" si="61"/>
        <v>215</v>
      </c>
      <c r="K1087" s="92">
        <f t="shared" si="62"/>
        <v>-0.04</v>
      </c>
      <c r="L1087" s="17">
        <f>IF(ISBLANK($C1087),0,IF($C1087&lt;$C$1037,ROUND($C$1037*$L$1036,2),IF($C1087&gt;L$1037,ROUND(L$1037*L$1036,2),ROUND($C1087*L$1036,2))))</f>
        <v>50000</v>
      </c>
      <c r="M1087" s="17">
        <f>IF($C1087&gt;L$1037,ROUND(($C1087-L$1037)*M$1036,2),0)</f>
        <v>0</v>
      </c>
      <c r="N1087" s="17">
        <f>K1087</f>
        <v>-0.04</v>
      </c>
      <c r="O1087" s="92"/>
      <c r="P1087" s="92"/>
      <c r="Q1087" s="17">
        <f>SUM(L1087:M1087)</f>
        <v>50000</v>
      </c>
      <c r="R1087" s="110" t="e">
        <f>ROUND(SUM(K1087:M1087)*(R1086-1),2)</f>
        <v>#N/A</v>
      </c>
      <c r="S1087" s="92">
        <f>ROUND($B1087*S$1036*S1086,2)</f>
        <v>0</v>
      </c>
      <c r="T1087" s="92">
        <f>ROUND($B1087*T$1036,2)</f>
        <v>0</v>
      </c>
      <c r="U1087" s="92">
        <f>ROUND($B1087*U$1036,2)</f>
        <v>0</v>
      </c>
      <c r="V1087" s="32">
        <f>ROUND($B1087*$V$1029,2)</f>
        <v>0</v>
      </c>
      <c r="W1087" s="92">
        <f>ROUND($B1087*W$1036,2)</f>
        <v>0</v>
      </c>
      <c r="X1087" s="92">
        <f>ROUND($B1087*X$1036,2)</f>
        <v>-0.01</v>
      </c>
      <c r="Y1087" s="92">
        <f>ROUND($B1087*Y$1036,2)</f>
        <v>0</v>
      </c>
      <c r="Z1087" s="92">
        <f>ROUND($B1087*Z$1036,2)</f>
        <v>0</v>
      </c>
      <c r="AA1087" s="92">
        <f>ROUND($B1087*AA$1036,2)</f>
        <v>0</v>
      </c>
      <c r="AB1087" s="19">
        <f>SUM(U$1036:AA$1036)+(-V$1036+V1073)</f>
        <v>1.2243E-2</v>
      </c>
      <c r="AC1087" s="105" t="str">
        <f t="shared" si="64"/>
        <v>HL20</v>
      </c>
    </row>
    <row r="1088" spans="1:29" x14ac:dyDescent="0.2">
      <c r="A1088" s="9"/>
      <c r="B1088" s="103">
        <v>-1</v>
      </c>
      <c r="D1088" s="32"/>
      <c r="E1088" s="103"/>
      <c r="F1088" s="36"/>
      <c r="G1088" s="92"/>
      <c r="H1088" s="19" t="e">
        <f>IF(ISBLANK(B1088),0,+#REF!/B1088)</f>
        <v>#REF!</v>
      </c>
      <c r="J1088" s="109">
        <f t="shared" si="61"/>
        <v>215</v>
      </c>
      <c r="K1088" s="92">
        <f t="shared" si="62"/>
        <v>-0.04</v>
      </c>
      <c r="L1088" s="92">
        <f>IF(ISBLANK($E1088),0,IF($E1088&lt;$C$1037,ROUND($C$1037*$L$1036,2),IF($E1088&gt;L$1037,ROUND(L$1037*L$1036,2),ROUND($E1088*L$1036,2))))</f>
        <v>0</v>
      </c>
      <c r="M1088" s="92">
        <f>IF($E1088&gt;L$1037,ROUND(($E1088-L$1037)*M$1036,2),0)</f>
        <v>0</v>
      </c>
      <c r="N1088" s="92"/>
      <c r="O1088" s="92"/>
      <c r="P1088" s="92"/>
      <c r="Q1088" s="92"/>
      <c r="R1088" s="16" t="e">
        <f>VLOOKUP((D1089),'Pwr Factor'!$A$1:$B$52,2)</f>
        <v>#N/A</v>
      </c>
      <c r="S1088" s="50">
        <v>0</v>
      </c>
      <c r="T1088" s="92"/>
      <c r="U1088" s="92"/>
      <c r="V1088" s="32"/>
      <c r="W1088" s="92"/>
      <c r="X1088" s="92"/>
      <c r="Y1088" s="92"/>
      <c r="Z1088" s="92"/>
      <c r="AA1088" s="92"/>
      <c r="AB1088" s="19"/>
      <c r="AC1088" s="105">
        <f t="shared" si="64"/>
        <v>0</v>
      </c>
    </row>
    <row r="1089" spans="1:29" x14ac:dyDescent="0.2">
      <c r="A1089" s="1" t="s">
        <v>137</v>
      </c>
      <c r="B1089" s="103">
        <f>IF(AND('AES Indiana Bill Calc.'!$D$17="HL2",'AES Indiana Bill Calc.'!$D$18="No",'AES Indiana Bill Calc.'!$D$20="Yes 2020"),'AES Indiana Bill Calc.'!$D$19,-1)</f>
        <v>-1</v>
      </c>
      <c r="C1089" s="103">
        <f>MAX(E1089,$C$905)</f>
        <v>2000</v>
      </c>
      <c r="D1089" s="103" t="b">
        <f>IF(AND('AES Indiana Bill Calc.'!$D$17="HL2",'AES Indiana Bill Calc.'!$D$18="No",'AES Indiana Bill Calc.'!$D$20="Yes 2020"),'AES Indiana Bill Calc.'!$D$22)</f>
        <v>0</v>
      </c>
      <c r="E1089" s="103" t="b">
        <f>IF(AND('AES Indiana Bill Calc.'!$D$17="HL2",'AES Indiana Bill Calc.'!$D$18="No",'AES Indiana Bill Calc.'!$D$20="Yes 2020"),'AES Indiana Bill Calc.'!$D$21)</f>
        <v>0</v>
      </c>
      <c r="F1089" s="36" t="s">
        <v>234</v>
      </c>
      <c r="G1089" s="92" t="e">
        <f>SUM(J1089:M1089,R1089:AA1089)</f>
        <v>#N/A</v>
      </c>
      <c r="H1089" s="19" t="e">
        <f>IF(ISBLANK(B1089),0,+#REF!/B1089)</f>
        <v>#REF!</v>
      </c>
      <c r="J1089" s="109">
        <f t="shared" si="61"/>
        <v>215</v>
      </c>
      <c r="K1089" s="92">
        <f t="shared" si="62"/>
        <v>-0.04</v>
      </c>
      <c r="L1089" s="17">
        <f>IF(ISBLANK($C1089),0,IF($C1089&lt;$C$1037,ROUND($C$1037*$L$1036,2),IF($C1089&gt;L$1037,ROUND(L$1037*L$1036,2),ROUND($C1089*L$1036,2))))</f>
        <v>50000</v>
      </c>
      <c r="M1089" s="17">
        <f>IF($C1089&gt;L$1037,ROUND(($C1089-L$1037)*M$1036,2),0)</f>
        <v>0</v>
      </c>
      <c r="N1089" s="17">
        <f>K1089</f>
        <v>-0.04</v>
      </c>
      <c r="O1089" s="92"/>
      <c r="P1089" s="92"/>
      <c r="Q1089" s="17">
        <f>SUM(L1089:M1089)</f>
        <v>50000</v>
      </c>
      <c r="R1089" s="110" t="e">
        <f>ROUND(SUM(K1089:M1089)*(R1088-1),2)</f>
        <v>#N/A</v>
      </c>
      <c r="S1089" s="92">
        <f>ROUND($B1089*S$1036*S1088,2)</f>
        <v>0</v>
      </c>
      <c r="T1089" s="92">
        <f>ROUND($B1089*T$1036,2)</f>
        <v>0</v>
      </c>
      <c r="U1089" s="92">
        <f>ROUND($B1089*U$1036,2)</f>
        <v>0</v>
      </c>
      <c r="V1089" s="32">
        <f>ROUND($B1089*$V$1029,2)</f>
        <v>0</v>
      </c>
      <c r="W1089" s="92">
        <f>ROUND($B1089*W$1036,2)</f>
        <v>0</v>
      </c>
      <c r="X1089" s="92">
        <f>ROUND($B1089*X$1036,2)</f>
        <v>-0.01</v>
      </c>
      <c r="Y1089" s="92">
        <f>ROUND($B1089*Y$1036,2)</f>
        <v>0</v>
      </c>
      <c r="Z1089" s="92">
        <f>ROUND($B1089*Z$1036,2)</f>
        <v>0</v>
      </c>
      <c r="AA1089" s="92">
        <f>ROUND($B1089*AA$1036,2)</f>
        <v>0</v>
      </c>
      <c r="AB1089" s="19">
        <f>SUM(U$1036:AA$1036)+(-V$1036+V1075)</f>
        <v>1.2243E-2</v>
      </c>
      <c r="AC1089" s="105" t="str">
        <f t="shared" si="64"/>
        <v>HL20</v>
      </c>
    </row>
    <row r="1090" spans="1:29" x14ac:dyDescent="0.2">
      <c r="B1090" s="103">
        <v>-1</v>
      </c>
      <c r="D1090" s="32"/>
      <c r="E1090" s="103"/>
      <c r="F1090" s="36"/>
      <c r="G1090" s="92"/>
      <c r="H1090" s="19" t="e">
        <f>IF(ISBLANK(B1090),0,+#REF!/B1090)</f>
        <v>#REF!</v>
      </c>
      <c r="J1090" s="109">
        <f t="shared" si="61"/>
        <v>215</v>
      </c>
      <c r="K1090" s="92">
        <f t="shared" si="62"/>
        <v>-0.04</v>
      </c>
      <c r="L1090" s="92">
        <f>IF(ISBLANK($E1090),0,IF($E1090&lt;$C$1037,ROUND($C$1037*$L$1036,2),IF($E1090&gt;L$1037,ROUND(L$1037*L$1036,2),ROUND($E1090*L$1036,2))))</f>
        <v>0</v>
      </c>
      <c r="M1090" s="92">
        <f>IF($E1090&gt;L$1037,ROUND(($E1090-L$1037)*M$1036,2),0)</f>
        <v>0</v>
      </c>
      <c r="N1090" s="92"/>
      <c r="O1090" s="92"/>
      <c r="P1090" s="92"/>
      <c r="Q1090" s="92"/>
      <c r="R1090" s="16" t="e">
        <f>VLOOKUP((D1091),'Pwr Factor'!$A$1:$B$52,2)</f>
        <v>#N/A</v>
      </c>
      <c r="S1090" s="50">
        <v>1</v>
      </c>
      <c r="T1090" s="92"/>
      <c r="U1090" s="92"/>
      <c r="V1090" s="32"/>
      <c r="W1090" s="92"/>
      <c r="X1090" s="92"/>
      <c r="Y1090" s="92"/>
      <c r="Z1090" s="92"/>
      <c r="AA1090" s="92"/>
      <c r="AB1090" s="19"/>
      <c r="AC1090" s="105">
        <f t="shared" si="64"/>
        <v>0</v>
      </c>
    </row>
    <row r="1091" spans="1:29" x14ac:dyDescent="0.2">
      <c r="A1091" s="1" t="s">
        <v>138</v>
      </c>
      <c r="B1091" s="103">
        <f>IF(AND('AES Indiana Bill Calc.'!$D$17="HL2",'AES Indiana Bill Calc.'!$D$18="Yes 100%",'AES Indiana Bill Calc.'!$D$20="Yes 2021"),'AES Indiana Bill Calc.'!$D$19,-1)</f>
        <v>-1</v>
      </c>
      <c r="C1091" s="103">
        <f>MAX(E1091,$C$905)</f>
        <v>2000</v>
      </c>
      <c r="D1091" s="103" t="b">
        <f>IF(AND('AES Indiana Bill Calc.'!$D$17="HL2",'AES Indiana Bill Calc.'!$D$18="Yes 100%",'AES Indiana Bill Calc.'!$D$20="Yes 2021"),'AES Indiana Bill Calc.'!$D$22)</f>
        <v>0</v>
      </c>
      <c r="E1091" s="103" t="b">
        <f>IF(AND('AES Indiana Bill Calc.'!$D$17="HL2",'AES Indiana Bill Calc.'!$D$18="Yes 100%",'AES Indiana Bill Calc.'!$D$20="Yes 2021"),'AES Indiana Bill Calc.'!$D$21)</f>
        <v>0</v>
      </c>
      <c r="F1091" s="36" t="s">
        <v>235</v>
      </c>
      <c r="G1091" s="92" t="e">
        <f>SUM(J1091:M1091,R1091:AA1091)</f>
        <v>#N/A</v>
      </c>
      <c r="H1091" s="19" t="e">
        <f>IF(ISBLANK(B1091),0,+#REF!/B1091)</f>
        <v>#REF!</v>
      </c>
      <c r="J1091" s="109">
        <f t="shared" si="61"/>
        <v>215</v>
      </c>
      <c r="K1091" s="92">
        <f t="shared" si="62"/>
        <v>-0.04</v>
      </c>
      <c r="L1091" s="17">
        <f>IF(ISBLANK($C1091),0,IF($C1091&lt;$C$1037,ROUND($C$1037*$L$1036,2),IF($C1091&gt;L$1037,ROUND(L$1037*L$1036,2),ROUND($C1091*L$1036,2))))</f>
        <v>50000</v>
      </c>
      <c r="M1091" s="17">
        <f>IF($C1091&gt;L$1037,ROUND(($C1091-L$1037)*M$1036,2),0)</f>
        <v>0</v>
      </c>
      <c r="N1091" s="17">
        <f>K1091</f>
        <v>-0.04</v>
      </c>
      <c r="O1091" s="92"/>
      <c r="P1091" s="92"/>
      <c r="Q1091" s="17">
        <f>SUM(L1091:M1091)</f>
        <v>50000</v>
      </c>
      <c r="R1091" s="110" t="e">
        <f>ROUND(SUM(K1091:M1091)*(R1090-1),2)</f>
        <v>#N/A</v>
      </c>
      <c r="S1091" s="92">
        <f>ROUND($B1091*S$1036*S1090,2)</f>
        <v>0</v>
      </c>
      <c r="T1091" s="92">
        <f>ROUND($B1091*T$1036,2)</f>
        <v>0</v>
      </c>
      <c r="U1091" s="92">
        <f>ROUND($B1091*U$1036,2)</f>
        <v>0</v>
      </c>
      <c r="V1091" s="32">
        <f>ROUND($B1091*$V$1030,2)</f>
        <v>0</v>
      </c>
      <c r="W1091" s="92">
        <f>ROUND($B1091*W$1036,2)</f>
        <v>0</v>
      </c>
      <c r="X1091" s="92">
        <f>ROUND($B1091*X$1036,2)</f>
        <v>-0.01</v>
      </c>
      <c r="Y1091" s="92">
        <f>ROUND($B1091*Y$1036,2)</f>
        <v>0</v>
      </c>
      <c r="Z1091" s="92">
        <f>ROUND($B1091*Z$1036,2)</f>
        <v>0</v>
      </c>
      <c r="AA1091" s="92">
        <f>ROUND($B1091*AA$1036,2)</f>
        <v>0</v>
      </c>
      <c r="AB1091" s="19">
        <f>SUM(U$1036:AA$1036)+(-V$1036+V1077)</f>
        <v>1.2243E-2</v>
      </c>
      <c r="AC1091" s="105" t="str">
        <f t="shared" si="64"/>
        <v>HL21</v>
      </c>
    </row>
    <row r="1092" spans="1:29" x14ac:dyDescent="0.2">
      <c r="A1092" s="9"/>
      <c r="B1092" s="103">
        <v>-1</v>
      </c>
      <c r="D1092" s="32"/>
      <c r="E1092" s="103"/>
      <c r="F1092" s="36"/>
      <c r="G1092" s="92"/>
      <c r="H1092" s="19" t="e">
        <f>IF(ISBLANK(B1092),0,+#REF!/B1092)</f>
        <v>#REF!</v>
      </c>
      <c r="J1092" s="109">
        <f t="shared" si="61"/>
        <v>215</v>
      </c>
      <c r="K1092" s="92">
        <f t="shared" si="62"/>
        <v>-0.04</v>
      </c>
      <c r="L1092" s="92">
        <f>IF(ISBLANK($E1092),0,IF($E1092&lt;$C$1037,ROUND($C$1037*$L$1036,2),IF($E1092&gt;L$1037,ROUND(L$1037*L$1036,2),ROUND($E1092*L$1036,2))))</f>
        <v>0</v>
      </c>
      <c r="M1092" s="92">
        <f>IF($E1092&gt;L$1037,ROUND(($E1092-L$1037)*M$1036,2),0)</f>
        <v>0</v>
      </c>
      <c r="N1092" s="92"/>
      <c r="O1092" s="92"/>
      <c r="P1092" s="92"/>
      <c r="Q1092" s="92"/>
      <c r="R1092" s="16" t="e">
        <f>VLOOKUP((D1093),'Pwr Factor'!$A$1:$B$52,2)</f>
        <v>#N/A</v>
      </c>
      <c r="S1092" s="50">
        <v>0.5</v>
      </c>
      <c r="T1092" s="92"/>
      <c r="U1092" s="92"/>
      <c r="V1092" s="32"/>
      <c r="W1092" s="92"/>
      <c r="X1092" s="92"/>
      <c r="Y1092" s="92"/>
      <c r="Z1092" s="92"/>
      <c r="AA1092" s="92"/>
      <c r="AB1092" s="19"/>
      <c r="AC1092" s="105">
        <f t="shared" si="64"/>
        <v>0</v>
      </c>
    </row>
    <row r="1093" spans="1:29" x14ac:dyDescent="0.2">
      <c r="A1093" s="1" t="s">
        <v>139</v>
      </c>
      <c r="B1093" s="103">
        <f>IF(AND('AES Indiana Bill Calc.'!$D$17="HL2",'AES Indiana Bill Calc.'!$D$18="Yes 50%",'AES Indiana Bill Calc.'!$D$20="Yes 2021"),'AES Indiana Bill Calc.'!$D$19,-1)</f>
        <v>-1</v>
      </c>
      <c r="C1093" s="103">
        <f>MAX(E1093,$C$905)</f>
        <v>2000</v>
      </c>
      <c r="D1093" s="103" t="b">
        <f>IF(AND('AES Indiana Bill Calc.'!$D$17="HL2",'AES Indiana Bill Calc.'!$D$18="Yes 50%",'AES Indiana Bill Calc.'!$D$20="Yes 2021"),'AES Indiana Bill Calc.'!$D$22)</f>
        <v>0</v>
      </c>
      <c r="E1093" s="103" t="b">
        <f>IF(AND('AES Indiana Bill Calc.'!$D$17="HL2",'AES Indiana Bill Calc.'!$D$18="Yes 50%",'AES Indiana Bill Calc.'!$D$20="Yes 2021"),'AES Indiana Bill Calc.'!$D$21)</f>
        <v>0</v>
      </c>
      <c r="F1093" s="36" t="s">
        <v>235</v>
      </c>
      <c r="G1093" s="92" t="e">
        <f>SUM(J1093:M1093,R1093:AA1093)</f>
        <v>#N/A</v>
      </c>
      <c r="H1093" s="19" t="e">
        <f>IF(ISBLANK(B1093),0,+#REF!/B1093)</f>
        <v>#REF!</v>
      </c>
      <c r="J1093" s="109">
        <f t="shared" si="61"/>
        <v>215</v>
      </c>
      <c r="K1093" s="92">
        <f t="shared" si="62"/>
        <v>-0.04</v>
      </c>
      <c r="L1093" s="17">
        <f>IF(ISBLANK($C1093),0,IF($C1093&lt;$C$1037,ROUND($C$1037*$L$1036,2),IF($C1093&gt;L$1037,ROUND(L$1037*L$1036,2),ROUND($C1093*L$1036,2))))</f>
        <v>50000</v>
      </c>
      <c r="M1093" s="17">
        <f>IF($C1093&gt;L$1037,ROUND(($C1093-L$1037)*M$1036,2),0)</f>
        <v>0</v>
      </c>
      <c r="N1093" s="17">
        <f>K1093</f>
        <v>-0.04</v>
      </c>
      <c r="O1093" s="92"/>
      <c r="P1093" s="92"/>
      <c r="Q1093" s="17">
        <f>SUM(L1093:M1093)</f>
        <v>50000</v>
      </c>
      <c r="R1093" s="110" t="e">
        <f>ROUND(SUM(K1093:M1093)*(R1092-1),2)</f>
        <v>#N/A</v>
      </c>
      <c r="S1093" s="92">
        <f>ROUND($B1093*S$1036*S1092,2)</f>
        <v>0</v>
      </c>
      <c r="T1093" s="92">
        <f>ROUND($B1093*T$1036,2)</f>
        <v>0</v>
      </c>
      <c r="U1093" s="92">
        <f>ROUND($B1093*U$1036,2)</f>
        <v>0</v>
      </c>
      <c r="V1093" s="32">
        <f>ROUND($B1093*$V$1030,2)</f>
        <v>0</v>
      </c>
      <c r="W1093" s="92">
        <f>ROUND($B1093*W$1036,2)</f>
        <v>0</v>
      </c>
      <c r="X1093" s="92">
        <f>ROUND($B1093*X$1036,2)</f>
        <v>-0.01</v>
      </c>
      <c r="Y1093" s="92">
        <f>ROUND($B1093*Y$1036,2)</f>
        <v>0</v>
      </c>
      <c r="Z1093" s="92">
        <f>ROUND($B1093*Z$1036,2)</f>
        <v>0</v>
      </c>
      <c r="AA1093" s="92">
        <f>ROUND($B1093*AA$1036,2)</f>
        <v>0</v>
      </c>
      <c r="AB1093" s="19">
        <f>SUM(U$1036:AA$1036)+(-V$1036+V1079)</f>
        <v>1.2243E-2</v>
      </c>
      <c r="AC1093" s="105" t="str">
        <f t="shared" si="64"/>
        <v>HL21</v>
      </c>
    </row>
    <row r="1094" spans="1:29" x14ac:dyDescent="0.2">
      <c r="A1094" s="9"/>
      <c r="B1094" s="103">
        <v>-1</v>
      </c>
      <c r="D1094" s="32"/>
      <c r="E1094" s="103"/>
      <c r="F1094" s="36"/>
      <c r="G1094" s="92"/>
      <c r="H1094" s="19" t="e">
        <f>IF(ISBLANK(B1094),0,+#REF!/B1094)</f>
        <v>#REF!</v>
      </c>
      <c r="J1094" s="109">
        <f t="shared" si="61"/>
        <v>215</v>
      </c>
      <c r="K1094" s="92">
        <f t="shared" si="62"/>
        <v>-0.04</v>
      </c>
      <c r="L1094" s="92">
        <f>IF(ISBLANK($E1094),0,IF($E1094&lt;$C$1037,ROUND($C$1037*$L$1036,2),IF($E1094&gt;L$1037,ROUND(L$1037*L$1036,2),ROUND($E1094*L$1036,2))))</f>
        <v>0</v>
      </c>
      <c r="M1094" s="92">
        <f>IF($E1094&gt;L$1037,ROUND(($E1094-L$1037)*M$1036,2),0)</f>
        <v>0</v>
      </c>
      <c r="N1094" s="92"/>
      <c r="O1094" s="92"/>
      <c r="P1094" s="92"/>
      <c r="Q1094" s="92"/>
      <c r="R1094" s="16" t="e">
        <f>VLOOKUP((D1095),'Pwr Factor'!$A$1:$B$52,2)</f>
        <v>#N/A</v>
      </c>
      <c r="S1094" s="50">
        <v>0.25</v>
      </c>
      <c r="T1094" s="92"/>
      <c r="U1094" s="92"/>
      <c r="V1094" s="32"/>
      <c r="W1094" s="92"/>
      <c r="X1094" s="92"/>
      <c r="Y1094" s="92"/>
      <c r="Z1094" s="92"/>
      <c r="AA1094" s="92"/>
      <c r="AB1094" s="19"/>
      <c r="AC1094" s="105">
        <f t="shared" si="64"/>
        <v>0</v>
      </c>
    </row>
    <row r="1095" spans="1:29" x14ac:dyDescent="0.2">
      <c r="A1095" s="1" t="s">
        <v>140</v>
      </c>
      <c r="B1095" s="103">
        <f>IF(AND('AES Indiana Bill Calc.'!$D$17="HL2",'AES Indiana Bill Calc.'!$D$18="Yes 25%",'AES Indiana Bill Calc.'!$D$20="Yes 2021"),'AES Indiana Bill Calc.'!$D$19,-1)</f>
        <v>-1</v>
      </c>
      <c r="C1095" s="103">
        <f>MAX(E1095,$C$905)</f>
        <v>2000</v>
      </c>
      <c r="D1095" s="103" t="b">
        <f>IF(AND('AES Indiana Bill Calc.'!$D$17="HL2",'AES Indiana Bill Calc.'!$D$18="Yes 25%",'AES Indiana Bill Calc.'!$D$20="Yes 2021"),'AES Indiana Bill Calc.'!$D$22)</f>
        <v>0</v>
      </c>
      <c r="E1095" s="103" t="b">
        <f>IF(AND('AES Indiana Bill Calc.'!$D$17="HL2",'AES Indiana Bill Calc.'!$D$18="Yes 25%",'AES Indiana Bill Calc.'!$D$20="Yes 2021"),'AES Indiana Bill Calc.'!$D$21)</f>
        <v>0</v>
      </c>
      <c r="F1095" s="36" t="s">
        <v>235</v>
      </c>
      <c r="G1095" s="92" t="e">
        <f>SUM(J1095:M1095,R1095:AA1095)</f>
        <v>#N/A</v>
      </c>
      <c r="H1095" s="19" t="e">
        <f>IF(ISBLANK(B1095),0,+#REF!/B1095)</f>
        <v>#REF!</v>
      </c>
      <c r="J1095" s="109">
        <f t="shared" si="61"/>
        <v>215</v>
      </c>
      <c r="K1095" s="92">
        <f t="shared" si="62"/>
        <v>-0.04</v>
      </c>
      <c r="L1095" s="17">
        <f>IF(ISBLANK($C1095),0,IF($C1095&lt;$C$1037,ROUND($C$1037*$L$1036,2),IF($C1095&gt;L$1037,ROUND(L$1037*L$1036,2),ROUND($C1095*L$1036,2))))</f>
        <v>50000</v>
      </c>
      <c r="M1095" s="17">
        <f>IF($C1095&gt;L$1037,ROUND(($C1095-L$1037)*M$1036,2),0)</f>
        <v>0</v>
      </c>
      <c r="N1095" s="17">
        <f>K1095</f>
        <v>-0.04</v>
      </c>
      <c r="O1095" s="92"/>
      <c r="P1095" s="92"/>
      <c r="Q1095" s="17">
        <f>SUM(L1095:M1095)</f>
        <v>50000</v>
      </c>
      <c r="R1095" s="110" t="e">
        <f>ROUND(SUM(K1095:M1095)*(R1094-1),2)</f>
        <v>#N/A</v>
      </c>
      <c r="S1095" s="92">
        <f>ROUND($B1095*S$1036*S1094,2)</f>
        <v>0</v>
      </c>
      <c r="T1095" s="92">
        <f>ROUND($B1095*T$1036,2)</f>
        <v>0</v>
      </c>
      <c r="U1095" s="92">
        <f>ROUND($B1095*U$1036,2)</f>
        <v>0</v>
      </c>
      <c r="V1095" s="32">
        <f>ROUND($B1095*$V$1030,2)</f>
        <v>0</v>
      </c>
      <c r="W1095" s="92">
        <f>ROUND($B1095*W$1036,2)</f>
        <v>0</v>
      </c>
      <c r="X1095" s="92">
        <f>ROUND($B1095*X$1036,2)</f>
        <v>-0.01</v>
      </c>
      <c r="Y1095" s="92">
        <f>ROUND($B1095*Y$1036,2)</f>
        <v>0</v>
      </c>
      <c r="Z1095" s="92">
        <f>ROUND($B1095*Z$1036,2)</f>
        <v>0</v>
      </c>
      <c r="AA1095" s="92">
        <f>ROUND($B1095*AA$1036,2)</f>
        <v>0</v>
      </c>
      <c r="AB1095" s="19">
        <f>SUM(U$1036:AA$1036)+(-V$1036+V1081)</f>
        <v>1.2243E-2</v>
      </c>
      <c r="AC1095" s="105" t="str">
        <f t="shared" si="64"/>
        <v>HL21</v>
      </c>
    </row>
    <row r="1096" spans="1:29" x14ac:dyDescent="0.2">
      <c r="A1096" s="9"/>
      <c r="B1096" s="103">
        <v>-1</v>
      </c>
      <c r="D1096" s="32"/>
      <c r="E1096" s="103"/>
      <c r="F1096" s="36"/>
      <c r="G1096" s="92"/>
      <c r="H1096" s="19" t="e">
        <f>IF(ISBLANK(B1096),0,+#REF!/B1096)</f>
        <v>#REF!</v>
      </c>
      <c r="J1096" s="109">
        <f t="shared" si="61"/>
        <v>215</v>
      </c>
      <c r="K1096" s="92">
        <f t="shared" si="62"/>
        <v>-0.04</v>
      </c>
      <c r="L1096" s="92">
        <f>IF(ISBLANK($E1096),0,IF($E1096&lt;$C$1037,ROUND($C$1037*$L$1036,2),IF($E1096&gt;L$1037,ROUND(L$1037*L$1036,2),ROUND($E1096*L$1036,2))))</f>
        <v>0</v>
      </c>
      <c r="M1096" s="92">
        <f>IF($E1096&gt;L$1037,ROUND(($E1096-L$1037)*M$1036,2),0)</f>
        <v>0</v>
      </c>
      <c r="N1096" s="92"/>
      <c r="O1096" s="92"/>
      <c r="P1096" s="92"/>
      <c r="Q1096" s="92"/>
      <c r="R1096" s="16" t="e">
        <f>VLOOKUP((D1097),'Pwr Factor'!$A$1:$B$52,2)</f>
        <v>#N/A</v>
      </c>
      <c r="S1096" s="50">
        <v>0.1</v>
      </c>
      <c r="T1096" s="92"/>
      <c r="U1096" s="92"/>
      <c r="V1096" s="32"/>
      <c r="W1096" s="92"/>
      <c r="X1096" s="92"/>
      <c r="Y1096" s="92"/>
      <c r="Z1096" s="92"/>
      <c r="AA1096" s="92"/>
      <c r="AB1096" s="19"/>
      <c r="AC1096" s="105">
        <f t="shared" si="64"/>
        <v>0</v>
      </c>
    </row>
    <row r="1097" spans="1:29" x14ac:dyDescent="0.2">
      <c r="A1097" s="1" t="s">
        <v>154</v>
      </c>
      <c r="B1097" s="103">
        <f>IF(AND('AES Indiana Bill Calc.'!$D$17="HL2",'AES Indiana Bill Calc.'!$D$18="Yes 10%",'AES Indiana Bill Calc.'!$D$20="Yes 2021"),'AES Indiana Bill Calc.'!$D$19,-1)</f>
        <v>-1</v>
      </c>
      <c r="C1097" s="103">
        <f>MAX(E1097,$C$905)</f>
        <v>2000</v>
      </c>
      <c r="D1097" s="103" t="b">
        <f>IF(AND('AES Indiana Bill Calc.'!$D$17="HL2",'AES Indiana Bill Calc.'!$D$18="Yes 10%",'AES Indiana Bill Calc.'!$D$20="Yes 2021"),'AES Indiana Bill Calc.'!$D$22)</f>
        <v>0</v>
      </c>
      <c r="E1097" s="103" t="b">
        <f>IF(AND('AES Indiana Bill Calc.'!$D$17="HL2",'AES Indiana Bill Calc.'!$D$18="Yes 10%",'AES Indiana Bill Calc.'!$D$20="Yes 2021"),'AES Indiana Bill Calc.'!$D$21)</f>
        <v>0</v>
      </c>
      <c r="F1097" s="36" t="s">
        <v>235</v>
      </c>
      <c r="G1097" s="92" t="e">
        <f>SUM(J1097:M1097,R1097:AA1097)</f>
        <v>#N/A</v>
      </c>
      <c r="H1097" s="19" t="e">
        <f>IF(ISBLANK(B1097),0,+#REF!/B1097)</f>
        <v>#REF!</v>
      </c>
      <c r="J1097" s="109">
        <f t="shared" si="61"/>
        <v>215</v>
      </c>
      <c r="K1097" s="92">
        <f t="shared" si="62"/>
        <v>-0.04</v>
      </c>
      <c r="L1097" s="17">
        <f>IF(ISBLANK($C1097),0,IF($C1097&lt;$C$1037,ROUND($C$1037*$L$1036,2),IF($C1097&gt;L$1037,ROUND(L$1037*L$1036,2),ROUND($C1097*L$1036,2))))</f>
        <v>50000</v>
      </c>
      <c r="M1097" s="17">
        <f>IF($C1097&gt;L$1037,ROUND(($C1097-L$1037)*M$1036,2),0)</f>
        <v>0</v>
      </c>
      <c r="N1097" s="17">
        <f>K1097</f>
        <v>-0.04</v>
      </c>
      <c r="O1097" s="92"/>
      <c r="P1097" s="92"/>
      <c r="Q1097" s="17">
        <f>SUM(L1097:M1097)</f>
        <v>50000</v>
      </c>
      <c r="R1097" s="110" t="e">
        <f>ROUND(SUM(K1097:M1097)*(R1096-1),2)</f>
        <v>#N/A</v>
      </c>
      <c r="S1097" s="92">
        <f>ROUND($B1097*S$1036*S1096,2)</f>
        <v>0</v>
      </c>
      <c r="T1097" s="92">
        <f>ROUND($B1097*T$1036,2)</f>
        <v>0</v>
      </c>
      <c r="U1097" s="92">
        <f>ROUND($B1097*U$1036,2)</f>
        <v>0</v>
      </c>
      <c r="V1097" s="32">
        <f>ROUND($B1097*$V$1030,2)</f>
        <v>0</v>
      </c>
      <c r="W1097" s="92">
        <f>ROUND($B1097*W$1036,2)</f>
        <v>0</v>
      </c>
      <c r="X1097" s="92">
        <f>ROUND($B1097*X$1036,2)</f>
        <v>-0.01</v>
      </c>
      <c r="Y1097" s="92">
        <f>ROUND($B1097*Y$1036,2)</f>
        <v>0</v>
      </c>
      <c r="Z1097" s="92">
        <f>ROUND($B1097*Z$1036,2)</f>
        <v>0</v>
      </c>
      <c r="AA1097" s="92">
        <f>ROUND($B1097*AA$1036,2)</f>
        <v>0</v>
      </c>
      <c r="AB1097" s="19">
        <f>SUM(U$1036:AA$1036)+(-V$1036+V1083)</f>
        <v>1.2243E-2</v>
      </c>
      <c r="AC1097" s="105" t="str">
        <f t="shared" si="64"/>
        <v>HL21</v>
      </c>
    </row>
    <row r="1098" spans="1:29" x14ac:dyDescent="0.2">
      <c r="A1098" s="9"/>
      <c r="B1098" s="103">
        <v>-1</v>
      </c>
      <c r="D1098" s="32"/>
      <c r="E1098" s="103"/>
      <c r="F1098" s="36"/>
      <c r="G1098" s="92"/>
      <c r="H1098" s="19" t="e">
        <f>IF(ISBLANK(B1098),0,+#REF!/B1098)</f>
        <v>#REF!</v>
      </c>
      <c r="J1098" s="109">
        <f t="shared" si="61"/>
        <v>215</v>
      </c>
      <c r="K1098" s="92">
        <f t="shared" si="62"/>
        <v>-0.04</v>
      </c>
      <c r="L1098" s="92">
        <f>IF(ISBLANK($E1098),0,IF($E1098&lt;$C$1037,ROUND($C$1037*$L$1036,2),IF($E1098&gt;L$1037,ROUND(L$1037*L$1036,2),ROUND($E1098*L$1036,2))))</f>
        <v>0</v>
      </c>
      <c r="M1098" s="92">
        <f>IF($E1098&gt;L$1037,ROUND(($E1098-L$1037)*M$1036,2),0)</f>
        <v>0</v>
      </c>
      <c r="N1098" s="92"/>
      <c r="O1098" s="92"/>
      <c r="P1098" s="92"/>
      <c r="Q1098" s="92"/>
      <c r="R1098" s="16" t="e">
        <f>VLOOKUP((D1099),'Pwr Factor'!$A$1:$B$52,2)</f>
        <v>#N/A</v>
      </c>
      <c r="S1098" s="50">
        <v>0</v>
      </c>
      <c r="T1098" s="92"/>
      <c r="U1098" s="92"/>
      <c r="V1098" s="32"/>
      <c r="W1098" s="92"/>
      <c r="X1098" s="92"/>
      <c r="Y1098" s="92"/>
      <c r="Z1098" s="92"/>
      <c r="AA1098" s="92"/>
      <c r="AB1098" s="19"/>
      <c r="AC1098" s="105">
        <f t="shared" si="64"/>
        <v>0</v>
      </c>
    </row>
    <row r="1099" spans="1:29" x14ac:dyDescent="0.2">
      <c r="A1099" s="1" t="s">
        <v>137</v>
      </c>
      <c r="B1099" s="103">
        <f>IF(AND('AES Indiana Bill Calc.'!$D$17="HL2",'AES Indiana Bill Calc.'!$D$18="No",'AES Indiana Bill Calc.'!$D$20="Yes 2021"),'AES Indiana Bill Calc.'!$D$19,-1)</f>
        <v>-1</v>
      </c>
      <c r="C1099" s="103">
        <f>MAX(E1099,$C$905)</f>
        <v>2000</v>
      </c>
      <c r="D1099" s="103" t="b">
        <f>IF(AND('AES Indiana Bill Calc.'!$D$17="HL2",'AES Indiana Bill Calc.'!$D$18="No",'AES Indiana Bill Calc.'!$D$20="Yes 2021"),'AES Indiana Bill Calc.'!$D$22)</f>
        <v>0</v>
      </c>
      <c r="E1099" s="103" t="b">
        <f>IF(AND('AES Indiana Bill Calc.'!$D$17="HL2",'AES Indiana Bill Calc.'!$D$18="No",'AES Indiana Bill Calc.'!$D$20="Yes 2021"),'AES Indiana Bill Calc.'!$D$21)</f>
        <v>0</v>
      </c>
      <c r="F1099" s="36" t="s">
        <v>235</v>
      </c>
      <c r="G1099" s="92" t="e">
        <f>SUM(J1099:M1099,R1099:AA1099)</f>
        <v>#N/A</v>
      </c>
      <c r="H1099" s="19" t="e">
        <f>IF(ISBLANK(B1099),0,+#REF!/B1099)</f>
        <v>#REF!</v>
      </c>
      <c r="J1099" s="109">
        <f t="shared" si="61"/>
        <v>215</v>
      </c>
      <c r="K1099" s="92">
        <f t="shared" si="62"/>
        <v>-0.04</v>
      </c>
      <c r="L1099" s="17">
        <f>IF(ISBLANK($C1099),0,IF($C1099&lt;$C$1037,ROUND($C$1037*$L$1036,2),IF($C1099&gt;L$1037,ROUND(L$1037*L$1036,2),ROUND($C1099*L$1036,2))))</f>
        <v>50000</v>
      </c>
      <c r="M1099" s="17">
        <f>IF($C1099&gt;L$1037,ROUND(($C1099-L$1037)*M$1036,2),0)</f>
        <v>0</v>
      </c>
      <c r="N1099" s="17">
        <f>K1099</f>
        <v>-0.04</v>
      </c>
      <c r="O1099" s="92"/>
      <c r="P1099" s="92"/>
      <c r="Q1099" s="17">
        <f>SUM(L1099:M1099)</f>
        <v>50000</v>
      </c>
      <c r="R1099" s="110" t="e">
        <f>ROUND(SUM(K1099:M1099)*(R1098-1),2)</f>
        <v>#N/A</v>
      </c>
      <c r="S1099" s="92">
        <f>ROUND($B1099*S$1036*S1098,2)</f>
        <v>0</v>
      </c>
      <c r="T1099" s="92">
        <f>ROUND($B1099*T$1036,2)</f>
        <v>0</v>
      </c>
      <c r="U1099" s="92">
        <f>ROUND($B1099*U$1036,2)</f>
        <v>0</v>
      </c>
      <c r="V1099" s="32">
        <f>ROUND($B1099*$V$1030,2)</f>
        <v>0</v>
      </c>
      <c r="W1099" s="92">
        <f>ROUND($B1099*W$1036,2)</f>
        <v>0</v>
      </c>
      <c r="X1099" s="92">
        <f>ROUND($B1099*X$1036,2)</f>
        <v>-0.01</v>
      </c>
      <c r="Y1099" s="92">
        <f>ROUND($B1099*Y$1036,2)</f>
        <v>0</v>
      </c>
      <c r="Z1099" s="92">
        <f>ROUND($B1099*Z$1036,2)</f>
        <v>0</v>
      </c>
      <c r="AA1099" s="92">
        <f>ROUND($B1099*AA$1036,2)</f>
        <v>0</v>
      </c>
      <c r="AB1099" s="19">
        <f>SUM(U$1036:AA$1036)+(-V$1036+V1085)</f>
        <v>1.2243E-2</v>
      </c>
      <c r="AC1099" s="105" t="str">
        <f t="shared" si="64"/>
        <v>HL21</v>
      </c>
    </row>
    <row r="1100" spans="1:29" x14ac:dyDescent="0.2">
      <c r="B1100" s="103">
        <v>-1</v>
      </c>
      <c r="D1100" s="32"/>
      <c r="E1100" s="103"/>
      <c r="F1100" s="36"/>
      <c r="G1100" s="92"/>
      <c r="H1100" s="19" t="e">
        <f>IF(ISBLANK(B1100),0,+#REF!/B1100)</f>
        <v>#REF!</v>
      </c>
      <c r="J1100" s="109">
        <f t="shared" si="61"/>
        <v>215</v>
      </c>
      <c r="K1100" s="92">
        <f t="shared" si="62"/>
        <v>-0.04</v>
      </c>
      <c r="L1100" s="92">
        <f>IF(ISBLANK($E1100),0,IF($E1100&lt;$C$1037,ROUND($C$1037*$L$1036,2),IF($E1100&gt;L$1037,ROUND(L$1037*L$1036,2),ROUND($E1100*L$1036,2))))</f>
        <v>0</v>
      </c>
      <c r="M1100" s="92">
        <f>IF($E1100&gt;L$1037,ROUND(($E1100-L$1037)*M$1036,2),0)</f>
        <v>0</v>
      </c>
      <c r="N1100" s="92"/>
      <c r="O1100" s="92"/>
      <c r="P1100" s="92"/>
      <c r="Q1100" s="92"/>
      <c r="R1100" s="16" t="e">
        <f>VLOOKUP((D1101),'Pwr Factor'!$A$1:$B$52,2)</f>
        <v>#N/A</v>
      </c>
      <c r="S1100" s="50">
        <v>1</v>
      </c>
      <c r="T1100" s="92"/>
      <c r="U1100" s="92"/>
      <c r="V1100" s="32"/>
      <c r="W1100" s="92"/>
      <c r="X1100" s="92"/>
      <c r="Y1100" s="92"/>
      <c r="Z1100" s="92"/>
      <c r="AA1100" s="92"/>
      <c r="AB1100" s="19"/>
      <c r="AC1100" s="105">
        <f t="shared" si="64"/>
        <v>0</v>
      </c>
    </row>
    <row r="1101" spans="1:29" x14ac:dyDescent="0.2">
      <c r="A1101" s="1" t="s">
        <v>138</v>
      </c>
      <c r="B1101" s="103">
        <f>IF(AND('AES Indiana Bill Calc.'!$D$17="HL2",'AES Indiana Bill Calc.'!$D$18="Yes 100%",'AES Indiana Bill Calc.'!$D$20="Yes 2022"),'AES Indiana Bill Calc.'!$D$19,-1)</f>
        <v>-1</v>
      </c>
      <c r="C1101" s="103">
        <f>MAX(E1101,$C$905)</f>
        <v>2000</v>
      </c>
      <c r="D1101" s="103" t="b">
        <f>IF(AND('AES Indiana Bill Calc.'!$D$17="HL2",'AES Indiana Bill Calc.'!$D$18="Yes 100%",'AES Indiana Bill Calc.'!$D$20="Yes 2022"),'AES Indiana Bill Calc.'!$D$22)</f>
        <v>0</v>
      </c>
      <c r="E1101" s="103" t="b">
        <f>IF(AND('AES Indiana Bill Calc.'!$D$17="HL2",'AES Indiana Bill Calc.'!$D$18="Yes 100%",'AES Indiana Bill Calc.'!$D$20="Yes 2022"),'AES Indiana Bill Calc.'!$D$21)</f>
        <v>0</v>
      </c>
      <c r="F1101" s="36" t="s">
        <v>236</v>
      </c>
      <c r="G1101" s="92" t="e">
        <f>SUM(J1101:M1101,R1101:AA1101)</f>
        <v>#N/A</v>
      </c>
      <c r="H1101" s="19" t="e">
        <f>IF(ISBLANK(B1101),0,+#REF!/B1101)</f>
        <v>#REF!</v>
      </c>
      <c r="J1101" s="109">
        <f t="shared" si="61"/>
        <v>215</v>
      </c>
      <c r="K1101" s="92">
        <f t="shared" si="62"/>
        <v>-0.04</v>
      </c>
      <c r="L1101" s="17">
        <f>IF(ISBLANK($C1101),0,IF($C1101&lt;$C$1037,ROUND($C$1037*$L$1036,2),IF($C1101&gt;L$1037,ROUND(L$1037*L$1036,2),ROUND($C1101*L$1036,2))))</f>
        <v>50000</v>
      </c>
      <c r="M1101" s="17">
        <f>IF($C1101&gt;L$1037,ROUND(($C1101-L$1037)*M$1036,2),0)</f>
        <v>0</v>
      </c>
      <c r="N1101" s="17">
        <f>K1101</f>
        <v>-0.04</v>
      </c>
      <c r="O1101" s="92"/>
      <c r="P1101" s="92"/>
      <c r="Q1101" s="17">
        <f>SUM(L1101:M1101)</f>
        <v>50000</v>
      </c>
      <c r="R1101" s="110" t="e">
        <f>ROUND(SUM(K1101:M1101)*(R1100-1),2)</f>
        <v>#N/A</v>
      </c>
      <c r="S1101" s="92">
        <f>ROUND($B1101*S$1036*S1100,2)</f>
        <v>0</v>
      </c>
      <c r="T1101" s="92">
        <f>ROUND($B1101*T$1036,2)</f>
        <v>0</v>
      </c>
      <c r="U1101" s="92">
        <f>ROUND($B1101*U$1036,2)</f>
        <v>0</v>
      </c>
      <c r="V1101" s="32">
        <f>ROUND($B1101*$V$1031,2)</f>
        <v>0</v>
      </c>
      <c r="W1101" s="92">
        <f>ROUND($B1101*W$1036,2)</f>
        <v>0</v>
      </c>
      <c r="X1101" s="92">
        <f>ROUND($B1101*X$1036,2)</f>
        <v>-0.01</v>
      </c>
      <c r="Y1101" s="92">
        <f>ROUND($B1101*Y$1036,2)</f>
        <v>0</v>
      </c>
      <c r="Z1101" s="92">
        <f>ROUND($B1101*Z$1036,2)</f>
        <v>0</v>
      </c>
      <c r="AA1101" s="92">
        <f>ROUND($B1101*AA$1036,2)</f>
        <v>0</v>
      </c>
      <c r="AB1101" s="19">
        <f>SUM(U$1036:AA$1036)+(-V$1036+V1087)</f>
        <v>1.2243E-2</v>
      </c>
      <c r="AC1101" s="105" t="str">
        <f t="shared" si="64"/>
        <v>HL22</v>
      </c>
    </row>
    <row r="1102" spans="1:29" x14ac:dyDescent="0.2">
      <c r="A1102" s="9"/>
      <c r="B1102" s="103">
        <v>-1</v>
      </c>
      <c r="D1102" s="32"/>
      <c r="E1102" s="103"/>
      <c r="F1102" s="36"/>
      <c r="G1102" s="92"/>
      <c r="H1102" s="19" t="e">
        <f>IF(ISBLANK(B1102),0,+#REF!/B1102)</f>
        <v>#REF!</v>
      </c>
      <c r="J1102" s="109">
        <f t="shared" si="61"/>
        <v>215</v>
      </c>
      <c r="K1102" s="92">
        <f t="shared" si="62"/>
        <v>-0.04</v>
      </c>
      <c r="L1102" s="92">
        <f>IF(ISBLANK($E1102),0,IF($E1102&lt;$C$1037,ROUND($C$1037*$L$1036,2),IF($E1102&gt;L$1037,ROUND(L$1037*L$1036,2),ROUND($E1102*L$1036,2))))</f>
        <v>0</v>
      </c>
      <c r="M1102" s="92">
        <f>IF($E1102&gt;L$1037,ROUND(($E1102-L$1037)*M$1036,2),0)</f>
        <v>0</v>
      </c>
      <c r="N1102" s="92"/>
      <c r="O1102" s="92"/>
      <c r="P1102" s="92"/>
      <c r="Q1102" s="92"/>
      <c r="R1102" s="16" t="e">
        <f>VLOOKUP((D1103),'Pwr Factor'!$A$1:$B$52,2)</f>
        <v>#N/A</v>
      </c>
      <c r="S1102" s="50">
        <v>0.5</v>
      </c>
      <c r="T1102" s="92"/>
      <c r="U1102" s="92"/>
      <c r="V1102" s="32"/>
      <c r="W1102" s="92"/>
      <c r="X1102" s="92"/>
      <c r="Y1102" s="92"/>
      <c r="Z1102" s="92"/>
      <c r="AA1102" s="92"/>
      <c r="AB1102" s="19"/>
      <c r="AC1102" s="105">
        <f t="shared" si="64"/>
        <v>0</v>
      </c>
    </row>
    <row r="1103" spans="1:29" x14ac:dyDescent="0.2">
      <c r="A1103" s="1" t="s">
        <v>139</v>
      </c>
      <c r="B1103" s="103">
        <f>IF(AND('AES Indiana Bill Calc.'!$D$17="HL2",'AES Indiana Bill Calc.'!$D$18="Yes 50%",'AES Indiana Bill Calc.'!$D$20="Yes 2022"),'AES Indiana Bill Calc.'!$D$19,-1)</f>
        <v>-1</v>
      </c>
      <c r="C1103" s="103">
        <f>MAX(E1103,$C$905)</f>
        <v>2000</v>
      </c>
      <c r="D1103" s="103" t="b">
        <f>IF(AND('AES Indiana Bill Calc.'!$D$17="HL2",'AES Indiana Bill Calc.'!$D$18="Yes 50%",'AES Indiana Bill Calc.'!$D$20="Yes 2022"),'AES Indiana Bill Calc.'!$D$22)</f>
        <v>0</v>
      </c>
      <c r="E1103" s="103" t="b">
        <f>IF(AND('AES Indiana Bill Calc.'!$D$17="HL2",'AES Indiana Bill Calc.'!$D$18="Yes 50%",'AES Indiana Bill Calc.'!$D$20="Yes 2022"),'AES Indiana Bill Calc.'!$D$21)</f>
        <v>0</v>
      </c>
      <c r="F1103" s="36" t="s">
        <v>236</v>
      </c>
      <c r="G1103" s="92" t="e">
        <f>SUM(J1103:M1103,R1103:AA1103)</f>
        <v>#N/A</v>
      </c>
      <c r="H1103" s="19" t="e">
        <f>IF(ISBLANK(B1103),0,+#REF!/B1103)</f>
        <v>#REF!</v>
      </c>
      <c r="J1103" s="109">
        <f t="shared" si="61"/>
        <v>215</v>
      </c>
      <c r="K1103" s="92">
        <f t="shared" si="62"/>
        <v>-0.04</v>
      </c>
      <c r="L1103" s="17">
        <f>IF(ISBLANK($C1103),0,IF($C1103&lt;$C$1037,ROUND($C$1037*$L$1036,2),IF($C1103&gt;L$1037,ROUND(L$1037*L$1036,2),ROUND($C1103*L$1036,2))))</f>
        <v>50000</v>
      </c>
      <c r="M1103" s="17">
        <f>IF($C1103&gt;L$1037,ROUND(($C1103-L$1037)*M$1036,2),0)</f>
        <v>0</v>
      </c>
      <c r="N1103" s="17">
        <f>K1103</f>
        <v>-0.04</v>
      </c>
      <c r="O1103" s="92"/>
      <c r="P1103" s="92"/>
      <c r="Q1103" s="17">
        <f>SUM(L1103:M1103)</f>
        <v>50000</v>
      </c>
      <c r="R1103" s="110" t="e">
        <f>ROUND(SUM(K1103:M1103)*(R1102-1),2)</f>
        <v>#N/A</v>
      </c>
      <c r="S1103" s="92">
        <f>ROUND($B1103*S$1036*S1102,2)</f>
        <v>0</v>
      </c>
      <c r="T1103" s="92">
        <f>ROUND($B1103*T$1036,2)</f>
        <v>0</v>
      </c>
      <c r="U1103" s="92">
        <f>ROUND($B1103*U$1036,2)</f>
        <v>0</v>
      </c>
      <c r="V1103" s="32">
        <f>ROUND($B1103*$V$1031,2)</f>
        <v>0</v>
      </c>
      <c r="W1103" s="92">
        <f>ROUND($B1103*W$1036,2)</f>
        <v>0</v>
      </c>
      <c r="X1103" s="92">
        <f>ROUND($B1103*X$1036,2)</f>
        <v>-0.01</v>
      </c>
      <c r="Y1103" s="92">
        <f>ROUND($B1103*Y$1036,2)</f>
        <v>0</v>
      </c>
      <c r="Z1103" s="92">
        <f>ROUND($B1103*Z$1036,2)</f>
        <v>0</v>
      </c>
      <c r="AA1103" s="92">
        <f>ROUND($B1103*AA$1036,2)</f>
        <v>0</v>
      </c>
      <c r="AB1103" s="19">
        <f>SUM(U$1036:AA$1036)+(-V$1036+V1089)</f>
        <v>1.2243E-2</v>
      </c>
      <c r="AC1103" s="105" t="str">
        <f t="shared" si="64"/>
        <v>HL22</v>
      </c>
    </row>
    <row r="1104" spans="1:29" x14ac:dyDescent="0.2">
      <c r="A1104" s="9"/>
      <c r="B1104" s="103">
        <v>-1</v>
      </c>
      <c r="D1104" s="32"/>
      <c r="E1104" s="103"/>
      <c r="F1104" s="36"/>
      <c r="G1104" s="92"/>
      <c r="H1104" s="19" t="e">
        <f>IF(ISBLANK(B1104),0,+#REF!/B1104)</f>
        <v>#REF!</v>
      </c>
      <c r="J1104" s="109">
        <f t="shared" si="61"/>
        <v>215</v>
      </c>
      <c r="K1104" s="92">
        <f t="shared" si="62"/>
        <v>-0.04</v>
      </c>
      <c r="L1104" s="92">
        <f>IF(ISBLANK($E1104),0,IF($E1104&lt;$C$1037,ROUND($C$1037*$L$1036,2),IF($E1104&gt;L$1037,ROUND(L$1037*L$1036,2),ROUND($E1104*L$1036,2))))</f>
        <v>0</v>
      </c>
      <c r="M1104" s="92">
        <f>IF($E1104&gt;L$1037,ROUND(($E1104-L$1037)*M$1036,2),0)</f>
        <v>0</v>
      </c>
      <c r="N1104" s="92"/>
      <c r="O1104" s="92"/>
      <c r="P1104" s="92"/>
      <c r="Q1104" s="92"/>
      <c r="R1104" s="16" t="e">
        <f>VLOOKUP((D1105),'Pwr Factor'!$A$1:$B$52,2)</f>
        <v>#N/A</v>
      </c>
      <c r="S1104" s="50">
        <v>0.25</v>
      </c>
      <c r="T1104" s="92"/>
      <c r="U1104" s="92"/>
      <c r="V1104" s="32"/>
      <c r="W1104" s="92"/>
      <c r="X1104" s="92"/>
      <c r="Y1104" s="92"/>
      <c r="Z1104" s="92"/>
      <c r="AA1104" s="92"/>
      <c r="AB1104" s="19"/>
      <c r="AC1104" s="105">
        <f t="shared" si="64"/>
        <v>0</v>
      </c>
    </row>
    <row r="1105" spans="1:29" x14ac:dyDescent="0.2">
      <c r="A1105" s="1" t="s">
        <v>140</v>
      </c>
      <c r="B1105" s="103">
        <f>IF(AND('AES Indiana Bill Calc.'!$D$17="HL2",'AES Indiana Bill Calc.'!$D$18="Yes 25%",'AES Indiana Bill Calc.'!$D$20="Yes 2022"),'AES Indiana Bill Calc.'!$D$19,-1)</f>
        <v>-1</v>
      </c>
      <c r="C1105" s="103">
        <f>MAX(E1105,$C$905)</f>
        <v>2000</v>
      </c>
      <c r="D1105" s="103" t="b">
        <f>IF(AND('AES Indiana Bill Calc.'!$D$17="HL2",'AES Indiana Bill Calc.'!$D$18="Yes 25%",'AES Indiana Bill Calc.'!$D$20="Yes 2022"),'AES Indiana Bill Calc.'!$D$22)</f>
        <v>0</v>
      </c>
      <c r="E1105" s="103" t="b">
        <f>IF(AND('AES Indiana Bill Calc.'!$D$17="HL2",'AES Indiana Bill Calc.'!$D$18="Yes 25%",'AES Indiana Bill Calc.'!$D$20="Yes 2022"),'AES Indiana Bill Calc.'!$D$21)</f>
        <v>0</v>
      </c>
      <c r="F1105" s="36" t="s">
        <v>236</v>
      </c>
      <c r="G1105" s="92" t="e">
        <f>SUM(J1105:M1105,R1105:AA1105)</f>
        <v>#N/A</v>
      </c>
      <c r="H1105" s="19" t="e">
        <f>IF(ISBLANK(B1105),0,+#REF!/B1105)</f>
        <v>#REF!</v>
      </c>
      <c r="J1105" s="109">
        <f t="shared" si="61"/>
        <v>215</v>
      </c>
      <c r="K1105" s="92">
        <f t="shared" si="62"/>
        <v>-0.04</v>
      </c>
      <c r="L1105" s="17">
        <f>IF(ISBLANK($C1105),0,IF($C1105&lt;$C$1037,ROUND($C$1037*$L$1036,2),IF($C1105&gt;L$1037,ROUND(L$1037*L$1036,2),ROUND($C1105*L$1036,2))))</f>
        <v>50000</v>
      </c>
      <c r="M1105" s="17">
        <f>IF($C1105&gt;L$1037,ROUND(($C1105-L$1037)*M$1036,2),0)</f>
        <v>0</v>
      </c>
      <c r="N1105" s="17">
        <f>K1105</f>
        <v>-0.04</v>
      </c>
      <c r="O1105" s="92"/>
      <c r="P1105" s="92"/>
      <c r="Q1105" s="17">
        <f>SUM(L1105:M1105)</f>
        <v>50000</v>
      </c>
      <c r="R1105" s="110" t="e">
        <f>ROUND(SUM(K1105:M1105)*(R1104-1),2)</f>
        <v>#N/A</v>
      </c>
      <c r="S1105" s="92">
        <f>ROUND($B1105*S$1036*S1104,2)</f>
        <v>0</v>
      </c>
      <c r="T1105" s="92">
        <f>ROUND($B1105*T$1036,2)</f>
        <v>0</v>
      </c>
      <c r="U1105" s="92">
        <f>ROUND($B1105*U$1036,2)</f>
        <v>0</v>
      </c>
      <c r="V1105" s="32">
        <f>ROUND($B1105*$V$1031,2)</f>
        <v>0</v>
      </c>
      <c r="W1105" s="92">
        <f>ROUND($B1105*W$1036,2)</f>
        <v>0</v>
      </c>
      <c r="X1105" s="92">
        <f>ROUND($B1105*X$1036,2)</f>
        <v>-0.01</v>
      </c>
      <c r="Y1105" s="92">
        <f>ROUND($B1105*Y$1036,2)</f>
        <v>0</v>
      </c>
      <c r="Z1105" s="92">
        <f>ROUND($B1105*Z$1036,2)</f>
        <v>0</v>
      </c>
      <c r="AA1105" s="92">
        <f>ROUND($B1105*AA$1036,2)</f>
        <v>0</v>
      </c>
      <c r="AB1105" s="19">
        <f>SUM(U$1036:AA$1036)+(-V$1036+V1091)</f>
        <v>1.2243E-2</v>
      </c>
      <c r="AC1105" s="105" t="str">
        <f t="shared" si="64"/>
        <v>HL22</v>
      </c>
    </row>
    <row r="1106" spans="1:29" x14ac:dyDescent="0.2">
      <c r="A1106" s="9"/>
      <c r="B1106" s="103">
        <v>-1</v>
      </c>
      <c r="D1106" s="32"/>
      <c r="E1106" s="103"/>
      <c r="F1106" s="36"/>
      <c r="G1106" s="92"/>
      <c r="H1106" s="19" t="e">
        <f>IF(ISBLANK(B1106),0,+#REF!/B1106)</f>
        <v>#REF!</v>
      </c>
      <c r="J1106" s="109">
        <f t="shared" si="61"/>
        <v>215</v>
      </c>
      <c r="K1106" s="92">
        <f t="shared" si="62"/>
        <v>-0.04</v>
      </c>
      <c r="L1106" s="92">
        <f>IF(ISBLANK($E1106),0,IF($E1106&lt;$C$1037,ROUND($C$1037*$L$1036,2),IF($E1106&gt;L$1037,ROUND(L$1037*L$1036,2),ROUND($E1106*L$1036,2))))</f>
        <v>0</v>
      </c>
      <c r="M1106" s="92">
        <f>IF($E1106&gt;L$1037,ROUND(($E1106-L$1037)*M$1036,2),0)</f>
        <v>0</v>
      </c>
      <c r="N1106" s="92"/>
      <c r="O1106" s="92"/>
      <c r="P1106" s="92"/>
      <c r="Q1106" s="92"/>
      <c r="R1106" s="16" t="e">
        <f>VLOOKUP((D1107),'Pwr Factor'!$A$1:$B$52,2)</f>
        <v>#N/A</v>
      </c>
      <c r="S1106" s="50">
        <v>0.1</v>
      </c>
      <c r="T1106" s="92"/>
      <c r="U1106" s="92"/>
      <c r="V1106" s="32"/>
      <c r="W1106" s="92"/>
      <c r="X1106" s="92"/>
      <c r="Y1106" s="92"/>
      <c r="Z1106" s="92"/>
      <c r="AA1106" s="92"/>
      <c r="AB1106" s="19"/>
      <c r="AC1106" s="105">
        <f t="shared" si="64"/>
        <v>0</v>
      </c>
    </row>
    <row r="1107" spans="1:29" x14ac:dyDescent="0.2">
      <c r="A1107" s="1" t="s">
        <v>154</v>
      </c>
      <c r="B1107" s="103">
        <f>IF(AND('AES Indiana Bill Calc.'!$D$17="HL2",'AES Indiana Bill Calc.'!$D$18="Yes 10%",'AES Indiana Bill Calc.'!$D$20="Yes 2022"),'AES Indiana Bill Calc.'!$D$19,-1)</f>
        <v>-1</v>
      </c>
      <c r="C1107" s="103">
        <f>MAX(E1107,$C$905)</f>
        <v>2000</v>
      </c>
      <c r="D1107" s="103" t="b">
        <f>IF(AND('AES Indiana Bill Calc.'!$D$17="HL2",'AES Indiana Bill Calc.'!$D$18="Yes 10%",'AES Indiana Bill Calc.'!$D$20="Yes 2022"),'AES Indiana Bill Calc.'!$D$22)</f>
        <v>0</v>
      </c>
      <c r="E1107" s="103" t="b">
        <f>IF(AND('AES Indiana Bill Calc.'!$D$17="HL2",'AES Indiana Bill Calc.'!$D$18="Yes 10%",'AES Indiana Bill Calc.'!$D$20="Yes 2022"),'AES Indiana Bill Calc.'!$D$21)</f>
        <v>0</v>
      </c>
      <c r="F1107" s="36" t="s">
        <v>236</v>
      </c>
      <c r="G1107" s="92" t="e">
        <f>SUM(J1107:M1107,R1107:AA1107)</f>
        <v>#N/A</v>
      </c>
      <c r="H1107" s="19" t="e">
        <f>IF(ISBLANK(B1107),0,+#REF!/B1107)</f>
        <v>#REF!</v>
      </c>
      <c r="J1107" s="109">
        <f t="shared" si="61"/>
        <v>215</v>
      </c>
      <c r="K1107" s="92">
        <f t="shared" si="62"/>
        <v>-0.04</v>
      </c>
      <c r="L1107" s="17">
        <f>IF(ISBLANK($C1107),0,IF($C1107&lt;$C$1037,ROUND($C$1037*$L$1036,2),IF($C1107&gt;L$1037,ROUND(L$1037*L$1036,2),ROUND($C1107*L$1036,2))))</f>
        <v>50000</v>
      </c>
      <c r="M1107" s="17">
        <f>IF($C1107&gt;L$1037,ROUND(($C1107-L$1037)*M$1036,2),0)</f>
        <v>0</v>
      </c>
      <c r="N1107" s="17">
        <f>K1107</f>
        <v>-0.04</v>
      </c>
      <c r="O1107" s="92"/>
      <c r="P1107" s="92"/>
      <c r="Q1107" s="17">
        <f>SUM(L1107:M1107)</f>
        <v>50000</v>
      </c>
      <c r="R1107" s="110" t="e">
        <f>ROUND(SUM(K1107:M1107)*(R1106-1),2)</f>
        <v>#N/A</v>
      </c>
      <c r="S1107" s="92">
        <f>ROUND($B1107*S$1036*S1106,2)</f>
        <v>0</v>
      </c>
      <c r="T1107" s="92">
        <f>ROUND($B1107*T$1036,2)</f>
        <v>0</v>
      </c>
      <c r="U1107" s="92">
        <f>ROUND($B1107*U$1036,2)</f>
        <v>0</v>
      </c>
      <c r="V1107" s="32">
        <f>ROUND($B1107*$V$1031,2)</f>
        <v>0</v>
      </c>
      <c r="W1107" s="92">
        <f>ROUND($B1107*W$1036,2)</f>
        <v>0</v>
      </c>
      <c r="X1107" s="92">
        <f>ROUND($B1107*X$1036,2)</f>
        <v>-0.01</v>
      </c>
      <c r="Y1107" s="92">
        <f>ROUND($B1107*Y$1036,2)</f>
        <v>0</v>
      </c>
      <c r="Z1107" s="92">
        <f>ROUND($B1107*Z$1036,2)</f>
        <v>0</v>
      </c>
      <c r="AA1107" s="92">
        <f>ROUND($B1107*AA$1036,2)</f>
        <v>0</v>
      </c>
      <c r="AB1107" s="19">
        <f>SUM(U$1036:AA$1036)+(-V$1036+V1093)</f>
        <v>1.2243E-2</v>
      </c>
      <c r="AC1107" s="105" t="str">
        <f t="shared" si="64"/>
        <v>HL22</v>
      </c>
    </row>
    <row r="1108" spans="1:29" x14ac:dyDescent="0.2">
      <c r="A1108" s="9"/>
      <c r="B1108" s="103">
        <v>-1</v>
      </c>
      <c r="D1108" s="32"/>
      <c r="E1108" s="103"/>
      <c r="F1108" s="36"/>
      <c r="G1108" s="92"/>
      <c r="H1108" s="19" t="e">
        <f>IF(ISBLANK(B1108),0,+#REF!/B1108)</f>
        <v>#REF!</v>
      </c>
      <c r="J1108" s="109">
        <f t="shared" si="61"/>
        <v>215</v>
      </c>
      <c r="K1108" s="92">
        <f t="shared" si="62"/>
        <v>-0.04</v>
      </c>
      <c r="L1108" s="92">
        <f>IF(ISBLANK($E1108),0,IF($E1108&lt;$C$1037,ROUND($C$1037*$L$1036,2),IF($E1108&gt;L$1037,ROUND(L$1037*L$1036,2),ROUND($E1108*L$1036,2))))</f>
        <v>0</v>
      </c>
      <c r="M1108" s="92">
        <f>IF($E1108&gt;L$1037,ROUND(($E1108-L$1037)*M$1036,2),0)</f>
        <v>0</v>
      </c>
      <c r="N1108" s="92"/>
      <c r="O1108" s="92"/>
      <c r="P1108" s="92"/>
      <c r="Q1108" s="92"/>
      <c r="R1108" s="16" t="e">
        <f>VLOOKUP((D1109),'Pwr Factor'!$A$1:$B$52,2)</f>
        <v>#N/A</v>
      </c>
      <c r="S1108" s="50">
        <v>0</v>
      </c>
      <c r="T1108" s="92"/>
      <c r="U1108" s="92"/>
      <c r="V1108" s="32"/>
      <c r="W1108" s="92"/>
      <c r="X1108" s="92"/>
      <c r="Y1108" s="92"/>
      <c r="Z1108" s="92"/>
      <c r="AA1108" s="92"/>
      <c r="AB1108" s="19"/>
      <c r="AC1108" s="105">
        <f t="shared" si="64"/>
        <v>0</v>
      </c>
    </row>
    <row r="1109" spans="1:29" x14ac:dyDescent="0.2">
      <c r="A1109" s="1" t="s">
        <v>137</v>
      </c>
      <c r="B1109" s="103">
        <f>IF(AND('AES Indiana Bill Calc.'!$D$17="HL2",'AES Indiana Bill Calc.'!$D$18="No",'AES Indiana Bill Calc.'!$D$20="Yes 2022"),'AES Indiana Bill Calc.'!$D$19,-1)</f>
        <v>-1</v>
      </c>
      <c r="C1109" s="103">
        <f>MAX(E1109,$C$905)</f>
        <v>2000</v>
      </c>
      <c r="D1109" s="103" t="b">
        <f>IF(AND('AES Indiana Bill Calc.'!$D$17="HL2",'AES Indiana Bill Calc.'!$D$18="No",'AES Indiana Bill Calc.'!$D$20="Yes 2022"),'AES Indiana Bill Calc.'!$D$22)</f>
        <v>0</v>
      </c>
      <c r="E1109" s="103" t="b">
        <f>IF(AND('AES Indiana Bill Calc.'!$D$17="HL2",'AES Indiana Bill Calc.'!$D$18="No",'AES Indiana Bill Calc.'!$D$20="Yes 2022"),'AES Indiana Bill Calc.'!$D$21)</f>
        <v>0</v>
      </c>
      <c r="F1109" s="36" t="s">
        <v>236</v>
      </c>
      <c r="G1109" s="92" t="e">
        <f>SUM(J1109:M1109,R1109:AA1109)</f>
        <v>#N/A</v>
      </c>
      <c r="H1109" s="19" t="e">
        <f>IF(ISBLANK(B1109),0,+#REF!/B1109)</f>
        <v>#REF!</v>
      </c>
      <c r="J1109" s="109">
        <f t="shared" si="61"/>
        <v>215</v>
      </c>
      <c r="K1109" s="92">
        <f t="shared" si="62"/>
        <v>-0.04</v>
      </c>
      <c r="L1109" s="17">
        <f>IF(ISBLANK($C1109),0,IF($C1109&lt;$C$1037,ROUND($C$1037*$L$1036,2),IF($C1109&gt;L$1037,ROUND(L$1037*L$1036,2),ROUND($C1109*L$1036,2))))</f>
        <v>50000</v>
      </c>
      <c r="M1109" s="17">
        <f>IF($C1109&gt;L$1037,ROUND(($C1109-L$1037)*M$1036,2),0)</f>
        <v>0</v>
      </c>
      <c r="N1109" s="17">
        <f>K1109</f>
        <v>-0.04</v>
      </c>
      <c r="O1109" s="92"/>
      <c r="P1109" s="92"/>
      <c r="Q1109" s="17">
        <f>SUM(L1109:M1109)</f>
        <v>50000</v>
      </c>
      <c r="R1109" s="110" t="e">
        <f>ROUND(SUM(K1109:M1109)*(R1108-1),2)</f>
        <v>#N/A</v>
      </c>
      <c r="S1109" s="92">
        <f>ROUND($B1109*S$1036*S1108,2)</f>
        <v>0</v>
      </c>
      <c r="T1109" s="92">
        <f>ROUND($B1109*T$1036,2)</f>
        <v>0</v>
      </c>
      <c r="U1109" s="92">
        <f>ROUND($B1109*U$1036,2)</f>
        <v>0</v>
      </c>
      <c r="V1109" s="32">
        <f>ROUND($B1109*$V$1031,2)</f>
        <v>0</v>
      </c>
      <c r="W1109" s="92">
        <f>ROUND($B1109*W$1036,2)</f>
        <v>0</v>
      </c>
      <c r="X1109" s="92">
        <f>ROUND($B1109*X$1036,2)</f>
        <v>-0.01</v>
      </c>
      <c r="Y1109" s="92">
        <f>ROUND($B1109*Y$1036,2)</f>
        <v>0</v>
      </c>
      <c r="Z1109" s="92">
        <f>ROUND($B1109*Z$1036,2)</f>
        <v>0</v>
      </c>
      <c r="AA1109" s="92">
        <f>ROUND($B1109*AA$1036,2)</f>
        <v>0</v>
      </c>
      <c r="AB1109" s="19">
        <f>SUM(U$1036:AA$1036)+(-V$1036+V1095)</f>
        <v>1.2243E-2</v>
      </c>
      <c r="AC1109" s="105" t="str">
        <f t="shared" si="64"/>
        <v>HL22</v>
      </c>
    </row>
    <row r="1110" spans="1:29" x14ac:dyDescent="0.2">
      <c r="B1110" s="103">
        <v>-1</v>
      </c>
      <c r="D1110" s="32"/>
      <c r="E1110" s="103"/>
      <c r="F1110" s="36"/>
      <c r="G1110" s="92"/>
      <c r="H1110" s="19" t="e">
        <f>IF(ISBLANK(B1110),0,+#REF!/B1110)</f>
        <v>#REF!</v>
      </c>
      <c r="J1110" s="109">
        <f t="shared" si="61"/>
        <v>215</v>
      </c>
      <c r="K1110" s="92">
        <f t="shared" si="62"/>
        <v>-0.04</v>
      </c>
      <c r="L1110" s="92">
        <f>IF(ISBLANK($E1110),0,IF($E1110&lt;$C$1037,ROUND($C$1037*$L$1036,2),IF($E1110&gt;L$1037,ROUND(L$1037*L$1036,2),ROUND($E1110*L$1036,2))))</f>
        <v>0</v>
      </c>
      <c r="M1110" s="92">
        <f>IF($E1110&gt;L$1037,ROUND(($E1110-L$1037)*M$1036,2),0)</f>
        <v>0</v>
      </c>
      <c r="N1110" s="92"/>
      <c r="O1110" s="92"/>
      <c r="P1110" s="92"/>
      <c r="Q1110" s="92"/>
      <c r="R1110" s="16" t="e">
        <f>VLOOKUP((D1111),'Pwr Factor'!$A$1:$B$52,2)</f>
        <v>#N/A</v>
      </c>
      <c r="S1110" s="50">
        <v>1</v>
      </c>
      <c r="T1110" s="92"/>
      <c r="U1110" s="92"/>
      <c r="V1110" s="32"/>
      <c r="W1110" s="92"/>
      <c r="X1110" s="92"/>
      <c r="Y1110" s="92"/>
      <c r="Z1110" s="92"/>
      <c r="AA1110" s="92"/>
      <c r="AB1110" s="19"/>
      <c r="AC1110" s="105">
        <f t="shared" si="64"/>
        <v>0</v>
      </c>
    </row>
    <row r="1111" spans="1:29" x14ac:dyDescent="0.2">
      <c r="A1111" s="1" t="s">
        <v>138</v>
      </c>
      <c r="B1111" s="103">
        <f>IF(AND('AES Indiana Bill Calc.'!$D$17="HL2",'AES Indiana Bill Calc.'!$D$18="Yes 100%",'AES Indiana Bill Calc.'!$D$20="Yes 2023"),'AES Indiana Bill Calc.'!$D$19,-1)</f>
        <v>-1</v>
      </c>
      <c r="C1111" s="103">
        <f>MAX(E1111,$C$905)</f>
        <v>2000</v>
      </c>
      <c r="D1111" s="103" t="b">
        <f>IF(AND('AES Indiana Bill Calc.'!$D$17="HL2",'AES Indiana Bill Calc.'!$D$18="Yes 100%",'AES Indiana Bill Calc.'!$D$20="Yes 2023"),'AES Indiana Bill Calc.'!$D$22)</f>
        <v>0</v>
      </c>
      <c r="E1111" s="103" t="b">
        <f>IF(AND('AES Indiana Bill Calc.'!$D$17="HL2",'AES Indiana Bill Calc.'!$D$18="Yes 100%",'AES Indiana Bill Calc.'!$D$20="Yes 2023"),'AES Indiana Bill Calc.'!$D$21)</f>
        <v>0</v>
      </c>
      <c r="F1111" s="36" t="s">
        <v>286</v>
      </c>
      <c r="G1111" s="92" t="e">
        <f>SUM(J1111:M1111,R1111:AA1111)</f>
        <v>#N/A</v>
      </c>
      <c r="H1111" s="19" t="e">
        <f>IF(ISBLANK(B1111),0,+#REF!/B1111)</f>
        <v>#REF!</v>
      </c>
      <c r="J1111" s="109">
        <f t="shared" si="61"/>
        <v>215</v>
      </c>
      <c r="K1111" s="92">
        <f t="shared" si="62"/>
        <v>-0.04</v>
      </c>
      <c r="L1111" s="17">
        <f>IF(ISBLANK($C1111),0,IF($C1111&lt;$C$1037,ROUND($C$1037*$L$1036,2),IF($C1111&gt;L$1037,ROUND(L$1037*L$1036,2),ROUND($C1111*L$1036,2))))</f>
        <v>50000</v>
      </c>
      <c r="M1111" s="17">
        <f>IF($C1111&gt;L$1037,ROUND(($C1111-L$1037)*M$1036,2),0)</f>
        <v>0</v>
      </c>
      <c r="N1111" s="17">
        <f>K1111</f>
        <v>-0.04</v>
      </c>
      <c r="O1111" s="92"/>
      <c r="P1111" s="92"/>
      <c r="Q1111" s="17">
        <f>SUM(L1111:M1111)</f>
        <v>50000</v>
      </c>
      <c r="R1111" s="110" t="e">
        <f>ROUND(SUM(K1111:M1111)*(R1110-1),2)</f>
        <v>#N/A</v>
      </c>
      <c r="S1111" s="92">
        <f>ROUND($B1111*S$1036*S1110,2)</f>
        <v>0</v>
      </c>
      <c r="T1111" s="92">
        <f>ROUND($B1111*T$1036,2)</f>
        <v>0</v>
      </c>
      <c r="U1111" s="92">
        <f>ROUND($B1111*U$1036,2)</f>
        <v>0</v>
      </c>
      <c r="V1111" s="32">
        <f>ROUND($B1111*$V$1032,2)</f>
        <v>0</v>
      </c>
      <c r="W1111" s="92">
        <f>ROUND($B1111*W$1036,2)</f>
        <v>0</v>
      </c>
      <c r="X1111" s="92">
        <f>ROUND($B1111*X$1036,2)</f>
        <v>-0.01</v>
      </c>
      <c r="Y1111" s="92">
        <f>ROUND($B1111*Y$1036,2)</f>
        <v>0</v>
      </c>
      <c r="Z1111" s="92">
        <f>ROUND($B1111*Z$1036,2)</f>
        <v>0</v>
      </c>
      <c r="AA1111" s="92">
        <f>ROUND($B1111*AA$1036,2)</f>
        <v>0</v>
      </c>
      <c r="AB1111" s="19">
        <f>SUM(U$1036:AA$1036)+(-V$1036+V1097)</f>
        <v>1.2243E-2</v>
      </c>
      <c r="AC1111" s="105" t="str">
        <f t="shared" si="64"/>
        <v>HL23</v>
      </c>
    </row>
    <row r="1112" spans="1:29" x14ac:dyDescent="0.2">
      <c r="A1112" s="9"/>
      <c r="B1112" s="103">
        <v>-1</v>
      </c>
      <c r="D1112" s="32"/>
      <c r="E1112" s="103"/>
      <c r="F1112" s="36"/>
      <c r="G1112" s="92"/>
      <c r="H1112" s="19" t="e">
        <f>IF(ISBLANK(B1112),0,+#REF!/B1112)</f>
        <v>#REF!</v>
      </c>
      <c r="J1112" s="109">
        <f t="shared" si="61"/>
        <v>215</v>
      </c>
      <c r="K1112" s="92">
        <f t="shared" si="62"/>
        <v>-0.04</v>
      </c>
      <c r="L1112" s="92">
        <f>IF(ISBLANK($E1112),0,IF($E1112&lt;$C$1037,ROUND($C$1037*$L$1036,2),IF($E1112&gt;L$1037,ROUND(L$1037*L$1036,2),ROUND($E1112*L$1036,2))))</f>
        <v>0</v>
      </c>
      <c r="M1112" s="92">
        <f>IF($E1112&gt;L$1037,ROUND(($E1112-L$1037)*M$1036,2),0)</f>
        <v>0</v>
      </c>
      <c r="N1112" s="92"/>
      <c r="O1112" s="92"/>
      <c r="P1112" s="92"/>
      <c r="Q1112" s="92"/>
      <c r="R1112" s="16" t="e">
        <f>VLOOKUP((D1113),'Pwr Factor'!$A$1:$B$52,2)</f>
        <v>#N/A</v>
      </c>
      <c r="S1112" s="50">
        <v>0.5</v>
      </c>
      <c r="T1112" s="92"/>
      <c r="U1112" s="92"/>
      <c r="V1112" s="32"/>
      <c r="W1112" s="92"/>
      <c r="X1112" s="92"/>
      <c r="Y1112" s="92"/>
      <c r="Z1112" s="92"/>
      <c r="AA1112" s="92"/>
      <c r="AB1112" s="19"/>
      <c r="AC1112" s="105">
        <f t="shared" si="64"/>
        <v>0</v>
      </c>
    </row>
    <row r="1113" spans="1:29" x14ac:dyDescent="0.2">
      <c r="A1113" s="1" t="s">
        <v>139</v>
      </c>
      <c r="B1113" s="103">
        <f>IF(AND('AES Indiana Bill Calc.'!$D$17="HL2",'AES Indiana Bill Calc.'!$D$18="Yes 50%",'AES Indiana Bill Calc.'!$D$20="Yes 2023"),'AES Indiana Bill Calc.'!$D$19,-1)</f>
        <v>-1</v>
      </c>
      <c r="C1113" s="103">
        <f>MAX(E1113,$C$905)</f>
        <v>2000</v>
      </c>
      <c r="D1113" s="103" t="b">
        <f>IF(AND('AES Indiana Bill Calc.'!$D$17="HL2",'AES Indiana Bill Calc.'!$D$18="Yes 50%",'AES Indiana Bill Calc.'!$D$20="Yes 2023"),'AES Indiana Bill Calc.'!$D$22)</f>
        <v>0</v>
      </c>
      <c r="E1113" s="103" t="b">
        <f>IF(AND('AES Indiana Bill Calc.'!$D$17="HL2",'AES Indiana Bill Calc.'!$D$18="Yes 50%",'AES Indiana Bill Calc.'!$D$20="Yes 2023"),'AES Indiana Bill Calc.'!$D$21)</f>
        <v>0</v>
      </c>
      <c r="F1113" s="36" t="s">
        <v>286</v>
      </c>
      <c r="G1113" s="92" t="e">
        <f>SUM(J1113:M1113,R1113:AA1113)</f>
        <v>#N/A</v>
      </c>
      <c r="H1113" s="19" t="e">
        <f>IF(ISBLANK(B1113),0,+#REF!/B1113)</f>
        <v>#REF!</v>
      </c>
      <c r="J1113" s="109">
        <f t="shared" ref="J1113:J1122" si="65">IF(ISBLANK(B1113),0,+J$1036)</f>
        <v>215</v>
      </c>
      <c r="K1113" s="92">
        <f t="shared" ref="K1113:K1149" si="66">ROUND($B1113*K$1036,2)</f>
        <v>-0.04</v>
      </c>
      <c r="L1113" s="17">
        <f>IF(ISBLANK($C1113),0,IF($C1113&lt;$C$1037,ROUND($C$1037*$L$1036,2),IF($C1113&gt;L$1037,ROUND(L$1037*L$1036,2),ROUND($C1113*L$1036,2))))</f>
        <v>50000</v>
      </c>
      <c r="M1113" s="17">
        <f>IF($C1113&gt;L$1037,ROUND(($C1113-L$1037)*M$1036,2),0)</f>
        <v>0</v>
      </c>
      <c r="N1113" s="17">
        <f>K1113</f>
        <v>-0.04</v>
      </c>
      <c r="O1113" s="92"/>
      <c r="P1113" s="92"/>
      <c r="Q1113" s="17">
        <f>SUM(L1113:M1113)</f>
        <v>50000</v>
      </c>
      <c r="R1113" s="110" t="e">
        <f>ROUND(SUM(K1113:M1113)*(R1112-1),2)</f>
        <v>#N/A</v>
      </c>
      <c r="S1113" s="92">
        <f>ROUND($B1113*S$1036*S1112,2)</f>
        <v>0</v>
      </c>
      <c r="T1113" s="92">
        <f>ROUND($B1113*T$1036,2)</f>
        <v>0</v>
      </c>
      <c r="U1113" s="92">
        <f>ROUND($B1113*U$1036,2)</f>
        <v>0</v>
      </c>
      <c r="V1113" s="32">
        <f>ROUND($B1113*$V$1032,2)</f>
        <v>0</v>
      </c>
      <c r="W1113" s="92">
        <f>ROUND($B1113*W$1036,2)</f>
        <v>0</v>
      </c>
      <c r="X1113" s="92">
        <f>ROUND($B1113*X$1036,2)</f>
        <v>-0.01</v>
      </c>
      <c r="Y1113" s="92">
        <f>ROUND($B1113*Y$1036,2)</f>
        <v>0</v>
      </c>
      <c r="Z1113" s="92">
        <f>ROUND($B1113*Z$1036,2)</f>
        <v>0</v>
      </c>
      <c r="AA1113" s="92">
        <f>ROUND($B1113*AA$1036,2)</f>
        <v>0</v>
      </c>
      <c r="AB1113" s="19">
        <f>SUM(U$1036:AA$1036)+(-V$1036+V1099)</f>
        <v>1.2243E-2</v>
      </c>
      <c r="AC1113" s="105" t="str">
        <f t="shared" ref="AC1113:AC1122" si="67">+F1113</f>
        <v>HL23</v>
      </c>
    </row>
    <row r="1114" spans="1:29" x14ac:dyDescent="0.2">
      <c r="A1114" s="9"/>
      <c r="B1114" s="103">
        <v>-1</v>
      </c>
      <c r="D1114" s="32"/>
      <c r="E1114" s="103"/>
      <c r="F1114" s="36"/>
      <c r="G1114" s="92"/>
      <c r="H1114" s="19" t="e">
        <f>IF(ISBLANK(B1114),0,+#REF!/B1114)</f>
        <v>#REF!</v>
      </c>
      <c r="J1114" s="109">
        <f t="shared" si="65"/>
        <v>215</v>
      </c>
      <c r="K1114" s="92">
        <f t="shared" si="66"/>
        <v>-0.04</v>
      </c>
      <c r="L1114" s="92">
        <f>IF(ISBLANK($E1114),0,IF($E1114&lt;$C$1037,ROUND($C$1037*$L$1036,2),IF($E1114&gt;L$1037,ROUND(L$1037*L$1036,2),ROUND($E1114*L$1036,2))))</f>
        <v>0</v>
      </c>
      <c r="M1114" s="92">
        <f>IF($E1114&gt;L$1037,ROUND(($E1114-L$1037)*M$1036,2),0)</f>
        <v>0</v>
      </c>
      <c r="N1114" s="92"/>
      <c r="O1114" s="92"/>
      <c r="P1114" s="92"/>
      <c r="Q1114" s="92"/>
      <c r="R1114" s="16" t="e">
        <f>VLOOKUP((D1115),'Pwr Factor'!$A$1:$B$52,2)</f>
        <v>#N/A</v>
      </c>
      <c r="S1114" s="50">
        <v>0.25</v>
      </c>
      <c r="T1114" s="92"/>
      <c r="U1114" s="92"/>
      <c r="V1114" s="32"/>
      <c r="W1114" s="92"/>
      <c r="X1114" s="92"/>
      <c r="Y1114" s="92"/>
      <c r="Z1114" s="92"/>
      <c r="AA1114" s="92"/>
      <c r="AB1114" s="19"/>
      <c r="AC1114" s="105">
        <f t="shared" si="67"/>
        <v>0</v>
      </c>
    </row>
    <row r="1115" spans="1:29" x14ac:dyDescent="0.2">
      <c r="A1115" s="1" t="s">
        <v>140</v>
      </c>
      <c r="B1115" s="103">
        <f>IF(AND('AES Indiana Bill Calc.'!$D$17="HL2",'AES Indiana Bill Calc.'!$D$18="Yes 25%",'AES Indiana Bill Calc.'!$D$20="Yes 2023"),'AES Indiana Bill Calc.'!$D$19,-1)</f>
        <v>-1</v>
      </c>
      <c r="C1115" s="103">
        <f>MAX(E1115,$C$905)</f>
        <v>2000</v>
      </c>
      <c r="D1115" s="103" t="b">
        <f>IF(AND('AES Indiana Bill Calc.'!$D$17="HL2",'AES Indiana Bill Calc.'!$D$18="Yes 25%",'AES Indiana Bill Calc.'!$D$20="Yes 2023"),'AES Indiana Bill Calc.'!$D$22)</f>
        <v>0</v>
      </c>
      <c r="E1115" s="103" t="b">
        <f>IF(AND('AES Indiana Bill Calc.'!$D$17="HL2",'AES Indiana Bill Calc.'!$D$18="Yes 25%",'AES Indiana Bill Calc.'!$D$20="Yes 2023"),'AES Indiana Bill Calc.'!$D$21)</f>
        <v>0</v>
      </c>
      <c r="F1115" s="36" t="s">
        <v>286</v>
      </c>
      <c r="G1115" s="92" t="e">
        <f>SUM(J1115:M1115,R1115:AA1115)</f>
        <v>#N/A</v>
      </c>
      <c r="H1115" s="19" t="e">
        <f>IF(ISBLANK(B1115),0,+#REF!/B1115)</f>
        <v>#REF!</v>
      </c>
      <c r="J1115" s="109">
        <f t="shared" si="65"/>
        <v>215</v>
      </c>
      <c r="K1115" s="92">
        <f t="shared" si="66"/>
        <v>-0.04</v>
      </c>
      <c r="L1115" s="17">
        <f>IF(ISBLANK($C1115),0,IF($C1115&lt;$C$1037,ROUND($C$1037*$L$1036,2),IF($C1115&gt;L$1037,ROUND(L$1037*L$1036,2),ROUND($C1115*L$1036,2))))</f>
        <v>50000</v>
      </c>
      <c r="M1115" s="17">
        <f>IF($C1115&gt;L$1037,ROUND(($C1115-L$1037)*M$1036,2),0)</f>
        <v>0</v>
      </c>
      <c r="N1115" s="17">
        <f>K1115</f>
        <v>-0.04</v>
      </c>
      <c r="O1115" s="92"/>
      <c r="P1115" s="92"/>
      <c r="Q1115" s="17">
        <f>SUM(L1115:M1115)</f>
        <v>50000</v>
      </c>
      <c r="R1115" s="110" t="e">
        <f>ROUND(SUM(K1115:M1115)*(R1114-1),2)</f>
        <v>#N/A</v>
      </c>
      <c r="S1115" s="92">
        <f>ROUND($B1115*S$1036*S1114,2)</f>
        <v>0</v>
      </c>
      <c r="T1115" s="92">
        <f>ROUND($B1115*T$1036,2)</f>
        <v>0</v>
      </c>
      <c r="U1115" s="92">
        <f>ROUND($B1115*U$1036,2)</f>
        <v>0</v>
      </c>
      <c r="V1115" s="32">
        <f>ROUND($B1115*$V$1032,2)</f>
        <v>0</v>
      </c>
      <c r="W1115" s="92">
        <f>ROUND($B1115*W$1036,2)</f>
        <v>0</v>
      </c>
      <c r="X1115" s="92">
        <f>ROUND($B1115*X$1036,2)</f>
        <v>-0.01</v>
      </c>
      <c r="Y1115" s="92">
        <f>ROUND($B1115*Y$1036,2)</f>
        <v>0</v>
      </c>
      <c r="Z1115" s="92">
        <f>ROUND($B1115*Z$1036,2)</f>
        <v>0</v>
      </c>
      <c r="AA1115" s="92">
        <f>ROUND($B1115*AA$1036,2)</f>
        <v>0</v>
      </c>
      <c r="AB1115" s="19">
        <f>SUM(U$1036:AA$1036)+(-V$1036+V1101)</f>
        <v>1.2243E-2</v>
      </c>
      <c r="AC1115" s="105" t="str">
        <f t="shared" si="67"/>
        <v>HL23</v>
      </c>
    </row>
    <row r="1116" spans="1:29" x14ac:dyDescent="0.2">
      <c r="A1116" s="9"/>
      <c r="B1116" s="103">
        <v>-1</v>
      </c>
      <c r="D1116" s="32"/>
      <c r="E1116" s="103"/>
      <c r="F1116" s="36"/>
      <c r="G1116" s="92"/>
      <c r="H1116" s="19" t="e">
        <f>IF(ISBLANK(B1116),0,+#REF!/B1116)</f>
        <v>#REF!</v>
      </c>
      <c r="J1116" s="109">
        <f t="shared" si="65"/>
        <v>215</v>
      </c>
      <c r="K1116" s="92">
        <f t="shared" si="66"/>
        <v>-0.04</v>
      </c>
      <c r="L1116" s="92">
        <f>IF(ISBLANK($E1116),0,IF($E1116&lt;$C$1037,ROUND($C$1037*$L$1036,2),IF($E1116&gt;L$1037,ROUND(L$1037*L$1036,2),ROUND($E1116*L$1036,2))))</f>
        <v>0</v>
      </c>
      <c r="M1116" s="92">
        <f>IF($E1116&gt;L$1037,ROUND(($E1116-L$1037)*M$1036,2),0)</f>
        <v>0</v>
      </c>
      <c r="N1116" s="92"/>
      <c r="O1116" s="92"/>
      <c r="P1116" s="92"/>
      <c r="Q1116" s="92"/>
      <c r="R1116" s="16" t="e">
        <f>VLOOKUP((D1117),'Pwr Factor'!$A$1:$B$52,2)</f>
        <v>#N/A</v>
      </c>
      <c r="S1116" s="50">
        <v>0.1</v>
      </c>
      <c r="T1116" s="92"/>
      <c r="U1116" s="92"/>
      <c r="V1116" s="32"/>
      <c r="W1116" s="92"/>
      <c r="X1116" s="92"/>
      <c r="Y1116" s="92"/>
      <c r="Z1116" s="92"/>
      <c r="AA1116" s="92"/>
      <c r="AB1116" s="19"/>
      <c r="AC1116" s="105">
        <f t="shared" si="67"/>
        <v>0</v>
      </c>
    </row>
    <row r="1117" spans="1:29" x14ac:dyDescent="0.2">
      <c r="A1117" s="1" t="s">
        <v>154</v>
      </c>
      <c r="B1117" s="103">
        <f>IF(AND('AES Indiana Bill Calc.'!$D$17="HL2",'AES Indiana Bill Calc.'!$D$18="Yes 10%",'AES Indiana Bill Calc.'!$D$20="Yes 2023"),'AES Indiana Bill Calc.'!$D$19,-1)</f>
        <v>-1</v>
      </c>
      <c r="C1117" s="103">
        <f>MAX(E1117,$C$905)</f>
        <v>2000</v>
      </c>
      <c r="D1117" s="103" t="b">
        <f>IF(AND('AES Indiana Bill Calc.'!$D$17="HL2",'AES Indiana Bill Calc.'!$D$18="Yes 10%",'AES Indiana Bill Calc.'!$D$20="Yes 2023"),'AES Indiana Bill Calc.'!$D$22)</f>
        <v>0</v>
      </c>
      <c r="E1117" s="103" t="b">
        <f>IF(AND('AES Indiana Bill Calc.'!$D$17="HL2",'AES Indiana Bill Calc.'!$D$18="Yes 10%",'AES Indiana Bill Calc.'!$D$20="Yes 2023"),'AES Indiana Bill Calc.'!$D$21)</f>
        <v>0</v>
      </c>
      <c r="F1117" s="36" t="s">
        <v>286</v>
      </c>
      <c r="G1117" s="92" t="e">
        <f>SUM(J1117:M1117,R1117:AA1117)</f>
        <v>#N/A</v>
      </c>
      <c r="H1117" s="19" t="e">
        <f>IF(ISBLANK(B1117),0,+#REF!/B1117)</f>
        <v>#REF!</v>
      </c>
      <c r="J1117" s="109">
        <f t="shared" si="65"/>
        <v>215</v>
      </c>
      <c r="K1117" s="92">
        <f t="shared" si="66"/>
        <v>-0.04</v>
      </c>
      <c r="L1117" s="17">
        <f>IF(ISBLANK($C1117),0,IF($C1117&lt;$C$1037,ROUND($C$1037*$L$1036,2),IF($C1117&gt;L$1037,ROUND(L$1037*L$1036,2),ROUND($C1117*L$1036,2))))</f>
        <v>50000</v>
      </c>
      <c r="M1117" s="17">
        <f>IF($C1117&gt;L$1037,ROUND(($C1117-L$1037)*M$1036,2),0)</f>
        <v>0</v>
      </c>
      <c r="N1117" s="17">
        <f>K1117</f>
        <v>-0.04</v>
      </c>
      <c r="O1117" s="92"/>
      <c r="P1117" s="92"/>
      <c r="Q1117" s="17">
        <f>SUM(L1117:M1117)</f>
        <v>50000</v>
      </c>
      <c r="R1117" s="110" t="e">
        <f>ROUND(SUM(K1117:M1117)*(R1116-1),2)</f>
        <v>#N/A</v>
      </c>
      <c r="S1117" s="92">
        <f>ROUND($B1117*S$1036*S1116,2)</f>
        <v>0</v>
      </c>
      <c r="T1117" s="92">
        <f>ROUND($B1117*T$1036,2)</f>
        <v>0</v>
      </c>
      <c r="U1117" s="92">
        <f>ROUND($B1117*U$1036,2)</f>
        <v>0</v>
      </c>
      <c r="V1117" s="32">
        <f>ROUND($B1117*$V$1032,2)</f>
        <v>0</v>
      </c>
      <c r="W1117" s="92">
        <f>ROUND($B1117*W$1036,2)</f>
        <v>0</v>
      </c>
      <c r="X1117" s="92">
        <f>ROUND($B1117*X$1036,2)</f>
        <v>-0.01</v>
      </c>
      <c r="Y1117" s="92">
        <f>ROUND($B1117*Y$1036,2)</f>
        <v>0</v>
      </c>
      <c r="Z1117" s="92">
        <f>ROUND($B1117*Z$1036,2)</f>
        <v>0</v>
      </c>
      <c r="AA1117" s="92">
        <f>ROUND($B1117*AA$1036,2)</f>
        <v>0</v>
      </c>
      <c r="AB1117" s="19">
        <f>SUM(U$1036:AA$1036)+(-V$1036+V1103)</f>
        <v>1.2243E-2</v>
      </c>
      <c r="AC1117" s="105" t="str">
        <f t="shared" si="67"/>
        <v>HL23</v>
      </c>
    </row>
    <row r="1118" spans="1:29" x14ac:dyDescent="0.2">
      <c r="A1118" s="9"/>
      <c r="B1118" s="103">
        <v>-1</v>
      </c>
      <c r="D1118" s="32"/>
      <c r="E1118" s="103"/>
      <c r="F1118" s="36"/>
      <c r="G1118" s="92"/>
      <c r="H1118" s="19" t="e">
        <f>IF(ISBLANK(B1118),0,+#REF!/B1118)</f>
        <v>#REF!</v>
      </c>
      <c r="J1118" s="109">
        <f t="shared" si="65"/>
        <v>215</v>
      </c>
      <c r="K1118" s="92">
        <f t="shared" si="66"/>
        <v>-0.04</v>
      </c>
      <c r="L1118" s="92">
        <f>IF(ISBLANK($E1118),0,IF($E1118&lt;$C$1037,ROUND($C$1037*$L$1036,2),IF($E1118&gt;L$1037,ROUND(L$1037*L$1036,2),ROUND($E1118*L$1036,2))))</f>
        <v>0</v>
      </c>
      <c r="M1118" s="92">
        <f>IF($E1118&gt;L$1037,ROUND(($E1118-L$1037)*M$1036,2),0)</f>
        <v>0</v>
      </c>
      <c r="N1118" s="92"/>
      <c r="O1118" s="92"/>
      <c r="P1118" s="92"/>
      <c r="Q1118" s="92"/>
      <c r="R1118" s="16" t="e">
        <f>VLOOKUP((D1119),'Pwr Factor'!$A$1:$B$52,2)</f>
        <v>#N/A</v>
      </c>
      <c r="S1118" s="50">
        <v>0</v>
      </c>
      <c r="T1118" s="92"/>
      <c r="U1118" s="92"/>
      <c r="V1118" s="32"/>
      <c r="W1118" s="92"/>
      <c r="X1118" s="92"/>
      <c r="Y1118" s="92"/>
      <c r="Z1118" s="92"/>
      <c r="AA1118" s="92"/>
      <c r="AB1118" s="19"/>
      <c r="AC1118" s="105">
        <f t="shared" si="67"/>
        <v>0</v>
      </c>
    </row>
    <row r="1119" spans="1:29" x14ac:dyDescent="0.2">
      <c r="A1119" s="1" t="s">
        <v>137</v>
      </c>
      <c r="B1119" s="103">
        <f>IF(AND('AES Indiana Bill Calc.'!$D$17="HL2",'AES Indiana Bill Calc.'!$D$18="No",'AES Indiana Bill Calc.'!$D$20="Yes 2023"),'AES Indiana Bill Calc.'!$D$19,-1)</f>
        <v>-1</v>
      </c>
      <c r="C1119" s="103">
        <f>MAX(E1119,$C$905)</f>
        <v>2000</v>
      </c>
      <c r="D1119" s="103" t="b">
        <f>IF(AND('AES Indiana Bill Calc.'!$D$17="HL2",'AES Indiana Bill Calc.'!$D$18="No",'AES Indiana Bill Calc.'!$D$20="Yes 2023"),'AES Indiana Bill Calc.'!$D$22)</f>
        <v>0</v>
      </c>
      <c r="E1119" s="103" t="b">
        <f>IF(AND('AES Indiana Bill Calc.'!$D$17="HL2",'AES Indiana Bill Calc.'!$D$18="No",'AES Indiana Bill Calc.'!$D$20="Yes 2023"),'AES Indiana Bill Calc.'!$D$21)</f>
        <v>0</v>
      </c>
      <c r="F1119" s="36" t="s">
        <v>286</v>
      </c>
      <c r="G1119" s="92" t="e">
        <f>SUM(J1119:M1119,R1119:AA1119)</f>
        <v>#N/A</v>
      </c>
      <c r="H1119" s="19" t="e">
        <f>IF(ISBLANK(B1119),0,+#REF!/B1119)</f>
        <v>#REF!</v>
      </c>
      <c r="J1119" s="109">
        <f t="shared" si="65"/>
        <v>215</v>
      </c>
      <c r="K1119" s="92">
        <f t="shared" si="66"/>
        <v>-0.04</v>
      </c>
      <c r="L1119" s="17">
        <f>IF(ISBLANK($C1119),0,IF($C1119&lt;$C$1037,ROUND($C$1037*$L$1036,2),IF($C1119&gt;L$1037,ROUND(L$1037*L$1036,2),ROUND($C1119*L$1036,2))))</f>
        <v>50000</v>
      </c>
      <c r="M1119" s="17">
        <f>IF($C1119&gt;L$1037,ROUND(($C1119-L$1037)*M$1036,2),0)</f>
        <v>0</v>
      </c>
      <c r="N1119" s="17">
        <f>K1119</f>
        <v>-0.04</v>
      </c>
      <c r="O1119" s="92"/>
      <c r="P1119" s="92"/>
      <c r="Q1119" s="17">
        <f>SUM(L1119:M1119)</f>
        <v>50000</v>
      </c>
      <c r="R1119" s="110" t="e">
        <f>ROUND(SUM(K1119:M1119)*(R1118-1),2)</f>
        <v>#N/A</v>
      </c>
      <c r="S1119" s="92">
        <f>ROUND($B1119*S$1036*S1118,2)</f>
        <v>0</v>
      </c>
      <c r="T1119" s="92">
        <f>ROUND($B1119*T$1036,2)</f>
        <v>0</v>
      </c>
      <c r="U1119" s="92">
        <f>ROUND($B1119*U$1036,2)</f>
        <v>0</v>
      </c>
      <c r="V1119" s="32">
        <f>ROUND($B1119*$V$1032,2)</f>
        <v>0</v>
      </c>
      <c r="W1119" s="92">
        <f>ROUND($B1119*W$1036,2)</f>
        <v>0</v>
      </c>
      <c r="X1119" s="92">
        <f>ROUND($B1119*X$1036,2)</f>
        <v>-0.01</v>
      </c>
      <c r="Y1119" s="92">
        <f>ROUND($B1119*Y$1036,2)</f>
        <v>0</v>
      </c>
      <c r="Z1119" s="92">
        <f>ROUND($B1119*Z$1036,2)</f>
        <v>0</v>
      </c>
      <c r="AA1119" s="92">
        <f>ROUND($B1119*AA$1036,2)</f>
        <v>0</v>
      </c>
      <c r="AB1119" s="19">
        <f>SUM(U$1036:AA$1036)+(-V$1036+V1105)</f>
        <v>1.2243E-2</v>
      </c>
      <c r="AC1119" s="105" t="str">
        <f t="shared" si="67"/>
        <v>HL23</v>
      </c>
    </row>
    <row r="1120" spans="1:29" x14ac:dyDescent="0.2">
      <c r="B1120" s="103">
        <v>-1</v>
      </c>
      <c r="D1120" s="32"/>
      <c r="E1120" s="103"/>
      <c r="F1120" s="36"/>
      <c r="G1120" s="92"/>
      <c r="H1120" s="19" t="e">
        <f>IF(ISBLANK(B1120),0,+#REF!/B1120)</f>
        <v>#REF!</v>
      </c>
      <c r="J1120" s="109">
        <f t="shared" si="65"/>
        <v>215</v>
      </c>
      <c r="K1120" s="92">
        <f t="shared" si="66"/>
        <v>-0.04</v>
      </c>
      <c r="L1120" s="92">
        <f>IF(ISBLANK($E1120),0,IF($E1120&lt;$C$1037,ROUND($C$1037*$L$1036,2),IF($E1120&gt;L$1037,ROUND(L$1037*L$1036,2),ROUND($E1120*L$1036,2))))</f>
        <v>0</v>
      </c>
      <c r="M1120" s="92">
        <f>IF($E1120&gt;L$1037,ROUND(($E1120-L$1037)*M$1036,2),0)</f>
        <v>0</v>
      </c>
      <c r="N1120" s="92"/>
      <c r="O1120" s="92"/>
      <c r="P1120" s="92"/>
      <c r="Q1120" s="92"/>
      <c r="R1120" s="16" t="e">
        <f>VLOOKUP((D1121),'Pwr Factor'!$A$1:$B$52,2)</f>
        <v>#N/A</v>
      </c>
      <c r="S1120" s="50">
        <v>1</v>
      </c>
      <c r="T1120" s="92"/>
      <c r="U1120" s="92"/>
      <c r="V1120" s="32"/>
      <c r="W1120" s="92"/>
      <c r="X1120" s="92"/>
      <c r="Y1120" s="92"/>
      <c r="Z1120" s="92"/>
      <c r="AA1120" s="92"/>
      <c r="AB1120" s="19"/>
      <c r="AC1120" s="105">
        <f t="shared" si="67"/>
        <v>0</v>
      </c>
    </row>
    <row r="1121" spans="1:29" x14ac:dyDescent="0.2">
      <c r="A1121" s="1" t="s">
        <v>138</v>
      </c>
      <c r="B1121" s="103">
        <f>IF(AND('AES Indiana Bill Calc.'!$D$17="HL2",'AES Indiana Bill Calc.'!$D$18="Yes 100%",'AES Indiana Bill Calc.'!$D$20="Yes 2024"),'AES Indiana Bill Calc.'!$D$19,-1)</f>
        <v>-1</v>
      </c>
      <c r="C1121" s="103">
        <f>MAX(E1121,$C$905)</f>
        <v>2000</v>
      </c>
      <c r="D1121" s="103" t="b">
        <f>IF(AND('AES Indiana Bill Calc.'!$D$17="HL2",'AES Indiana Bill Calc.'!$D$18="Yes 100%",'AES Indiana Bill Calc.'!$D$20="Yes 2024"),'AES Indiana Bill Calc.'!$D$22)</f>
        <v>0</v>
      </c>
      <c r="E1121" s="103" t="b">
        <f>IF(AND('AES Indiana Bill Calc.'!$D$17="HL2",'AES Indiana Bill Calc.'!$D$18="Yes 100%",'AES Indiana Bill Calc.'!$D$20="Yes 2024"),'AES Indiana Bill Calc.'!$D$21)</f>
        <v>0</v>
      </c>
      <c r="F1121" s="36" t="s">
        <v>287</v>
      </c>
      <c r="G1121" s="92" t="e">
        <f>SUM(J1121:M1121,R1121:AA1121)</f>
        <v>#N/A</v>
      </c>
      <c r="H1121" s="19" t="e">
        <f>IF(ISBLANK(B1121),0,+#REF!/B1121)</f>
        <v>#REF!</v>
      </c>
      <c r="J1121" s="109">
        <f t="shared" si="65"/>
        <v>215</v>
      </c>
      <c r="K1121" s="92">
        <f t="shared" si="66"/>
        <v>-0.04</v>
      </c>
      <c r="L1121" s="17">
        <f>IF(ISBLANK($C1121),0,IF($C1121&lt;$C$1037,ROUND($C$1037*$L$1036,2),IF($C1121&gt;L$1037,ROUND(L$1037*L$1036,2),ROUND($C1121*L$1036,2))))</f>
        <v>50000</v>
      </c>
      <c r="M1121" s="17">
        <f>IF($C1121&gt;L$1037,ROUND(($C1121-L$1037)*M$1036,2),0)</f>
        <v>0</v>
      </c>
      <c r="N1121" s="17">
        <f>K1121</f>
        <v>-0.04</v>
      </c>
      <c r="O1121" s="92"/>
      <c r="P1121" s="92"/>
      <c r="Q1121" s="17">
        <f>SUM(L1121:M1121)</f>
        <v>50000</v>
      </c>
      <c r="R1121" s="110" t="e">
        <f>ROUND(SUM(K1121:M1121)*(R1120-1),2)</f>
        <v>#N/A</v>
      </c>
      <c r="S1121" s="92">
        <f>ROUND($B1121*S$1036*S1120,2)</f>
        <v>0</v>
      </c>
      <c r="T1121" s="92">
        <f>ROUND($B1121*T$1036,2)</f>
        <v>0</v>
      </c>
      <c r="U1121" s="92">
        <f>ROUND($B1121*U$1036,2)</f>
        <v>0</v>
      </c>
      <c r="V1121" s="32">
        <f>ROUND($B1121*$V$1033,2)</f>
        <v>0</v>
      </c>
      <c r="W1121" s="92">
        <f>ROUND($B1121*W$1036,2)</f>
        <v>0</v>
      </c>
      <c r="X1121" s="92">
        <f>ROUND($B1121*X$1036,2)</f>
        <v>-0.01</v>
      </c>
      <c r="Y1121" s="92">
        <f>ROUND($B1121*Y$1036,2)</f>
        <v>0</v>
      </c>
      <c r="Z1121" s="92">
        <f>ROUND($B1121*Z$1036,2)</f>
        <v>0</v>
      </c>
      <c r="AA1121" s="92">
        <f>ROUND($B1121*AA$1036,2)</f>
        <v>0</v>
      </c>
      <c r="AB1121" s="19">
        <f>SUM(U$1036:AA$1036)+(-V$1036+V1107)</f>
        <v>1.2243E-2</v>
      </c>
      <c r="AC1121" s="105" t="str">
        <f t="shared" si="67"/>
        <v>HL24</v>
      </c>
    </row>
    <row r="1122" spans="1:29" x14ac:dyDescent="0.2">
      <c r="A1122" s="9"/>
      <c r="B1122" s="103">
        <v>-1</v>
      </c>
      <c r="D1122" s="32"/>
      <c r="E1122" s="103"/>
      <c r="F1122" s="36"/>
      <c r="G1122" s="92"/>
      <c r="H1122" s="19" t="e">
        <f>IF(ISBLANK(B1122),0,+#REF!/B1122)</f>
        <v>#REF!</v>
      </c>
      <c r="J1122" s="109">
        <f t="shared" si="65"/>
        <v>215</v>
      </c>
      <c r="K1122" s="92">
        <f t="shared" si="66"/>
        <v>-0.04</v>
      </c>
      <c r="L1122" s="92">
        <f>IF(ISBLANK($E1122),0,IF($E1122&lt;$C$1037,ROUND($C$1037*$L$1036,2),IF($E1122&gt;L$1037,ROUND(L$1037*L$1036,2),ROUND($E1122*L$1036,2))))</f>
        <v>0</v>
      </c>
      <c r="M1122" s="92">
        <f>IF($E1122&gt;L$1037,ROUND(($E1122-L$1037)*M$1036,2),0)</f>
        <v>0</v>
      </c>
      <c r="N1122" s="92"/>
      <c r="O1122" s="92"/>
      <c r="P1122" s="92"/>
      <c r="Q1122" s="92"/>
      <c r="R1122" s="16" t="e">
        <f>VLOOKUP((D1123),'Pwr Factor'!$A$1:$B$52,2)</f>
        <v>#N/A</v>
      </c>
      <c r="S1122" s="50">
        <v>0.5</v>
      </c>
      <c r="T1122" s="92"/>
      <c r="U1122" s="92"/>
      <c r="V1122" s="32"/>
      <c r="W1122" s="92"/>
      <c r="X1122" s="92"/>
      <c r="Y1122" s="92"/>
      <c r="Z1122" s="92"/>
      <c r="AA1122" s="92"/>
      <c r="AB1122" s="19"/>
      <c r="AC1122" s="105">
        <f t="shared" si="67"/>
        <v>0</v>
      </c>
    </row>
    <row r="1123" spans="1:29" x14ac:dyDescent="0.2">
      <c r="A1123" s="1" t="s">
        <v>139</v>
      </c>
      <c r="B1123" s="103">
        <f>IF(AND('AES Indiana Bill Calc.'!$D$17="HL2",'AES Indiana Bill Calc.'!$D$18="Yes 50%",'AES Indiana Bill Calc.'!$D$20="Yes 2024"),'AES Indiana Bill Calc.'!$D$19,-1)</f>
        <v>-1</v>
      </c>
      <c r="C1123" s="103">
        <f>MAX(E1123,$C$905)</f>
        <v>2000</v>
      </c>
      <c r="D1123" s="103" t="b">
        <f>IF(AND('AES Indiana Bill Calc.'!$D$17="HL2",'AES Indiana Bill Calc.'!$D$18="Yes 50%",'AES Indiana Bill Calc.'!$D$20="Yes 2024"),'AES Indiana Bill Calc.'!$D$22)</f>
        <v>0</v>
      </c>
      <c r="E1123" s="103" t="b">
        <f>IF(AND('AES Indiana Bill Calc.'!$D$17="HL2",'AES Indiana Bill Calc.'!$D$18="Yes 50%",'AES Indiana Bill Calc.'!$D$20="Yes 2024"),'AES Indiana Bill Calc.'!$D$21)</f>
        <v>0</v>
      </c>
      <c r="F1123" s="36" t="s">
        <v>287</v>
      </c>
      <c r="G1123" s="92" t="e">
        <f>SUM(J1123:M1123,R1123:AA1123)</f>
        <v>#N/A</v>
      </c>
      <c r="H1123" s="19" t="e">
        <f>IF(ISBLANK(B1123),0,+#REF!/B1123)</f>
        <v>#REF!</v>
      </c>
      <c r="J1123" s="109">
        <f t="shared" ref="J1123:J1132" si="68">IF(ISBLANK(B1123),0,+J$1036)</f>
        <v>215</v>
      </c>
      <c r="K1123" s="92">
        <f t="shared" si="66"/>
        <v>-0.04</v>
      </c>
      <c r="L1123" s="17">
        <f>IF(ISBLANK($C1123),0,IF($C1123&lt;$C$1037,ROUND($C$1037*$L$1036,2),IF($C1123&gt;L$1037,ROUND(L$1037*L$1036,2),ROUND($C1123*L$1036,2))))</f>
        <v>50000</v>
      </c>
      <c r="M1123" s="17">
        <f>IF($C1123&gt;L$1037,ROUND(($C1123-L$1037)*M$1036,2),0)</f>
        <v>0</v>
      </c>
      <c r="N1123" s="17">
        <f>K1123</f>
        <v>-0.04</v>
      </c>
      <c r="O1123" s="92"/>
      <c r="P1123" s="92"/>
      <c r="Q1123" s="17">
        <f>SUM(L1123:M1123)</f>
        <v>50000</v>
      </c>
      <c r="R1123" s="110" t="e">
        <f>ROUND(SUM(K1123:M1123)*(R1122-1),2)</f>
        <v>#N/A</v>
      </c>
      <c r="S1123" s="92">
        <f>ROUND($B1123*S$1036*S1122,2)</f>
        <v>0</v>
      </c>
      <c r="T1123" s="92">
        <f>ROUND($B1123*T$1036,2)</f>
        <v>0</v>
      </c>
      <c r="U1123" s="92">
        <f>ROUND($B1123*U$1036,2)</f>
        <v>0</v>
      </c>
      <c r="V1123" s="32">
        <f>ROUND($B1123*$V$1033,2)</f>
        <v>0</v>
      </c>
      <c r="W1123" s="92">
        <f>ROUND($B1123*W$1036,2)</f>
        <v>0</v>
      </c>
      <c r="X1123" s="92">
        <f>ROUND($B1123*X$1036,2)</f>
        <v>-0.01</v>
      </c>
      <c r="Y1123" s="92">
        <f>ROUND($B1123*Y$1036,2)</f>
        <v>0</v>
      </c>
      <c r="Z1123" s="92">
        <f>ROUND($B1123*Z$1036,2)</f>
        <v>0</v>
      </c>
      <c r="AA1123" s="92">
        <f>ROUND($B1123*AA$1036,2)</f>
        <v>0</v>
      </c>
      <c r="AB1123" s="19">
        <f>SUM(U$1036:AA$1036)+(-V$1036+V1109)</f>
        <v>1.2243E-2</v>
      </c>
      <c r="AC1123" s="105" t="str">
        <f t="shared" ref="AC1123:AC1132" si="69">+F1123</f>
        <v>HL24</v>
      </c>
    </row>
    <row r="1124" spans="1:29" x14ac:dyDescent="0.2">
      <c r="A1124" s="9"/>
      <c r="B1124" s="103">
        <v>-1</v>
      </c>
      <c r="D1124" s="32"/>
      <c r="E1124" s="103"/>
      <c r="F1124" s="36"/>
      <c r="G1124" s="92"/>
      <c r="H1124" s="19" t="e">
        <f>IF(ISBLANK(B1124),0,+#REF!/B1124)</f>
        <v>#REF!</v>
      </c>
      <c r="J1124" s="109">
        <f t="shared" si="68"/>
        <v>215</v>
      </c>
      <c r="K1124" s="92">
        <f t="shared" si="66"/>
        <v>-0.04</v>
      </c>
      <c r="L1124" s="92">
        <f>IF(ISBLANK($E1124),0,IF($E1124&lt;$C$1037,ROUND($C$1037*$L$1036,2),IF($E1124&gt;L$1037,ROUND(L$1037*L$1036,2),ROUND($E1124*L$1036,2))))</f>
        <v>0</v>
      </c>
      <c r="M1124" s="92">
        <f>IF($E1124&gt;L$1037,ROUND(($E1124-L$1037)*M$1036,2),0)</f>
        <v>0</v>
      </c>
      <c r="N1124" s="92"/>
      <c r="O1124" s="92"/>
      <c r="P1124" s="92"/>
      <c r="Q1124" s="92"/>
      <c r="R1124" s="16" t="e">
        <f>VLOOKUP((D1125),'Pwr Factor'!$A$1:$B$52,2)</f>
        <v>#N/A</v>
      </c>
      <c r="S1124" s="50">
        <v>0.25</v>
      </c>
      <c r="T1124" s="92"/>
      <c r="U1124" s="92"/>
      <c r="V1124" s="32"/>
      <c r="W1124" s="92"/>
      <c r="X1124" s="92"/>
      <c r="Y1124" s="92"/>
      <c r="Z1124" s="92"/>
      <c r="AA1124" s="92"/>
      <c r="AB1124" s="19"/>
      <c r="AC1124" s="105">
        <f t="shared" si="69"/>
        <v>0</v>
      </c>
    </row>
    <row r="1125" spans="1:29" x14ac:dyDescent="0.2">
      <c r="A1125" s="1" t="s">
        <v>140</v>
      </c>
      <c r="B1125" s="103">
        <f>IF(AND('AES Indiana Bill Calc.'!$D$17="HL2",'AES Indiana Bill Calc.'!$D$18="Yes 25%",'AES Indiana Bill Calc.'!$D$20="Yes 2024"),'AES Indiana Bill Calc.'!$D$19,-1)</f>
        <v>-1</v>
      </c>
      <c r="C1125" s="103">
        <f>MAX(E1125,$C$905)</f>
        <v>2000</v>
      </c>
      <c r="D1125" s="103" t="b">
        <f>IF(AND('AES Indiana Bill Calc.'!$D$17="HL2",'AES Indiana Bill Calc.'!$D$18="Yes 25%",'AES Indiana Bill Calc.'!$D$20="Yes 2024"),'AES Indiana Bill Calc.'!$D$22)</f>
        <v>0</v>
      </c>
      <c r="E1125" s="103" t="b">
        <f>IF(AND('AES Indiana Bill Calc.'!$D$17="HL2",'AES Indiana Bill Calc.'!$D$18="Yes 25%",'AES Indiana Bill Calc.'!$D$20="Yes 2024"),'AES Indiana Bill Calc.'!$D$21)</f>
        <v>0</v>
      </c>
      <c r="F1125" s="36" t="s">
        <v>287</v>
      </c>
      <c r="G1125" s="92" t="e">
        <f>SUM(J1125:M1125,R1125:AA1125)</f>
        <v>#N/A</v>
      </c>
      <c r="H1125" s="19" t="e">
        <f>IF(ISBLANK(B1125),0,+#REF!/B1125)</f>
        <v>#REF!</v>
      </c>
      <c r="J1125" s="109">
        <f t="shared" si="68"/>
        <v>215</v>
      </c>
      <c r="K1125" s="92">
        <f t="shared" si="66"/>
        <v>-0.04</v>
      </c>
      <c r="L1125" s="17">
        <f>IF(ISBLANK($C1125),0,IF($C1125&lt;$C$1037,ROUND($C$1037*$L$1036,2),IF($C1125&gt;L$1037,ROUND(L$1037*L$1036,2),ROUND($C1125*L$1036,2))))</f>
        <v>50000</v>
      </c>
      <c r="M1125" s="17">
        <f>IF($C1125&gt;L$1037,ROUND(($C1125-L$1037)*M$1036,2),0)</f>
        <v>0</v>
      </c>
      <c r="N1125" s="17">
        <f>K1125</f>
        <v>-0.04</v>
      </c>
      <c r="O1125" s="92"/>
      <c r="P1125" s="92"/>
      <c r="Q1125" s="17">
        <f>SUM(L1125:M1125)</f>
        <v>50000</v>
      </c>
      <c r="R1125" s="110" t="e">
        <f>ROUND(SUM(K1125:M1125)*(R1124-1),2)</f>
        <v>#N/A</v>
      </c>
      <c r="S1125" s="92">
        <f>ROUND($B1125*S$1036*S1124,2)</f>
        <v>0</v>
      </c>
      <c r="T1125" s="92">
        <f>ROUND($B1125*T$1036,2)</f>
        <v>0</v>
      </c>
      <c r="U1125" s="92">
        <f>ROUND($B1125*U$1036,2)</f>
        <v>0</v>
      </c>
      <c r="V1125" s="32">
        <f>ROUND($B1125*$V$1033,2)</f>
        <v>0</v>
      </c>
      <c r="W1125" s="92">
        <f>ROUND($B1125*W$1036,2)</f>
        <v>0</v>
      </c>
      <c r="X1125" s="92">
        <f>ROUND($B1125*X$1036,2)</f>
        <v>-0.01</v>
      </c>
      <c r="Y1125" s="92">
        <f>ROUND($B1125*Y$1036,2)</f>
        <v>0</v>
      </c>
      <c r="Z1125" s="92">
        <f>ROUND($B1125*Z$1036,2)</f>
        <v>0</v>
      </c>
      <c r="AA1125" s="92">
        <f>ROUND($B1125*AA$1036,2)</f>
        <v>0</v>
      </c>
      <c r="AB1125" s="19">
        <f>SUM(U$1036:AA$1036)+(-V$1036+V1111)</f>
        <v>1.2243E-2</v>
      </c>
      <c r="AC1125" s="105" t="str">
        <f t="shared" si="69"/>
        <v>HL24</v>
      </c>
    </row>
    <row r="1126" spans="1:29" x14ac:dyDescent="0.2">
      <c r="A1126" s="9"/>
      <c r="B1126" s="103">
        <v>-1</v>
      </c>
      <c r="D1126" s="32"/>
      <c r="E1126" s="103"/>
      <c r="F1126" s="36"/>
      <c r="G1126" s="92"/>
      <c r="H1126" s="19" t="e">
        <f>IF(ISBLANK(B1126),0,+#REF!/B1126)</f>
        <v>#REF!</v>
      </c>
      <c r="J1126" s="109">
        <f t="shared" si="68"/>
        <v>215</v>
      </c>
      <c r="K1126" s="92">
        <f t="shared" si="66"/>
        <v>-0.04</v>
      </c>
      <c r="L1126" s="92">
        <f>IF(ISBLANK($E1126),0,IF($E1126&lt;$C$1037,ROUND($C$1037*$L$1036,2),IF($E1126&gt;L$1037,ROUND(L$1037*L$1036,2),ROUND($E1126*L$1036,2))))</f>
        <v>0</v>
      </c>
      <c r="M1126" s="92">
        <f>IF($E1126&gt;L$1037,ROUND(($E1126-L$1037)*M$1036,2),0)</f>
        <v>0</v>
      </c>
      <c r="N1126" s="92"/>
      <c r="O1126" s="92"/>
      <c r="P1126" s="92"/>
      <c r="Q1126" s="92"/>
      <c r="R1126" s="16" t="e">
        <f>VLOOKUP((D1127),'Pwr Factor'!$A$1:$B$52,2)</f>
        <v>#N/A</v>
      </c>
      <c r="S1126" s="50">
        <v>0.1</v>
      </c>
      <c r="T1126" s="92"/>
      <c r="U1126" s="92"/>
      <c r="V1126" s="32"/>
      <c r="W1126" s="92"/>
      <c r="X1126" s="92"/>
      <c r="Y1126" s="92"/>
      <c r="Z1126" s="92"/>
      <c r="AA1126" s="92"/>
      <c r="AB1126" s="19"/>
      <c r="AC1126" s="105">
        <f t="shared" si="69"/>
        <v>0</v>
      </c>
    </row>
    <row r="1127" spans="1:29" x14ac:dyDescent="0.2">
      <c r="A1127" s="1" t="s">
        <v>154</v>
      </c>
      <c r="B1127" s="103">
        <f>IF(AND('AES Indiana Bill Calc.'!$D$17="HL2",'AES Indiana Bill Calc.'!$D$18="Yes 10%",'AES Indiana Bill Calc.'!$D$20="Yes 2024"),'AES Indiana Bill Calc.'!$D$19,-1)</f>
        <v>-1</v>
      </c>
      <c r="C1127" s="103">
        <f>MAX(E1127,$C$905)</f>
        <v>2000</v>
      </c>
      <c r="D1127" s="103" t="b">
        <f>IF(AND('AES Indiana Bill Calc.'!$D$17="HL2",'AES Indiana Bill Calc.'!$D$18="Yes 10%",'AES Indiana Bill Calc.'!$D$20="Yes 2024"),'AES Indiana Bill Calc.'!$D$22)</f>
        <v>0</v>
      </c>
      <c r="E1127" s="103" t="b">
        <f>IF(AND('AES Indiana Bill Calc.'!$D$17="HL2",'AES Indiana Bill Calc.'!$D$18="Yes 10%",'AES Indiana Bill Calc.'!$D$20="Yes 2024"),'AES Indiana Bill Calc.'!$D$21)</f>
        <v>0</v>
      </c>
      <c r="F1127" s="36" t="s">
        <v>287</v>
      </c>
      <c r="G1127" s="92" t="e">
        <f>SUM(J1127:M1127,R1127:AA1127)</f>
        <v>#N/A</v>
      </c>
      <c r="H1127" s="19" t="e">
        <f>IF(ISBLANK(B1127),0,+#REF!/B1127)</f>
        <v>#REF!</v>
      </c>
      <c r="J1127" s="109">
        <f t="shared" si="68"/>
        <v>215</v>
      </c>
      <c r="K1127" s="92">
        <f t="shared" si="66"/>
        <v>-0.04</v>
      </c>
      <c r="L1127" s="17">
        <f>IF(ISBLANK($C1127),0,IF($C1127&lt;$C$1037,ROUND($C$1037*$L$1036,2),IF($C1127&gt;L$1037,ROUND(L$1037*L$1036,2),ROUND($C1127*L$1036,2))))</f>
        <v>50000</v>
      </c>
      <c r="M1127" s="17">
        <f>IF($C1127&gt;L$1037,ROUND(($C1127-L$1037)*M$1036,2),0)</f>
        <v>0</v>
      </c>
      <c r="N1127" s="17">
        <f>K1127</f>
        <v>-0.04</v>
      </c>
      <c r="O1127" s="92"/>
      <c r="P1127" s="92"/>
      <c r="Q1127" s="17">
        <f>SUM(L1127:M1127)</f>
        <v>50000</v>
      </c>
      <c r="R1127" s="110" t="e">
        <f>ROUND(SUM(K1127:M1127)*(R1126-1),2)</f>
        <v>#N/A</v>
      </c>
      <c r="S1127" s="92">
        <f>ROUND($B1127*S$1036*S1126,2)</f>
        <v>0</v>
      </c>
      <c r="T1127" s="92">
        <f>ROUND($B1127*T$1036,2)</f>
        <v>0</v>
      </c>
      <c r="U1127" s="92">
        <f>ROUND($B1127*U$1036,2)</f>
        <v>0</v>
      </c>
      <c r="V1127" s="32">
        <f>ROUND($B1127*$V$1033,2)</f>
        <v>0</v>
      </c>
      <c r="W1127" s="92">
        <f>ROUND($B1127*W$1036,2)</f>
        <v>0</v>
      </c>
      <c r="X1127" s="92">
        <f>ROUND($B1127*X$1036,2)</f>
        <v>-0.01</v>
      </c>
      <c r="Y1127" s="92">
        <f>ROUND($B1127*Y$1036,2)</f>
        <v>0</v>
      </c>
      <c r="Z1127" s="92">
        <f>ROUND($B1127*Z$1036,2)</f>
        <v>0</v>
      </c>
      <c r="AA1127" s="92">
        <f>ROUND($B1127*AA$1036,2)</f>
        <v>0</v>
      </c>
      <c r="AB1127" s="19">
        <f>SUM(U$1036:AA$1036)+(-V$1036+V1113)</f>
        <v>1.2243E-2</v>
      </c>
      <c r="AC1127" s="105" t="str">
        <f t="shared" si="69"/>
        <v>HL24</v>
      </c>
    </row>
    <row r="1128" spans="1:29" x14ac:dyDescent="0.2">
      <c r="A1128" s="9"/>
      <c r="B1128" s="103">
        <v>-1</v>
      </c>
      <c r="D1128" s="32"/>
      <c r="E1128" s="103"/>
      <c r="F1128" s="36"/>
      <c r="G1128" s="92"/>
      <c r="H1128" s="19" t="e">
        <f>IF(ISBLANK(B1128),0,+#REF!/B1128)</f>
        <v>#REF!</v>
      </c>
      <c r="J1128" s="109">
        <f t="shared" si="68"/>
        <v>215</v>
      </c>
      <c r="K1128" s="92">
        <f t="shared" si="66"/>
        <v>-0.04</v>
      </c>
      <c r="L1128" s="92">
        <f>IF(ISBLANK($E1128),0,IF($E1128&lt;$C$1037,ROUND($C$1037*$L$1036,2),IF($E1128&gt;L$1037,ROUND(L$1037*L$1036,2),ROUND($E1128*L$1036,2))))</f>
        <v>0</v>
      </c>
      <c r="M1128" s="92">
        <f>IF($E1128&gt;L$1037,ROUND(($E1128-L$1037)*M$1036,2),0)</f>
        <v>0</v>
      </c>
      <c r="N1128" s="92"/>
      <c r="O1128" s="92"/>
      <c r="P1128" s="92"/>
      <c r="Q1128" s="92"/>
      <c r="R1128" s="16" t="e">
        <f>VLOOKUP((D1129),'Pwr Factor'!$A$1:$B$52,2)</f>
        <v>#N/A</v>
      </c>
      <c r="S1128" s="50">
        <v>0</v>
      </c>
      <c r="T1128" s="92"/>
      <c r="U1128" s="92"/>
      <c r="V1128" s="32"/>
      <c r="W1128" s="92"/>
      <c r="X1128" s="92"/>
      <c r="Y1128" s="92"/>
      <c r="Z1128" s="92"/>
      <c r="AA1128" s="92"/>
      <c r="AB1128" s="19"/>
      <c r="AC1128" s="105">
        <f t="shared" si="69"/>
        <v>0</v>
      </c>
    </row>
    <row r="1129" spans="1:29" x14ac:dyDescent="0.2">
      <c r="A1129" s="1" t="s">
        <v>137</v>
      </c>
      <c r="B1129" s="103">
        <f>IF(AND('AES Indiana Bill Calc.'!$D$17="HL2",'AES Indiana Bill Calc.'!$D$18="No",'AES Indiana Bill Calc.'!$D$20="Yes 2024"),'AES Indiana Bill Calc.'!$D$19,-1)</f>
        <v>-1</v>
      </c>
      <c r="C1129" s="103">
        <f>MAX(E1129,$C$905)</f>
        <v>2000</v>
      </c>
      <c r="D1129" s="103" t="b">
        <f>IF(AND('AES Indiana Bill Calc.'!$D$17="HL2",'AES Indiana Bill Calc.'!$D$18="No",'AES Indiana Bill Calc.'!$D$20="Yes 2024"),'AES Indiana Bill Calc.'!$D$22)</f>
        <v>0</v>
      </c>
      <c r="E1129" s="103" t="b">
        <f>IF(AND('AES Indiana Bill Calc.'!$D$17="HL2",'AES Indiana Bill Calc.'!$D$18="No",'AES Indiana Bill Calc.'!$D$20="Yes 2024"),'AES Indiana Bill Calc.'!$D$21)</f>
        <v>0</v>
      </c>
      <c r="F1129" s="36" t="s">
        <v>287</v>
      </c>
      <c r="G1129" s="92" t="e">
        <f>SUM(J1129:M1129,R1129:AA1129)</f>
        <v>#N/A</v>
      </c>
      <c r="H1129" s="19" t="e">
        <f>IF(ISBLANK(B1129),0,+#REF!/B1129)</f>
        <v>#REF!</v>
      </c>
      <c r="J1129" s="109">
        <f t="shared" si="68"/>
        <v>215</v>
      </c>
      <c r="K1129" s="92">
        <f t="shared" si="66"/>
        <v>-0.04</v>
      </c>
      <c r="L1129" s="17">
        <f>IF(ISBLANK($C1129),0,IF($C1129&lt;$C$1037,ROUND($C$1037*$L$1036,2),IF($C1129&gt;L$1037,ROUND(L$1037*L$1036,2),ROUND($C1129*L$1036,2))))</f>
        <v>50000</v>
      </c>
      <c r="M1129" s="17">
        <f>IF($C1129&gt;L$1037,ROUND(($C1129-L$1037)*M$1036,2),0)</f>
        <v>0</v>
      </c>
      <c r="N1129" s="17">
        <f>K1129</f>
        <v>-0.04</v>
      </c>
      <c r="O1129" s="92"/>
      <c r="P1129" s="92"/>
      <c r="Q1129" s="17">
        <f>SUM(L1129:M1129)</f>
        <v>50000</v>
      </c>
      <c r="R1129" s="110" t="e">
        <f>ROUND(SUM(K1129:M1129)*(R1128-1),2)</f>
        <v>#N/A</v>
      </c>
      <c r="S1129" s="92">
        <f>ROUND($B1129*S$1036*S1128,2)</f>
        <v>0</v>
      </c>
      <c r="T1129" s="92">
        <f>ROUND($B1129*T$1036,2)</f>
        <v>0</v>
      </c>
      <c r="U1129" s="92">
        <f>ROUND($B1129*U$1036,2)</f>
        <v>0</v>
      </c>
      <c r="V1129" s="32">
        <f>ROUND($B1129*$V$1033,2)</f>
        <v>0</v>
      </c>
      <c r="W1129" s="92">
        <f>ROUND($B1129*W$1036,2)</f>
        <v>0</v>
      </c>
      <c r="X1129" s="92">
        <f>ROUND($B1129*X$1036,2)</f>
        <v>-0.01</v>
      </c>
      <c r="Y1129" s="92">
        <f>ROUND($B1129*Y$1036,2)</f>
        <v>0</v>
      </c>
      <c r="Z1129" s="92">
        <f>ROUND($B1129*Z$1036,2)</f>
        <v>0</v>
      </c>
      <c r="AA1129" s="92">
        <f>ROUND($B1129*AA$1036,2)</f>
        <v>0</v>
      </c>
      <c r="AB1129" s="19">
        <f>SUM(U$1036:AA$1036)+(-V$1036+V1115)</f>
        <v>1.2243E-2</v>
      </c>
      <c r="AC1129" s="105" t="str">
        <f t="shared" si="69"/>
        <v>HL24</v>
      </c>
    </row>
    <row r="1130" spans="1:29" x14ac:dyDescent="0.2">
      <c r="B1130" s="103">
        <v>-1</v>
      </c>
      <c r="D1130" s="32"/>
      <c r="E1130" s="103"/>
      <c r="F1130" s="36"/>
      <c r="G1130" s="92"/>
      <c r="H1130" s="19" t="e">
        <f>IF(ISBLANK(B1130),0,+#REF!/B1130)</f>
        <v>#REF!</v>
      </c>
      <c r="J1130" s="109">
        <f t="shared" si="68"/>
        <v>215</v>
      </c>
      <c r="K1130" s="92">
        <f t="shared" si="66"/>
        <v>-0.04</v>
      </c>
      <c r="L1130" s="92">
        <f>IF(ISBLANK($E1130),0,IF($E1130&lt;$C$1037,ROUND($C$1037*$L$1036,2),IF($E1130&gt;L$1037,ROUND(L$1037*L$1036,2),ROUND($E1130*L$1036,2))))</f>
        <v>0</v>
      </c>
      <c r="M1130" s="92">
        <f>IF($E1130&gt;L$1037,ROUND(($E1130-L$1037)*M$1036,2),0)</f>
        <v>0</v>
      </c>
      <c r="N1130" s="92"/>
      <c r="O1130" s="92"/>
      <c r="P1130" s="92"/>
      <c r="Q1130" s="92"/>
      <c r="R1130" s="16" t="e">
        <f>VLOOKUP((D1131),'Pwr Factor'!$A$1:$B$52,2)</f>
        <v>#N/A</v>
      </c>
      <c r="S1130" s="50">
        <v>1</v>
      </c>
      <c r="T1130" s="92"/>
      <c r="U1130" s="92"/>
      <c r="V1130" s="32"/>
      <c r="W1130" s="92"/>
      <c r="X1130" s="92"/>
      <c r="Y1130" s="92"/>
      <c r="Z1130" s="92"/>
      <c r="AA1130" s="92"/>
      <c r="AB1130" s="19"/>
      <c r="AC1130" s="105">
        <f t="shared" si="69"/>
        <v>0</v>
      </c>
    </row>
    <row r="1131" spans="1:29" x14ac:dyDescent="0.2">
      <c r="A1131" s="1" t="s">
        <v>138</v>
      </c>
      <c r="B1131" s="103">
        <f>IF(AND('AES Indiana Bill Calc.'!$D$17="HL2",'AES Indiana Bill Calc.'!$D$18="Yes 100%",'AES Indiana Bill Calc.'!$D$20="Yes 2025"),'AES Indiana Bill Calc.'!$D$19,-1)</f>
        <v>-1</v>
      </c>
      <c r="C1131" s="103">
        <f>MAX(E1131,$C$905)</f>
        <v>2000</v>
      </c>
      <c r="D1131" s="103" t="b">
        <f>IF(AND('AES Indiana Bill Calc.'!$D$17="HL2",'AES Indiana Bill Calc.'!$D$18="Yes 100%",'AES Indiana Bill Calc.'!$D$20="Yes 2025"),'AES Indiana Bill Calc.'!$D$22)</f>
        <v>0</v>
      </c>
      <c r="E1131" s="103" t="b">
        <f>IF(AND('AES Indiana Bill Calc.'!$D$17="HL2",'AES Indiana Bill Calc.'!$D$18="Yes 100%",'AES Indiana Bill Calc.'!$D$20="Yes 2025"),'AES Indiana Bill Calc.'!$D$21)</f>
        <v>0</v>
      </c>
      <c r="F1131" s="36" t="s">
        <v>322</v>
      </c>
      <c r="G1131" s="92" t="e">
        <f>SUM(J1131:M1131,R1131:AA1131)</f>
        <v>#N/A</v>
      </c>
      <c r="H1131" s="19" t="e">
        <f>IF(ISBLANK(B1131),0,+#REF!/B1131)</f>
        <v>#REF!</v>
      </c>
      <c r="J1131" s="109">
        <f t="shared" si="68"/>
        <v>215</v>
      </c>
      <c r="K1131" s="92">
        <f t="shared" si="66"/>
        <v>-0.04</v>
      </c>
      <c r="L1131" s="17">
        <f>IF(ISBLANK($C1131),0,IF($C1131&lt;$C$1037,ROUND($C$1037*$L$1036,2),IF($C1131&gt;L$1037,ROUND(L$1037*L$1036,2),ROUND($C1131*L$1036,2))))</f>
        <v>50000</v>
      </c>
      <c r="M1131" s="17">
        <f>IF($C1131&gt;L$1037,ROUND(($C1131-L$1037)*M$1036,2),0)</f>
        <v>0</v>
      </c>
      <c r="N1131" s="17">
        <f>K1131</f>
        <v>-0.04</v>
      </c>
      <c r="O1131" s="92"/>
      <c r="P1131" s="92"/>
      <c r="Q1131" s="17">
        <f>SUM(L1131:M1131)</f>
        <v>50000</v>
      </c>
      <c r="R1131" s="110" t="e">
        <f>ROUND(SUM(K1131:M1131)*(R1130-1),2)</f>
        <v>#N/A</v>
      </c>
      <c r="S1131" s="92">
        <f>ROUND($B1131*S$1036*S1130,2)</f>
        <v>0</v>
      </c>
      <c r="T1131" s="92">
        <f>ROUND($B1131*T$1036,2)</f>
        <v>0</v>
      </c>
      <c r="U1131" s="92">
        <f>ROUND($B1131*U$1036,2)</f>
        <v>0</v>
      </c>
      <c r="V1131" s="32">
        <f>ROUND($B1131*$V$1034,2)</f>
        <v>-0.01</v>
      </c>
      <c r="W1131" s="92">
        <f>ROUND($B1131*W$1036,2)</f>
        <v>0</v>
      </c>
      <c r="X1131" s="92">
        <f>ROUND($B1131*X$1036,2)</f>
        <v>-0.01</v>
      </c>
      <c r="Y1131" s="92">
        <f>ROUND($B1131*Y$1036,2)</f>
        <v>0</v>
      </c>
      <c r="Z1131" s="92">
        <f>ROUND($B1131*Z$1036,2)</f>
        <v>0</v>
      </c>
      <c r="AA1131" s="92">
        <f>ROUND($B1131*AA$1036,2)</f>
        <v>0</v>
      </c>
      <c r="AB1131" s="19">
        <f>SUM(U$1036:AA$1036)+(-V$1036+V1117)</f>
        <v>1.2243E-2</v>
      </c>
      <c r="AC1131" s="105" t="str">
        <f t="shared" si="69"/>
        <v>HL25</v>
      </c>
    </row>
    <row r="1132" spans="1:29" x14ac:dyDescent="0.2">
      <c r="A1132" s="9"/>
      <c r="B1132" s="103">
        <v>-1</v>
      </c>
      <c r="D1132" s="32"/>
      <c r="E1132" s="103"/>
      <c r="F1132" s="36"/>
      <c r="G1132" s="92"/>
      <c r="H1132" s="19" t="e">
        <f>IF(ISBLANK(B1132),0,+#REF!/B1132)</f>
        <v>#REF!</v>
      </c>
      <c r="J1132" s="109">
        <f t="shared" si="68"/>
        <v>215</v>
      </c>
      <c r="K1132" s="92">
        <f t="shared" si="66"/>
        <v>-0.04</v>
      </c>
      <c r="L1132" s="92">
        <f>IF(ISBLANK($E1132),0,IF($E1132&lt;$C$1037,ROUND($C$1037*$L$1036,2),IF($E1132&gt;L$1037,ROUND(L$1037*L$1036,2),ROUND($E1132*L$1036,2))))</f>
        <v>0</v>
      </c>
      <c r="M1132" s="92">
        <f>IF($E1132&gt;L$1037,ROUND(($E1132-L$1037)*M$1036,2),0)</f>
        <v>0</v>
      </c>
      <c r="N1132" s="92"/>
      <c r="O1132" s="92"/>
      <c r="P1132" s="92"/>
      <c r="Q1132" s="92"/>
      <c r="R1132" s="16" t="e">
        <f>VLOOKUP((D1133),'Pwr Factor'!$A$1:$B$52,2)</f>
        <v>#N/A</v>
      </c>
      <c r="S1132" s="50">
        <v>0.5</v>
      </c>
      <c r="T1132" s="92"/>
      <c r="U1132" s="92"/>
      <c r="V1132" s="32"/>
      <c r="W1132" s="92"/>
      <c r="X1132" s="92"/>
      <c r="Y1132" s="92"/>
      <c r="Z1132" s="92"/>
      <c r="AA1132" s="92"/>
      <c r="AB1132" s="19"/>
      <c r="AC1132" s="105">
        <f t="shared" si="69"/>
        <v>0</v>
      </c>
    </row>
    <row r="1133" spans="1:29" x14ac:dyDescent="0.2">
      <c r="A1133" s="1" t="s">
        <v>139</v>
      </c>
      <c r="B1133" s="103">
        <f>IF(AND('AES Indiana Bill Calc.'!$D$17="HL2",'AES Indiana Bill Calc.'!$D$18="Yes 50%",'AES Indiana Bill Calc.'!$D$20="Yes 2025"),'AES Indiana Bill Calc.'!$D$19,-1)</f>
        <v>-1</v>
      </c>
      <c r="C1133" s="103">
        <f>MAX(E1133,$C$905)</f>
        <v>2000</v>
      </c>
      <c r="D1133" s="103" t="b">
        <f>IF(AND('AES Indiana Bill Calc.'!$D$17="HL2",'AES Indiana Bill Calc.'!$D$18="Yes 50%",'AES Indiana Bill Calc.'!$D$20="Yes 2025"),'AES Indiana Bill Calc.'!$D$22)</f>
        <v>0</v>
      </c>
      <c r="E1133" s="103" t="b">
        <f>IF(AND('AES Indiana Bill Calc.'!$D$17="HL2",'AES Indiana Bill Calc.'!$D$18="Yes 50%",'AES Indiana Bill Calc.'!$D$20="Yes 2025"),'AES Indiana Bill Calc.'!$D$21)</f>
        <v>0</v>
      </c>
      <c r="F1133" s="36" t="s">
        <v>322</v>
      </c>
      <c r="G1133" s="92" t="e">
        <f>SUM(J1133:M1133,R1133:AA1133)</f>
        <v>#N/A</v>
      </c>
      <c r="H1133" s="19" t="e">
        <f>IF(ISBLANK(B1133),0,+#REF!/B1133)</f>
        <v>#REF!</v>
      </c>
      <c r="J1133" s="109">
        <f t="shared" ref="J1133:J1142" si="70">IF(ISBLANK(B1133),0,+J$1036)</f>
        <v>215</v>
      </c>
      <c r="K1133" s="92">
        <f t="shared" si="66"/>
        <v>-0.04</v>
      </c>
      <c r="L1133" s="17">
        <f>IF(ISBLANK($C1133),0,IF($C1133&lt;$C$1037,ROUND($C$1037*$L$1036,2),IF($C1133&gt;L$1037,ROUND(L$1037*L$1036,2),ROUND($C1133*L$1036,2))))</f>
        <v>50000</v>
      </c>
      <c r="M1133" s="17">
        <f>IF($C1133&gt;L$1037,ROUND(($C1133-L$1037)*M$1036,2),0)</f>
        <v>0</v>
      </c>
      <c r="N1133" s="17">
        <f>K1133</f>
        <v>-0.04</v>
      </c>
      <c r="O1133" s="92"/>
      <c r="P1133" s="92"/>
      <c r="Q1133" s="17">
        <f>SUM(L1133:M1133)</f>
        <v>50000</v>
      </c>
      <c r="R1133" s="110" t="e">
        <f>ROUND(SUM(K1133:M1133)*(R1132-1),2)</f>
        <v>#N/A</v>
      </c>
      <c r="S1133" s="92">
        <f>ROUND($B1133*S$1036*S1132,2)</f>
        <v>0</v>
      </c>
      <c r="T1133" s="92">
        <f>ROUND($B1133*T$1036,2)</f>
        <v>0</v>
      </c>
      <c r="U1133" s="92">
        <f>ROUND($B1133*U$1036,2)</f>
        <v>0</v>
      </c>
      <c r="V1133" s="32">
        <f>ROUND($B1133*$V$1034,2)</f>
        <v>-0.01</v>
      </c>
      <c r="W1133" s="92">
        <f>ROUND($B1133*W$1036,2)</f>
        <v>0</v>
      </c>
      <c r="X1133" s="92">
        <f>ROUND($B1133*X$1036,2)</f>
        <v>-0.01</v>
      </c>
      <c r="Y1133" s="92">
        <f>ROUND($B1133*Y$1036,2)</f>
        <v>0</v>
      </c>
      <c r="Z1133" s="92">
        <f>ROUND($B1133*Z$1036,2)</f>
        <v>0</v>
      </c>
      <c r="AA1133" s="92">
        <f>ROUND($B1133*AA$1036,2)</f>
        <v>0</v>
      </c>
      <c r="AB1133" s="19">
        <f>SUM(U$1036:AA$1036)+(-V$1036+V1119)</f>
        <v>1.2243E-2</v>
      </c>
      <c r="AC1133" s="105" t="str">
        <f t="shared" ref="AC1133:AC1142" si="71">+F1133</f>
        <v>HL25</v>
      </c>
    </row>
    <row r="1134" spans="1:29" x14ac:dyDescent="0.2">
      <c r="A1134" s="9"/>
      <c r="B1134" s="103">
        <v>-1</v>
      </c>
      <c r="D1134" s="32"/>
      <c r="E1134" s="103"/>
      <c r="F1134" s="36"/>
      <c r="G1134" s="92"/>
      <c r="H1134" s="19" t="e">
        <f>IF(ISBLANK(B1134),0,+#REF!/B1134)</f>
        <v>#REF!</v>
      </c>
      <c r="J1134" s="109">
        <f t="shared" si="70"/>
        <v>215</v>
      </c>
      <c r="K1134" s="92">
        <f t="shared" si="66"/>
        <v>-0.04</v>
      </c>
      <c r="L1134" s="92">
        <f>IF(ISBLANK($E1134),0,IF($E1134&lt;$C$1037,ROUND($C$1037*$L$1036,2),IF($E1134&gt;L$1037,ROUND(L$1037*L$1036,2),ROUND($E1134*L$1036,2))))</f>
        <v>0</v>
      </c>
      <c r="M1134" s="92">
        <f>IF($E1134&gt;L$1037,ROUND(($E1134-L$1037)*M$1036,2),0)</f>
        <v>0</v>
      </c>
      <c r="N1134" s="92"/>
      <c r="O1134" s="92"/>
      <c r="P1134" s="92"/>
      <c r="Q1134" s="92"/>
      <c r="R1134" s="16" t="e">
        <f>VLOOKUP((D1135),'Pwr Factor'!$A$1:$B$52,2)</f>
        <v>#N/A</v>
      </c>
      <c r="S1134" s="50">
        <v>0.25</v>
      </c>
      <c r="T1134" s="92"/>
      <c r="U1134" s="92"/>
      <c r="V1134" s="32"/>
      <c r="W1134" s="92"/>
      <c r="X1134" s="92"/>
      <c r="Y1134" s="92"/>
      <c r="Z1134" s="92"/>
      <c r="AA1134" s="92"/>
      <c r="AB1134" s="19"/>
      <c r="AC1134" s="105">
        <f t="shared" si="71"/>
        <v>0</v>
      </c>
    </row>
    <row r="1135" spans="1:29" x14ac:dyDescent="0.2">
      <c r="A1135" s="1" t="s">
        <v>140</v>
      </c>
      <c r="B1135" s="103">
        <f>IF(AND('AES Indiana Bill Calc.'!$D$17="HL2",'AES Indiana Bill Calc.'!$D$18="Yes 25%",'AES Indiana Bill Calc.'!$D$20="Yes 2025"),'AES Indiana Bill Calc.'!$D$19,-1)</f>
        <v>-1</v>
      </c>
      <c r="C1135" s="103">
        <f>MAX(E1135,$C$905)</f>
        <v>2000</v>
      </c>
      <c r="D1135" s="103" t="b">
        <f>IF(AND('AES Indiana Bill Calc.'!$D$17="HL2",'AES Indiana Bill Calc.'!$D$18="Yes 25%",'AES Indiana Bill Calc.'!$D$20="Yes 2025"),'AES Indiana Bill Calc.'!$D$22)</f>
        <v>0</v>
      </c>
      <c r="E1135" s="103" t="b">
        <f>IF(AND('AES Indiana Bill Calc.'!$D$17="HL2",'AES Indiana Bill Calc.'!$D$18="Yes 25%",'AES Indiana Bill Calc.'!$D$20="Yes 2025"),'AES Indiana Bill Calc.'!$D$21)</f>
        <v>0</v>
      </c>
      <c r="F1135" s="36" t="s">
        <v>322</v>
      </c>
      <c r="G1135" s="92" t="e">
        <f>SUM(J1135:M1135,R1135:AA1135)</f>
        <v>#N/A</v>
      </c>
      <c r="H1135" s="19" t="e">
        <f>IF(ISBLANK(B1135),0,+#REF!/B1135)</f>
        <v>#REF!</v>
      </c>
      <c r="J1135" s="109">
        <f t="shared" si="70"/>
        <v>215</v>
      </c>
      <c r="K1135" s="92">
        <f t="shared" si="66"/>
        <v>-0.04</v>
      </c>
      <c r="L1135" s="17">
        <f>IF(ISBLANK($C1135),0,IF($C1135&lt;$C$1037,ROUND($C$1037*$L$1036,2),IF($C1135&gt;L$1037,ROUND(L$1037*L$1036,2),ROUND($C1135*L$1036,2))))</f>
        <v>50000</v>
      </c>
      <c r="M1135" s="17">
        <f>IF($C1135&gt;L$1037,ROUND(($C1135-L$1037)*M$1036,2),0)</f>
        <v>0</v>
      </c>
      <c r="N1135" s="17">
        <f>K1135</f>
        <v>-0.04</v>
      </c>
      <c r="O1135" s="92"/>
      <c r="P1135" s="92"/>
      <c r="Q1135" s="17">
        <f>SUM(L1135:M1135)</f>
        <v>50000</v>
      </c>
      <c r="R1135" s="110" t="e">
        <f>ROUND(SUM(K1135:M1135)*(R1134-1),2)</f>
        <v>#N/A</v>
      </c>
      <c r="S1135" s="92">
        <f>ROUND($B1135*S$1036*S1134,2)</f>
        <v>0</v>
      </c>
      <c r="T1135" s="92">
        <f>ROUND($B1135*T$1036,2)</f>
        <v>0</v>
      </c>
      <c r="U1135" s="92">
        <f>ROUND($B1135*U$1036,2)</f>
        <v>0</v>
      </c>
      <c r="V1135" s="32">
        <f>ROUND($B1135*$V$1034,2)</f>
        <v>-0.01</v>
      </c>
      <c r="W1135" s="92">
        <f>ROUND($B1135*W$1036,2)</f>
        <v>0</v>
      </c>
      <c r="X1135" s="92">
        <f>ROUND($B1135*X$1036,2)</f>
        <v>-0.01</v>
      </c>
      <c r="Y1135" s="92">
        <f>ROUND($B1135*Y$1036,2)</f>
        <v>0</v>
      </c>
      <c r="Z1135" s="92">
        <f>ROUND($B1135*Z$1036,2)</f>
        <v>0</v>
      </c>
      <c r="AA1135" s="92">
        <f>ROUND($B1135*AA$1036,2)</f>
        <v>0</v>
      </c>
      <c r="AB1135" s="19">
        <f>SUM(U$1036:AA$1036)+(-V$1036+V1121)</f>
        <v>1.2243E-2</v>
      </c>
      <c r="AC1135" s="105" t="str">
        <f t="shared" si="71"/>
        <v>HL25</v>
      </c>
    </row>
    <row r="1136" spans="1:29" x14ac:dyDescent="0.2">
      <c r="A1136" s="9"/>
      <c r="B1136" s="103">
        <v>-1</v>
      </c>
      <c r="D1136" s="32"/>
      <c r="E1136" s="103"/>
      <c r="F1136" s="36"/>
      <c r="G1136" s="92"/>
      <c r="H1136" s="19" t="e">
        <f>IF(ISBLANK(B1136),0,+#REF!/B1136)</f>
        <v>#REF!</v>
      </c>
      <c r="J1136" s="109">
        <f t="shared" si="70"/>
        <v>215</v>
      </c>
      <c r="K1136" s="92">
        <f t="shared" si="66"/>
        <v>-0.04</v>
      </c>
      <c r="L1136" s="92">
        <f>IF(ISBLANK($E1136),0,IF($E1136&lt;$C$1037,ROUND($C$1037*$L$1036,2),IF($E1136&gt;L$1037,ROUND(L$1037*L$1036,2),ROUND($E1136*L$1036,2))))</f>
        <v>0</v>
      </c>
      <c r="M1136" s="92">
        <f>IF($E1136&gt;L$1037,ROUND(($E1136-L$1037)*M$1036,2),0)</f>
        <v>0</v>
      </c>
      <c r="N1136" s="92"/>
      <c r="O1136" s="92"/>
      <c r="P1136" s="92"/>
      <c r="Q1136" s="92"/>
      <c r="R1136" s="16" t="e">
        <f>VLOOKUP((D1137),'Pwr Factor'!$A$1:$B$52,2)</f>
        <v>#N/A</v>
      </c>
      <c r="S1136" s="50">
        <v>0.1</v>
      </c>
      <c r="T1136" s="92"/>
      <c r="U1136" s="92"/>
      <c r="V1136" s="32"/>
      <c r="W1136" s="92"/>
      <c r="X1136" s="92"/>
      <c r="Y1136" s="92"/>
      <c r="Z1136" s="92"/>
      <c r="AA1136" s="92"/>
      <c r="AB1136" s="19"/>
      <c r="AC1136" s="105">
        <f t="shared" si="71"/>
        <v>0</v>
      </c>
    </row>
    <row r="1137" spans="1:29" x14ac:dyDescent="0.2">
      <c r="A1137" s="1" t="s">
        <v>154</v>
      </c>
      <c r="B1137" s="103">
        <f>IF(AND('AES Indiana Bill Calc.'!$D$17="HL2",'AES Indiana Bill Calc.'!$D$18="Yes 10%",'AES Indiana Bill Calc.'!$D$20="Yes 2025"),'AES Indiana Bill Calc.'!$D$19,-1)</f>
        <v>-1</v>
      </c>
      <c r="C1137" s="103">
        <f>MAX(E1137,$C$905)</f>
        <v>2000</v>
      </c>
      <c r="D1137" s="103" t="b">
        <f>IF(AND('AES Indiana Bill Calc.'!$D$17="HL2",'AES Indiana Bill Calc.'!$D$18="Yes 10%",'AES Indiana Bill Calc.'!$D$20="Yes 2025"),'AES Indiana Bill Calc.'!$D$22)</f>
        <v>0</v>
      </c>
      <c r="E1137" s="103" t="b">
        <f>IF(AND('AES Indiana Bill Calc.'!$D$17="HL2",'AES Indiana Bill Calc.'!$D$18="Yes 10%",'AES Indiana Bill Calc.'!$D$20="Yes 2025"),'AES Indiana Bill Calc.'!$D$21)</f>
        <v>0</v>
      </c>
      <c r="F1137" s="36" t="s">
        <v>322</v>
      </c>
      <c r="G1137" s="92" t="e">
        <f>SUM(J1137:M1137,R1137:AA1137)</f>
        <v>#N/A</v>
      </c>
      <c r="H1137" s="19" t="e">
        <f>IF(ISBLANK(B1137),0,+#REF!/B1137)</f>
        <v>#REF!</v>
      </c>
      <c r="J1137" s="109">
        <f t="shared" si="70"/>
        <v>215</v>
      </c>
      <c r="K1137" s="92">
        <f t="shared" si="66"/>
        <v>-0.04</v>
      </c>
      <c r="L1137" s="17">
        <f>IF(ISBLANK($C1137),0,IF($C1137&lt;$C$1037,ROUND($C$1037*$L$1036,2),IF($C1137&gt;L$1037,ROUND(L$1037*L$1036,2),ROUND($C1137*L$1036,2))))</f>
        <v>50000</v>
      </c>
      <c r="M1137" s="17">
        <f>IF($C1137&gt;L$1037,ROUND(($C1137-L$1037)*M$1036,2),0)</f>
        <v>0</v>
      </c>
      <c r="N1137" s="17">
        <f>K1137</f>
        <v>-0.04</v>
      </c>
      <c r="O1137" s="92"/>
      <c r="P1137" s="92"/>
      <c r="Q1137" s="17">
        <f>SUM(L1137:M1137)</f>
        <v>50000</v>
      </c>
      <c r="R1137" s="110" t="e">
        <f>ROUND(SUM(K1137:M1137)*(R1136-1),2)</f>
        <v>#N/A</v>
      </c>
      <c r="S1137" s="92">
        <f>ROUND($B1137*S$1036*S1136,2)</f>
        <v>0</v>
      </c>
      <c r="T1137" s="92">
        <f>ROUND($B1137*T$1036,2)</f>
        <v>0</v>
      </c>
      <c r="U1137" s="92">
        <f>ROUND($B1137*U$1036,2)</f>
        <v>0</v>
      </c>
      <c r="V1137" s="32">
        <f>ROUND($B1137*$V$1034,2)</f>
        <v>-0.01</v>
      </c>
      <c r="W1137" s="92">
        <f>ROUND($B1137*W$1036,2)</f>
        <v>0</v>
      </c>
      <c r="X1137" s="92">
        <f>ROUND($B1137*X$1036,2)</f>
        <v>-0.01</v>
      </c>
      <c r="Y1137" s="92">
        <f>ROUND($B1137*Y$1036,2)</f>
        <v>0</v>
      </c>
      <c r="Z1137" s="92">
        <f>ROUND($B1137*Z$1036,2)</f>
        <v>0</v>
      </c>
      <c r="AA1137" s="92">
        <f>ROUND($B1137*AA$1036,2)</f>
        <v>0</v>
      </c>
      <c r="AB1137" s="19">
        <f>SUM(U$1036:AA$1036)+(-V$1036+V1123)</f>
        <v>1.2243E-2</v>
      </c>
      <c r="AC1137" s="105" t="str">
        <f t="shared" si="71"/>
        <v>HL25</v>
      </c>
    </row>
    <row r="1138" spans="1:29" x14ac:dyDescent="0.2">
      <c r="A1138" s="9"/>
      <c r="B1138" s="103">
        <v>-1</v>
      </c>
      <c r="D1138" s="32"/>
      <c r="E1138" s="103"/>
      <c r="F1138" s="36"/>
      <c r="G1138" s="92"/>
      <c r="H1138" s="19" t="e">
        <f>IF(ISBLANK(B1138),0,+#REF!/B1138)</f>
        <v>#REF!</v>
      </c>
      <c r="J1138" s="109">
        <f t="shared" si="70"/>
        <v>215</v>
      </c>
      <c r="K1138" s="92">
        <f t="shared" si="66"/>
        <v>-0.04</v>
      </c>
      <c r="L1138" s="92">
        <f>IF(ISBLANK($E1138),0,IF($E1138&lt;$C$1037,ROUND($C$1037*$L$1036,2),IF($E1138&gt;L$1037,ROUND(L$1037*L$1036,2),ROUND($E1138*L$1036,2))))</f>
        <v>0</v>
      </c>
      <c r="M1138" s="92">
        <f>IF($E1138&gt;L$1037,ROUND(($E1138-L$1037)*M$1036,2),0)</f>
        <v>0</v>
      </c>
      <c r="N1138" s="92"/>
      <c r="O1138" s="92"/>
      <c r="P1138" s="92"/>
      <c r="Q1138" s="92"/>
      <c r="R1138" s="16" t="e">
        <f>VLOOKUP((D1139),'Pwr Factor'!$A$1:$B$52,2)</f>
        <v>#N/A</v>
      </c>
      <c r="S1138" s="50">
        <v>0</v>
      </c>
      <c r="T1138" s="92"/>
      <c r="U1138" s="92"/>
      <c r="V1138" s="32"/>
      <c r="W1138" s="92"/>
      <c r="X1138" s="92"/>
      <c r="Y1138" s="92"/>
      <c r="Z1138" s="92"/>
      <c r="AA1138" s="92"/>
      <c r="AB1138" s="19"/>
      <c r="AC1138" s="105">
        <f t="shared" si="71"/>
        <v>0</v>
      </c>
    </row>
    <row r="1139" spans="1:29" x14ac:dyDescent="0.2">
      <c r="A1139" s="1" t="s">
        <v>137</v>
      </c>
      <c r="B1139" s="103">
        <f>IF(AND('AES Indiana Bill Calc.'!$D$17="HL2",'AES Indiana Bill Calc.'!$D$18="No",'AES Indiana Bill Calc.'!$D$20="Yes 2025"),'AES Indiana Bill Calc.'!$D$19,-1)</f>
        <v>-1</v>
      </c>
      <c r="C1139" s="103">
        <f>MAX(E1139,$C$905)</f>
        <v>2000</v>
      </c>
      <c r="D1139" s="103" t="b">
        <f>IF(AND('AES Indiana Bill Calc.'!$D$17="HL2",'AES Indiana Bill Calc.'!$D$18="No",'AES Indiana Bill Calc.'!$D$20="Yes 2025"),'AES Indiana Bill Calc.'!$D$22)</f>
        <v>0</v>
      </c>
      <c r="E1139" s="103" t="b">
        <f>IF(AND('AES Indiana Bill Calc.'!$D$17="HL2",'AES Indiana Bill Calc.'!$D$18="No",'AES Indiana Bill Calc.'!$D$20="Yes 2025"),'AES Indiana Bill Calc.'!$D$21)</f>
        <v>0</v>
      </c>
      <c r="F1139" s="36" t="s">
        <v>322</v>
      </c>
      <c r="G1139" s="92" t="e">
        <f>SUM(J1139:M1139,R1139:AA1139)</f>
        <v>#N/A</v>
      </c>
      <c r="H1139" s="19" t="e">
        <f>IF(ISBLANK(B1139),0,+#REF!/B1139)</f>
        <v>#REF!</v>
      </c>
      <c r="J1139" s="109">
        <f t="shared" si="70"/>
        <v>215</v>
      </c>
      <c r="K1139" s="92">
        <f t="shared" si="66"/>
        <v>-0.04</v>
      </c>
      <c r="L1139" s="17">
        <f>IF(ISBLANK($C1139),0,IF($C1139&lt;$C$1037,ROUND($C$1037*$L$1036,2),IF($C1139&gt;L$1037,ROUND(L$1037*L$1036,2),ROUND($C1139*L$1036,2))))</f>
        <v>50000</v>
      </c>
      <c r="M1139" s="17">
        <f>IF($C1139&gt;L$1037,ROUND(($C1139-L$1037)*M$1036,2),0)</f>
        <v>0</v>
      </c>
      <c r="N1139" s="17">
        <f>K1139</f>
        <v>-0.04</v>
      </c>
      <c r="O1139" s="92"/>
      <c r="P1139" s="92"/>
      <c r="Q1139" s="17">
        <f>SUM(L1139:M1139)</f>
        <v>50000</v>
      </c>
      <c r="R1139" s="110" t="e">
        <f>ROUND(SUM(K1139:M1139)*(R1138-1),2)</f>
        <v>#N/A</v>
      </c>
      <c r="S1139" s="92">
        <f>ROUND($B1139*S$1036*S1138,2)</f>
        <v>0</v>
      </c>
      <c r="T1139" s="92">
        <f>ROUND($B1139*T$1036,2)</f>
        <v>0</v>
      </c>
      <c r="U1139" s="92">
        <f>ROUND($B1139*U$1036,2)</f>
        <v>0</v>
      </c>
      <c r="V1139" s="32">
        <f>ROUND($B1139*$V$1034,2)</f>
        <v>-0.01</v>
      </c>
      <c r="W1139" s="92">
        <f>ROUND($B1139*W$1036,2)</f>
        <v>0</v>
      </c>
      <c r="X1139" s="92">
        <f>ROUND($B1139*X$1036,2)</f>
        <v>-0.01</v>
      </c>
      <c r="Y1139" s="92">
        <f>ROUND($B1139*Y$1036,2)</f>
        <v>0</v>
      </c>
      <c r="Z1139" s="92">
        <f>ROUND($B1139*Z$1036,2)</f>
        <v>0</v>
      </c>
      <c r="AA1139" s="92">
        <f>ROUND($B1139*AA$1036,2)</f>
        <v>0</v>
      </c>
      <c r="AB1139" s="19">
        <f>SUM(U$1036:AA$1036)+(-V$1036+V1125)</f>
        <v>1.2243E-2</v>
      </c>
      <c r="AC1139" s="105" t="str">
        <f t="shared" si="71"/>
        <v>HL25</v>
      </c>
    </row>
    <row r="1140" spans="1:29" x14ac:dyDescent="0.2">
      <c r="B1140" s="103">
        <v>-1</v>
      </c>
      <c r="D1140" s="32"/>
      <c r="E1140" s="103"/>
      <c r="F1140" s="36"/>
      <c r="G1140" s="92"/>
      <c r="H1140" s="19" t="e">
        <f>IF(ISBLANK(B1140),0,+#REF!/B1140)</f>
        <v>#REF!</v>
      </c>
      <c r="J1140" s="109">
        <f t="shared" si="70"/>
        <v>215</v>
      </c>
      <c r="K1140" s="92">
        <f t="shared" si="66"/>
        <v>-0.04</v>
      </c>
      <c r="L1140" s="92">
        <f>IF(ISBLANK($E1140),0,IF($E1140&lt;$C$1037,ROUND($C$1037*$L$1036,2),IF($E1140&gt;L$1037,ROUND(L$1037*L$1036,2),ROUND($E1140*L$1036,2))))</f>
        <v>0</v>
      </c>
      <c r="M1140" s="92">
        <f>IF($E1140&gt;L$1037,ROUND(($E1140-L$1037)*M$1036,2),0)</f>
        <v>0</v>
      </c>
      <c r="N1140" s="92"/>
      <c r="O1140" s="92"/>
      <c r="P1140" s="92"/>
      <c r="Q1140" s="92"/>
      <c r="R1140" s="16" t="e">
        <f>VLOOKUP((D1141),'Pwr Factor'!$A$1:$B$52,2)</f>
        <v>#N/A</v>
      </c>
      <c r="S1140" s="50">
        <v>1</v>
      </c>
      <c r="T1140" s="92"/>
      <c r="U1140" s="92"/>
      <c r="V1140" s="32"/>
      <c r="W1140" s="92"/>
      <c r="X1140" s="92"/>
      <c r="Y1140" s="92"/>
      <c r="Z1140" s="92"/>
      <c r="AA1140" s="92"/>
      <c r="AB1140" s="19"/>
      <c r="AC1140" s="105">
        <f t="shared" si="71"/>
        <v>0</v>
      </c>
    </row>
    <row r="1141" spans="1:29" x14ac:dyDescent="0.2">
      <c r="A1141" s="1" t="s">
        <v>138</v>
      </c>
      <c r="B1141" s="103">
        <f>IF(AND('AES Indiana Bill Calc.'!$D$17="HL2",'AES Indiana Bill Calc.'!$D$18="Yes 100%",'AES Indiana Bill Calc.'!$D$20="Yes 2026"),'AES Indiana Bill Calc.'!$D$19,-1)</f>
        <v>-1</v>
      </c>
      <c r="C1141" s="103">
        <f>MAX(E1141,$C$905)</f>
        <v>2000</v>
      </c>
      <c r="D1141" s="103" t="b">
        <f>IF(AND('AES Indiana Bill Calc.'!$D$17="HL2",'AES Indiana Bill Calc.'!$D$18="Yes 100%",'AES Indiana Bill Calc.'!$D$20="Yes 2025"),'AES Indiana Bill Calc.'!$D$22)</f>
        <v>0</v>
      </c>
      <c r="E1141" s="103" t="b">
        <f>IF(AND('AES Indiana Bill Calc.'!$D$17="HL2",'AES Indiana Bill Calc.'!$D$18="Yes 100%",'AES Indiana Bill Calc.'!$D$20="Yes 2025"),'AES Indiana Bill Calc.'!$D$21)</f>
        <v>0</v>
      </c>
      <c r="F1141" s="36" t="s">
        <v>395</v>
      </c>
      <c r="G1141" s="92" t="e">
        <f>SUM(J1141:M1141,R1141:AA1141)</f>
        <v>#N/A</v>
      </c>
      <c r="H1141" s="19" t="e">
        <f>IF(ISBLANK(B1141),0,+#REF!/B1141)</f>
        <v>#REF!</v>
      </c>
      <c r="J1141" s="109">
        <f t="shared" si="70"/>
        <v>215</v>
      </c>
      <c r="K1141" s="92">
        <f t="shared" si="66"/>
        <v>-0.04</v>
      </c>
      <c r="L1141" s="17">
        <f>IF(ISBLANK($C1141),0,IF($C1141&lt;$C$1037,ROUND($C$1037*$L$1036,2),IF($C1141&gt;L$1037,ROUND(L$1037*L$1036,2),ROUND($C1141*L$1036,2))))</f>
        <v>50000</v>
      </c>
      <c r="M1141" s="17">
        <f>IF($C1141&gt;L$1037,ROUND(($C1141-L$1037)*M$1036,2),0)</f>
        <v>0</v>
      </c>
      <c r="N1141" s="17">
        <f>K1141</f>
        <v>-0.04</v>
      </c>
      <c r="O1141" s="92"/>
      <c r="P1141" s="92"/>
      <c r="Q1141" s="17">
        <f>SUM(L1141:M1141)</f>
        <v>50000</v>
      </c>
      <c r="R1141" s="110" t="e">
        <f>ROUND(SUM(K1141:M1141)*(R1140-1),2)</f>
        <v>#N/A</v>
      </c>
      <c r="S1141" s="92">
        <f>ROUND($B1141*S$1036*S1140,2)</f>
        <v>0</v>
      </c>
      <c r="T1141" s="92">
        <f>ROUND($B1141*T$1036,2)</f>
        <v>0</v>
      </c>
      <c r="U1141" s="92">
        <f>ROUND($B1141*U$1036,2)</f>
        <v>0</v>
      </c>
      <c r="V1141" s="32">
        <f>ROUND($B1141*$V$1034,2)</f>
        <v>-0.01</v>
      </c>
      <c r="W1141" s="92">
        <f>ROUND($B1141*W$1036,2)</f>
        <v>0</v>
      </c>
      <c r="X1141" s="92">
        <f>ROUND($B1141*X$1036,2)</f>
        <v>-0.01</v>
      </c>
      <c r="Y1141" s="92">
        <f>ROUND($B1141*Y$1036,2)</f>
        <v>0</v>
      </c>
      <c r="Z1141" s="92">
        <f>ROUND($B1141*Z$1036,2)</f>
        <v>0</v>
      </c>
      <c r="AA1141" s="92">
        <f>ROUND($B1141*AA$1036,2)</f>
        <v>0</v>
      </c>
      <c r="AB1141" s="19">
        <f>SUM(U$1036:AA$1036)+(-V$1036+V1127)</f>
        <v>1.2243E-2</v>
      </c>
      <c r="AC1141" s="105" t="str">
        <f t="shared" si="71"/>
        <v>HL26</v>
      </c>
    </row>
    <row r="1142" spans="1:29" x14ac:dyDescent="0.2">
      <c r="A1142" s="9"/>
      <c r="B1142" s="103">
        <v>-1</v>
      </c>
      <c r="D1142" s="32"/>
      <c r="E1142" s="103"/>
      <c r="F1142" s="36"/>
      <c r="G1142" s="92"/>
      <c r="H1142" s="19" t="e">
        <f>IF(ISBLANK(B1142),0,+#REF!/B1142)</f>
        <v>#REF!</v>
      </c>
      <c r="J1142" s="109">
        <f t="shared" si="70"/>
        <v>215</v>
      </c>
      <c r="K1142" s="92">
        <f t="shared" si="66"/>
        <v>-0.04</v>
      </c>
      <c r="L1142" s="92">
        <f>IF(ISBLANK($E1142),0,IF($E1142&lt;$C$1037,ROUND($C$1037*$L$1036,2),IF($E1142&gt;L$1037,ROUND(L$1037*L$1036,2),ROUND($E1142*L$1036,2))))</f>
        <v>0</v>
      </c>
      <c r="M1142" s="92">
        <f>IF($E1142&gt;L$1037,ROUND(($E1142-L$1037)*M$1036,2),0)</f>
        <v>0</v>
      </c>
      <c r="N1142" s="92"/>
      <c r="O1142" s="92"/>
      <c r="P1142" s="92"/>
      <c r="Q1142" s="92"/>
      <c r="R1142" s="16" t="e">
        <f>VLOOKUP((D1143),'Pwr Factor'!$A$1:$B$52,2)</f>
        <v>#N/A</v>
      </c>
      <c r="S1142" s="50">
        <v>0.5</v>
      </c>
      <c r="T1142" s="92"/>
      <c r="U1142" s="92"/>
      <c r="V1142" s="32"/>
      <c r="W1142" s="92"/>
      <c r="X1142" s="92"/>
      <c r="Y1142" s="92"/>
      <c r="Z1142" s="92"/>
      <c r="AA1142" s="92"/>
      <c r="AB1142" s="19"/>
      <c r="AC1142" s="105">
        <f t="shared" si="71"/>
        <v>0</v>
      </c>
    </row>
    <row r="1143" spans="1:29" x14ac:dyDescent="0.2">
      <c r="A1143" s="1" t="s">
        <v>139</v>
      </c>
      <c r="B1143" s="103">
        <f>IF(AND('AES Indiana Bill Calc.'!$D$17="HL2",'AES Indiana Bill Calc.'!$D$18="Yes 50%",'AES Indiana Bill Calc.'!$D$20="Yes 2026"),'AES Indiana Bill Calc.'!$D$19,-1)</f>
        <v>-1</v>
      </c>
      <c r="C1143" s="103">
        <f>MAX(E1143,$C$905)</f>
        <v>2000</v>
      </c>
      <c r="D1143" s="103" t="b">
        <f>IF(AND('AES Indiana Bill Calc.'!$D$17="HL2",'AES Indiana Bill Calc.'!$D$18="Yes 50%",'AES Indiana Bill Calc.'!$D$20="Yes 2025"),'AES Indiana Bill Calc.'!$D$22)</f>
        <v>0</v>
      </c>
      <c r="E1143" s="103" t="b">
        <f>IF(AND('AES Indiana Bill Calc.'!$D$17="HL2",'AES Indiana Bill Calc.'!$D$18="Yes 50%",'AES Indiana Bill Calc.'!$D$20="Yes 2025"),'AES Indiana Bill Calc.'!$D$21)</f>
        <v>0</v>
      </c>
      <c r="F1143" s="36" t="s">
        <v>395</v>
      </c>
      <c r="G1143" s="92" t="e">
        <f>SUM(J1143:M1143,R1143:AA1143)</f>
        <v>#N/A</v>
      </c>
      <c r="H1143" s="19" t="e">
        <f>IF(ISBLANK(B1143),0,+#REF!/B1143)</f>
        <v>#REF!</v>
      </c>
      <c r="J1143" s="109">
        <f t="shared" ref="J1143:J1149" si="72">IF(ISBLANK(B1143),0,+J$1036)</f>
        <v>215</v>
      </c>
      <c r="K1143" s="92">
        <f t="shared" si="66"/>
        <v>-0.04</v>
      </c>
      <c r="L1143" s="17">
        <f>IF(ISBLANK($C1143),0,IF($C1143&lt;$C$1037,ROUND($C$1037*$L$1036,2),IF($C1143&gt;L$1037,ROUND(L$1037*L$1036,2),ROUND($C1143*L$1036,2))))</f>
        <v>50000</v>
      </c>
      <c r="M1143" s="17">
        <f>IF($C1143&gt;L$1037,ROUND(($C1143-L$1037)*M$1036,2),0)</f>
        <v>0</v>
      </c>
      <c r="N1143" s="17">
        <f>K1143</f>
        <v>-0.04</v>
      </c>
      <c r="O1143" s="92"/>
      <c r="P1143" s="92"/>
      <c r="Q1143" s="17">
        <f>SUM(L1143:M1143)</f>
        <v>50000</v>
      </c>
      <c r="R1143" s="110" t="e">
        <f>ROUND(SUM(K1143:M1143)*(R1142-1),2)</f>
        <v>#N/A</v>
      </c>
      <c r="S1143" s="92">
        <f>ROUND($B1143*S$1036*S1142,2)</f>
        <v>0</v>
      </c>
      <c r="T1143" s="92">
        <f>ROUND($B1143*T$1036,2)</f>
        <v>0</v>
      </c>
      <c r="U1143" s="92">
        <f>ROUND($B1143*U$1036,2)</f>
        <v>0</v>
      </c>
      <c r="V1143" s="32">
        <f>ROUND($B1143*$V$1034,2)</f>
        <v>-0.01</v>
      </c>
      <c r="W1143" s="92">
        <f>ROUND($B1143*W$1036,2)</f>
        <v>0</v>
      </c>
      <c r="X1143" s="92">
        <f>ROUND($B1143*X$1036,2)</f>
        <v>-0.01</v>
      </c>
      <c r="Y1143" s="92">
        <f>ROUND($B1143*Y$1036,2)</f>
        <v>0</v>
      </c>
      <c r="Z1143" s="92">
        <f>ROUND($B1143*Z$1036,2)</f>
        <v>0</v>
      </c>
      <c r="AA1143" s="92">
        <f>ROUND($B1143*AA$1036,2)</f>
        <v>0</v>
      </c>
      <c r="AB1143" s="19">
        <f>SUM(U$1036:AA$1036)+(-V$1036+V1129)</f>
        <v>1.2243E-2</v>
      </c>
      <c r="AC1143" s="105" t="str">
        <f t="shared" ref="AC1143:AC1149" si="73">+F1143</f>
        <v>HL26</v>
      </c>
    </row>
    <row r="1144" spans="1:29" x14ac:dyDescent="0.2">
      <c r="A1144" s="9"/>
      <c r="B1144" s="103">
        <v>-1</v>
      </c>
      <c r="D1144" s="32"/>
      <c r="E1144" s="103"/>
      <c r="F1144" s="36"/>
      <c r="G1144" s="92"/>
      <c r="H1144" s="19" t="e">
        <f>IF(ISBLANK(B1144),0,+#REF!/B1144)</f>
        <v>#REF!</v>
      </c>
      <c r="J1144" s="109">
        <f t="shared" si="72"/>
        <v>215</v>
      </c>
      <c r="K1144" s="92">
        <f t="shared" si="66"/>
        <v>-0.04</v>
      </c>
      <c r="L1144" s="92">
        <f>IF(ISBLANK($E1144),0,IF($E1144&lt;$C$1037,ROUND($C$1037*$L$1036,2),IF($E1144&gt;L$1037,ROUND(L$1037*L$1036,2),ROUND($E1144*L$1036,2))))</f>
        <v>0</v>
      </c>
      <c r="M1144" s="92">
        <f>IF($E1144&gt;L$1037,ROUND(($E1144-L$1037)*M$1036,2),0)</f>
        <v>0</v>
      </c>
      <c r="N1144" s="92"/>
      <c r="O1144" s="92"/>
      <c r="P1144" s="92"/>
      <c r="Q1144" s="92"/>
      <c r="R1144" s="16" t="e">
        <f>VLOOKUP((D1145),'Pwr Factor'!$A$1:$B$52,2)</f>
        <v>#N/A</v>
      </c>
      <c r="S1144" s="50">
        <v>0.25</v>
      </c>
      <c r="T1144" s="92"/>
      <c r="U1144" s="92"/>
      <c r="V1144" s="32"/>
      <c r="W1144" s="92"/>
      <c r="X1144" s="92"/>
      <c r="Y1144" s="92"/>
      <c r="Z1144" s="92"/>
      <c r="AA1144" s="92"/>
      <c r="AB1144" s="19"/>
      <c r="AC1144" s="105">
        <f t="shared" si="73"/>
        <v>0</v>
      </c>
    </row>
    <row r="1145" spans="1:29" x14ac:dyDescent="0.2">
      <c r="A1145" s="1" t="s">
        <v>140</v>
      </c>
      <c r="B1145" s="103">
        <f>IF(AND('AES Indiana Bill Calc.'!$D$17="HL2",'AES Indiana Bill Calc.'!$D$18="Yes 25%",'AES Indiana Bill Calc.'!$D$20="Yes 2026"),'AES Indiana Bill Calc.'!$D$19,-1)</f>
        <v>-1</v>
      </c>
      <c r="C1145" s="103">
        <f>MAX(E1145,$C$905)</f>
        <v>2000</v>
      </c>
      <c r="D1145" s="103" t="b">
        <f>IF(AND('AES Indiana Bill Calc.'!$D$17="HL2",'AES Indiana Bill Calc.'!$D$18="Yes 25%",'AES Indiana Bill Calc.'!$D$20="Yes 2025"),'AES Indiana Bill Calc.'!$D$22)</f>
        <v>0</v>
      </c>
      <c r="E1145" s="103" t="b">
        <f>IF(AND('AES Indiana Bill Calc.'!$D$17="HL2",'AES Indiana Bill Calc.'!$D$18="Yes 25%",'AES Indiana Bill Calc.'!$D$20="Yes 2025"),'AES Indiana Bill Calc.'!$D$21)</f>
        <v>0</v>
      </c>
      <c r="F1145" s="36" t="s">
        <v>395</v>
      </c>
      <c r="G1145" s="92" t="e">
        <f>SUM(J1145:M1145,R1145:AA1145)</f>
        <v>#N/A</v>
      </c>
      <c r="H1145" s="19" t="e">
        <f>IF(ISBLANK(B1145),0,+#REF!/B1145)</f>
        <v>#REF!</v>
      </c>
      <c r="J1145" s="109">
        <f t="shared" si="72"/>
        <v>215</v>
      </c>
      <c r="K1145" s="92">
        <f t="shared" si="66"/>
        <v>-0.04</v>
      </c>
      <c r="L1145" s="17">
        <f>IF(ISBLANK($C1145),0,IF($C1145&lt;$C$1037,ROUND($C$1037*$L$1036,2),IF($C1145&gt;L$1037,ROUND(L$1037*L$1036,2),ROUND($C1145*L$1036,2))))</f>
        <v>50000</v>
      </c>
      <c r="M1145" s="17">
        <f>IF($C1145&gt;L$1037,ROUND(($C1145-L$1037)*M$1036,2),0)</f>
        <v>0</v>
      </c>
      <c r="N1145" s="17">
        <f>K1145</f>
        <v>-0.04</v>
      </c>
      <c r="O1145" s="92"/>
      <c r="P1145" s="92"/>
      <c r="Q1145" s="17">
        <f>SUM(L1145:M1145)</f>
        <v>50000</v>
      </c>
      <c r="R1145" s="110" t="e">
        <f>ROUND(SUM(K1145:M1145)*(R1144-1),2)</f>
        <v>#N/A</v>
      </c>
      <c r="S1145" s="92">
        <f>ROUND($B1145*S$1036*S1144,2)</f>
        <v>0</v>
      </c>
      <c r="T1145" s="92">
        <f>ROUND($B1145*T$1036,2)</f>
        <v>0</v>
      </c>
      <c r="U1145" s="92">
        <f>ROUND($B1145*U$1036,2)</f>
        <v>0</v>
      </c>
      <c r="V1145" s="32">
        <f>ROUND($B1145*$V$1034,2)</f>
        <v>-0.01</v>
      </c>
      <c r="W1145" s="92">
        <f>ROUND($B1145*W$1036,2)</f>
        <v>0</v>
      </c>
      <c r="X1145" s="92">
        <f>ROUND($B1145*X$1036,2)</f>
        <v>-0.01</v>
      </c>
      <c r="Y1145" s="92">
        <f>ROUND($B1145*Y$1036,2)</f>
        <v>0</v>
      </c>
      <c r="Z1145" s="92">
        <f>ROUND($B1145*Z$1036,2)</f>
        <v>0</v>
      </c>
      <c r="AA1145" s="92">
        <f>ROUND($B1145*AA$1036,2)</f>
        <v>0</v>
      </c>
      <c r="AB1145" s="19">
        <f>SUM(U$1036:AA$1036)+(-V$1036+V1131)</f>
        <v>2.2429999999999985E-3</v>
      </c>
      <c r="AC1145" s="105" t="str">
        <f t="shared" si="73"/>
        <v>HL26</v>
      </c>
    </row>
    <row r="1146" spans="1:29" x14ac:dyDescent="0.2">
      <c r="A1146" s="9"/>
      <c r="B1146" s="103">
        <v>-1</v>
      </c>
      <c r="D1146" s="32"/>
      <c r="E1146" s="103"/>
      <c r="F1146" s="36"/>
      <c r="G1146" s="92"/>
      <c r="H1146" s="19" t="e">
        <f>IF(ISBLANK(B1146),0,+#REF!/B1146)</f>
        <v>#REF!</v>
      </c>
      <c r="J1146" s="109">
        <f t="shared" si="72"/>
        <v>215</v>
      </c>
      <c r="K1146" s="92">
        <f t="shared" si="66"/>
        <v>-0.04</v>
      </c>
      <c r="L1146" s="92">
        <f>IF(ISBLANK($E1146),0,IF($E1146&lt;$C$1037,ROUND($C$1037*$L$1036,2),IF($E1146&gt;L$1037,ROUND(L$1037*L$1036,2),ROUND($E1146*L$1036,2))))</f>
        <v>0</v>
      </c>
      <c r="M1146" s="92">
        <f>IF($E1146&gt;L$1037,ROUND(($E1146-L$1037)*M$1036,2),0)</f>
        <v>0</v>
      </c>
      <c r="N1146" s="92"/>
      <c r="O1146" s="92"/>
      <c r="P1146" s="92"/>
      <c r="Q1146" s="92"/>
      <c r="R1146" s="16" t="e">
        <f>VLOOKUP((D1147),'Pwr Factor'!$A$1:$B$52,2)</f>
        <v>#N/A</v>
      </c>
      <c r="S1146" s="50">
        <v>0.1</v>
      </c>
      <c r="T1146" s="92"/>
      <c r="U1146" s="92"/>
      <c r="V1146" s="32"/>
      <c r="W1146" s="92"/>
      <c r="X1146" s="92"/>
      <c r="Y1146" s="92"/>
      <c r="Z1146" s="92"/>
      <c r="AA1146" s="92"/>
      <c r="AB1146" s="19"/>
      <c r="AC1146" s="105">
        <f t="shared" si="73"/>
        <v>0</v>
      </c>
    </row>
    <row r="1147" spans="1:29" x14ac:dyDescent="0.2">
      <c r="A1147" s="1" t="s">
        <v>154</v>
      </c>
      <c r="B1147" s="103">
        <f>IF(AND('AES Indiana Bill Calc.'!$D$17="HL2",'AES Indiana Bill Calc.'!$D$18="Yes 10%",'AES Indiana Bill Calc.'!$D$20="Yes 2026"),'AES Indiana Bill Calc.'!$D$19,-1)</f>
        <v>-1</v>
      </c>
      <c r="C1147" s="103">
        <f>MAX(E1147,$C$905)</f>
        <v>2000</v>
      </c>
      <c r="D1147" s="103" t="b">
        <f>IF(AND('AES Indiana Bill Calc.'!$D$17="HL2",'AES Indiana Bill Calc.'!$D$18="Yes 10%",'AES Indiana Bill Calc.'!$D$20="Yes 2025"),'AES Indiana Bill Calc.'!$D$22)</f>
        <v>0</v>
      </c>
      <c r="E1147" s="103" t="b">
        <f>IF(AND('AES Indiana Bill Calc.'!$D$17="HL2",'AES Indiana Bill Calc.'!$D$18="Yes 10%",'AES Indiana Bill Calc.'!$D$20="Yes 2025"),'AES Indiana Bill Calc.'!$D$21)</f>
        <v>0</v>
      </c>
      <c r="F1147" s="36" t="s">
        <v>395</v>
      </c>
      <c r="G1147" s="92" t="e">
        <f>SUM(J1147:M1147,R1147:AA1147)</f>
        <v>#N/A</v>
      </c>
      <c r="H1147" s="19" t="e">
        <f>IF(ISBLANK(B1147),0,+#REF!/B1147)</f>
        <v>#REF!</v>
      </c>
      <c r="J1147" s="109">
        <f t="shared" si="72"/>
        <v>215</v>
      </c>
      <c r="K1147" s="92">
        <f t="shared" si="66"/>
        <v>-0.04</v>
      </c>
      <c r="L1147" s="17">
        <f>IF(ISBLANK($C1147),0,IF($C1147&lt;$C$1037,ROUND($C$1037*$L$1036,2),IF($C1147&gt;L$1037,ROUND(L$1037*L$1036,2),ROUND($C1147*L$1036,2))))</f>
        <v>50000</v>
      </c>
      <c r="M1147" s="17">
        <f>IF($C1147&gt;L$1037,ROUND(($C1147-L$1037)*M$1036,2),0)</f>
        <v>0</v>
      </c>
      <c r="N1147" s="17">
        <f>K1147</f>
        <v>-0.04</v>
      </c>
      <c r="O1147" s="92"/>
      <c r="P1147" s="92"/>
      <c r="Q1147" s="17">
        <f>SUM(L1147:M1147)</f>
        <v>50000</v>
      </c>
      <c r="R1147" s="110" t="e">
        <f>ROUND(SUM(K1147:M1147)*(R1146-1),2)</f>
        <v>#N/A</v>
      </c>
      <c r="S1147" s="92">
        <f>ROUND($B1147*S$1036*S1146,2)</f>
        <v>0</v>
      </c>
      <c r="T1147" s="92">
        <f>ROUND($B1147*T$1036,2)</f>
        <v>0</v>
      </c>
      <c r="U1147" s="92">
        <f>ROUND($B1147*U$1036,2)</f>
        <v>0</v>
      </c>
      <c r="V1147" s="32">
        <f>ROUND($B1147*$V$1034,2)</f>
        <v>-0.01</v>
      </c>
      <c r="W1147" s="92">
        <f>ROUND($B1147*W$1036,2)</f>
        <v>0</v>
      </c>
      <c r="X1147" s="92">
        <f>ROUND($B1147*X$1036,2)</f>
        <v>-0.01</v>
      </c>
      <c r="Y1147" s="92">
        <f>ROUND($B1147*Y$1036,2)</f>
        <v>0</v>
      </c>
      <c r="Z1147" s="92">
        <f>ROUND($B1147*Z$1036,2)</f>
        <v>0</v>
      </c>
      <c r="AA1147" s="92">
        <f>ROUND($B1147*AA$1036,2)</f>
        <v>0</v>
      </c>
      <c r="AB1147" s="19">
        <f>SUM(U$1036:AA$1036)+(-V$1036+V1133)</f>
        <v>2.2429999999999985E-3</v>
      </c>
      <c r="AC1147" s="105" t="str">
        <f t="shared" si="73"/>
        <v>HL26</v>
      </c>
    </row>
    <row r="1148" spans="1:29" x14ac:dyDescent="0.2">
      <c r="A1148" s="9"/>
      <c r="B1148" s="103">
        <v>-1</v>
      </c>
      <c r="D1148" s="32"/>
      <c r="E1148" s="103"/>
      <c r="F1148" s="36"/>
      <c r="G1148" s="92"/>
      <c r="H1148" s="19" t="e">
        <f>IF(ISBLANK(B1148),0,+#REF!/B1148)</f>
        <v>#REF!</v>
      </c>
      <c r="J1148" s="109">
        <f t="shared" si="72"/>
        <v>215</v>
      </c>
      <c r="K1148" s="92">
        <f t="shared" si="66"/>
        <v>-0.04</v>
      </c>
      <c r="L1148" s="92">
        <f>IF(ISBLANK($E1148),0,IF($E1148&lt;$C$1037,ROUND($C$1037*$L$1036,2),IF($E1148&gt;L$1037,ROUND(L$1037*L$1036,2),ROUND($E1148*L$1036,2))))</f>
        <v>0</v>
      </c>
      <c r="M1148" s="92">
        <f>IF($E1148&gt;L$1037,ROUND(($E1148-L$1037)*M$1036,2),0)</f>
        <v>0</v>
      </c>
      <c r="N1148" s="92"/>
      <c r="O1148" s="92"/>
      <c r="P1148" s="92"/>
      <c r="Q1148" s="92"/>
      <c r="R1148" s="16" t="e">
        <f>VLOOKUP((D1149),'Pwr Factor'!$A$1:$B$52,2)</f>
        <v>#N/A</v>
      </c>
      <c r="S1148" s="50">
        <v>0</v>
      </c>
      <c r="T1148" s="92"/>
      <c r="U1148" s="92"/>
      <c r="V1148" s="32"/>
      <c r="W1148" s="92"/>
      <c r="X1148" s="92"/>
      <c r="Y1148" s="92"/>
      <c r="Z1148" s="92"/>
      <c r="AA1148" s="92"/>
      <c r="AB1148" s="19"/>
      <c r="AC1148" s="105">
        <f t="shared" si="73"/>
        <v>0</v>
      </c>
    </row>
    <row r="1149" spans="1:29" x14ac:dyDescent="0.2">
      <c r="A1149" s="1" t="s">
        <v>137</v>
      </c>
      <c r="B1149" s="103">
        <f>IF(AND('AES Indiana Bill Calc.'!$D$17="HL2",'AES Indiana Bill Calc.'!$D$18="No",'AES Indiana Bill Calc.'!$D$20="Yes 2026"),'AES Indiana Bill Calc.'!$D$19,-1)</f>
        <v>-1</v>
      </c>
      <c r="C1149" s="103">
        <f>MAX(E1149,$C$905)</f>
        <v>2000</v>
      </c>
      <c r="D1149" s="103" t="b">
        <f>IF(AND('AES Indiana Bill Calc.'!$D$17="HL2",'AES Indiana Bill Calc.'!$D$18="No",'AES Indiana Bill Calc.'!$D$20="Yes 2025"),'AES Indiana Bill Calc.'!$D$22)</f>
        <v>0</v>
      </c>
      <c r="E1149" s="103" t="b">
        <f>IF(AND('AES Indiana Bill Calc.'!$D$17="HL2",'AES Indiana Bill Calc.'!$D$18="No",'AES Indiana Bill Calc.'!$D$20="Yes 2025"),'AES Indiana Bill Calc.'!$D$21)</f>
        <v>0</v>
      </c>
      <c r="F1149" s="36" t="s">
        <v>395</v>
      </c>
      <c r="G1149" s="92" t="e">
        <f>SUM(J1149:M1149,R1149:AA1149)</f>
        <v>#N/A</v>
      </c>
      <c r="H1149" s="19" t="e">
        <f>IF(ISBLANK(B1149),0,+#REF!/B1149)</f>
        <v>#REF!</v>
      </c>
      <c r="J1149" s="109">
        <f t="shared" si="72"/>
        <v>215</v>
      </c>
      <c r="K1149" s="92">
        <f t="shared" si="66"/>
        <v>-0.04</v>
      </c>
      <c r="L1149" s="17">
        <f>IF(ISBLANK($C1149),0,IF($C1149&lt;$C$1037,ROUND($C$1037*$L$1036,2),IF($C1149&gt;L$1037,ROUND(L$1037*L$1036,2),ROUND($C1149*L$1036,2))))</f>
        <v>50000</v>
      </c>
      <c r="M1149" s="17">
        <f>IF($C1149&gt;L$1037,ROUND(($C1149-L$1037)*M$1036,2),0)</f>
        <v>0</v>
      </c>
      <c r="N1149" s="17">
        <f>K1149</f>
        <v>-0.04</v>
      </c>
      <c r="O1149" s="92"/>
      <c r="P1149" s="92"/>
      <c r="Q1149" s="17">
        <f>SUM(L1149:M1149)</f>
        <v>50000</v>
      </c>
      <c r="R1149" s="110" t="e">
        <f>ROUND(SUM(K1149:M1149)*(R1148-1),2)</f>
        <v>#N/A</v>
      </c>
      <c r="S1149" s="92">
        <f>ROUND($B1149*S$1036*S1148,2)</f>
        <v>0</v>
      </c>
      <c r="T1149" s="92">
        <f>ROUND($B1149*T$1036,2)</f>
        <v>0</v>
      </c>
      <c r="U1149" s="92">
        <f>ROUND($B1149*U$1036,2)</f>
        <v>0</v>
      </c>
      <c r="V1149" s="32">
        <f>ROUND($B1149*$V$1034,2)</f>
        <v>-0.01</v>
      </c>
      <c r="W1149" s="92">
        <f>ROUND($B1149*W$1036,2)</f>
        <v>0</v>
      </c>
      <c r="X1149" s="92">
        <f>ROUND($B1149*X$1036,2)</f>
        <v>-0.01</v>
      </c>
      <c r="Y1149" s="92">
        <f>ROUND($B1149*Y$1036,2)</f>
        <v>0</v>
      </c>
      <c r="Z1149" s="92">
        <f>ROUND($B1149*Z$1036,2)</f>
        <v>0</v>
      </c>
      <c r="AA1149" s="92">
        <f>ROUND($B1149*AA$1036,2)</f>
        <v>0</v>
      </c>
      <c r="AB1149" s="19">
        <f>SUM(U$1036:AA$1036)+(-V$1036+V1135)</f>
        <v>2.2429999999999985E-3</v>
      </c>
      <c r="AC1149" s="105" t="str">
        <f t="shared" si="73"/>
        <v>HL26</v>
      </c>
    </row>
    <row r="1150" spans="1:29" x14ac:dyDescent="0.2">
      <c r="B1150" s="103">
        <v>-1</v>
      </c>
      <c r="C1150" s="9"/>
      <c r="D1150" s="8"/>
      <c r="X1150" s="6"/>
      <c r="Y1150" s="6"/>
      <c r="Z1150" s="6"/>
      <c r="AA1150" s="6"/>
      <c r="AB1150" s="19"/>
    </row>
    <row r="1151" spans="1:29" x14ac:dyDescent="0.2">
      <c r="B1151" s="103">
        <v>-1</v>
      </c>
      <c r="C1151" s="9"/>
      <c r="D1151" s="8"/>
      <c r="L1151" t="s">
        <v>183</v>
      </c>
      <c r="M1151" t="s">
        <v>183</v>
      </c>
      <c r="S1151" s="6"/>
      <c r="T1151" s="6"/>
      <c r="U1151" s="6"/>
      <c r="V1151" s="19">
        <f>+T8</f>
        <v>0</v>
      </c>
      <c r="W1151" s="6" t="s">
        <v>148</v>
      </c>
      <c r="AB1151" s="19" t="e">
        <f>+AB$1162-V$1162+#REF!</f>
        <v>#REF!</v>
      </c>
    </row>
    <row r="1152" spans="1:29" x14ac:dyDescent="0.2">
      <c r="B1152" s="103">
        <v>-1</v>
      </c>
      <c r="C1152" s="9"/>
      <c r="D1152" s="8"/>
      <c r="S1152" s="6"/>
      <c r="T1152" s="6"/>
      <c r="U1152" s="6"/>
      <c r="V1152" s="19">
        <f>+T13</f>
        <v>0</v>
      </c>
      <c r="W1152" s="6" t="s">
        <v>145</v>
      </c>
      <c r="AB1152" s="19" t="e">
        <f>+AB$1162-V$1162+#REF!</f>
        <v>#REF!</v>
      </c>
    </row>
    <row r="1153" spans="1:29" x14ac:dyDescent="0.2">
      <c r="B1153" s="103">
        <v>-1</v>
      </c>
      <c r="C1153" s="9"/>
      <c r="D1153" s="8"/>
      <c r="S1153" s="6"/>
      <c r="T1153" s="6"/>
      <c r="U1153" s="6"/>
      <c r="V1153" s="19">
        <f>T16</f>
        <v>0</v>
      </c>
      <c r="W1153" s="6" t="s">
        <v>146</v>
      </c>
      <c r="AB1153" s="19"/>
    </row>
    <row r="1154" spans="1:29" x14ac:dyDescent="0.2">
      <c r="B1154" s="103">
        <v>-1</v>
      </c>
      <c r="C1154" s="9"/>
      <c r="D1154" s="8"/>
      <c r="S1154" s="6"/>
      <c r="T1154" s="6"/>
      <c r="U1154" s="6"/>
      <c r="V1154" s="27">
        <f>$T$19</f>
        <v>0</v>
      </c>
      <c r="W1154" s="6" t="s">
        <v>147</v>
      </c>
      <c r="AB1154" s="19"/>
    </row>
    <row r="1155" spans="1:29" x14ac:dyDescent="0.2">
      <c r="B1155" s="103">
        <v>-1</v>
      </c>
      <c r="C1155" s="9"/>
      <c r="D1155" s="8"/>
      <c r="S1155" s="6"/>
      <c r="T1155" s="6"/>
      <c r="U1155" s="6"/>
      <c r="V1155" s="27">
        <f>$T$21</f>
        <v>0</v>
      </c>
      <c r="W1155" s="6" t="s">
        <v>148</v>
      </c>
      <c r="AB1155" s="19"/>
    </row>
    <row r="1156" spans="1:29" x14ac:dyDescent="0.2">
      <c r="B1156" s="103">
        <v>-1</v>
      </c>
      <c r="C1156" s="9"/>
      <c r="D1156" s="8"/>
      <c r="S1156" s="6"/>
      <c r="T1156" s="6"/>
      <c r="U1156" s="6"/>
      <c r="V1156" s="27">
        <f>$T$23</f>
        <v>-4.0299999999999998E-4</v>
      </c>
      <c r="W1156" s="6" t="s">
        <v>149</v>
      </c>
      <c r="AB1156" s="19"/>
    </row>
    <row r="1157" spans="1:29" x14ac:dyDescent="0.2">
      <c r="B1157" s="103">
        <v>-1</v>
      </c>
      <c r="C1157" s="9"/>
      <c r="D1157" s="8"/>
      <c r="S1157" s="6"/>
      <c r="T1157" s="6"/>
      <c r="U1157" s="6"/>
      <c r="V1157" s="27">
        <f>$T$25</f>
        <v>0</v>
      </c>
      <c r="W1157" s="6" t="s">
        <v>150</v>
      </c>
      <c r="AB1157" s="19"/>
    </row>
    <row r="1158" spans="1:29" x14ac:dyDescent="0.2">
      <c r="B1158" s="103">
        <v>-1</v>
      </c>
      <c r="C1158" s="9"/>
      <c r="D1158" s="8"/>
      <c r="S1158" s="6"/>
      <c r="T1158" s="6"/>
      <c r="U1158" s="6"/>
      <c r="V1158" s="19">
        <f>T27</f>
        <v>0</v>
      </c>
      <c r="W1158" s="6" t="s">
        <v>151</v>
      </c>
      <c r="AB1158" s="19"/>
    </row>
    <row r="1159" spans="1:29" x14ac:dyDescent="0.2">
      <c r="B1159" s="103">
        <v>-1</v>
      </c>
      <c r="C1159" s="9"/>
      <c r="D1159" s="8"/>
      <c r="S1159" s="6"/>
      <c r="T1159" s="6"/>
      <c r="U1159" s="6"/>
      <c r="V1159" s="19">
        <f>T29</f>
        <v>3.3769999999999998E-3</v>
      </c>
      <c r="W1159" s="6" t="s">
        <v>285</v>
      </c>
      <c r="AB1159" s="19"/>
    </row>
    <row r="1160" spans="1:29" x14ac:dyDescent="0.2">
      <c r="B1160" s="103">
        <v>-1</v>
      </c>
      <c r="C1160" s="9"/>
      <c r="D1160" s="8"/>
      <c r="S1160" s="6"/>
      <c r="T1160" s="6"/>
      <c r="U1160" s="6"/>
      <c r="V1160" s="19">
        <f>T31</f>
        <v>7.6290000000000004E-3</v>
      </c>
      <c r="W1160" s="6" t="s">
        <v>162</v>
      </c>
      <c r="AB1160" s="19"/>
    </row>
    <row r="1161" spans="1:29" x14ac:dyDescent="0.2">
      <c r="B1161" s="103"/>
      <c r="C1161" s="9"/>
      <c r="D1161" s="8"/>
      <c r="S1161" s="6"/>
      <c r="T1161" s="6"/>
      <c r="U1161" s="6"/>
      <c r="V1161" s="19">
        <f>V1035</f>
        <v>9.0039999999999999E-3</v>
      </c>
      <c r="W1161" s="6" t="s">
        <v>144</v>
      </c>
      <c r="AB1161" s="19"/>
    </row>
    <row r="1162" spans="1:29" x14ac:dyDescent="0.2">
      <c r="B1162" s="103">
        <v>-1</v>
      </c>
      <c r="C1162" s="9"/>
      <c r="D1162" s="8"/>
      <c r="F1162" s="70"/>
      <c r="G1162" s="70"/>
      <c r="H1162" s="70"/>
      <c r="I1162" s="70"/>
      <c r="J1162" s="157">
        <v>500</v>
      </c>
      <c r="K1162" s="158">
        <v>3.9872999999999999E-2</v>
      </c>
      <c r="L1162" s="157">
        <v>24.09</v>
      </c>
      <c r="M1162" s="157">
        <v>24.09</v>
      </c>
      <c r="N1162" s="72"/>
      <c r="O1162" s="72"/>
      <c r="P1162" s="72"/>
      <c r="Q1162" s="72"/>
      <c r="R1162" s="5"/>
      <c r="S1162" s="27">
        <f>+S909</f>
        <v>1.8E-3</v>
      </c>
      <c r="T1162" s="27">
        <f>+T909</f>
        <v>2.3900000000000001E-4</v>
      </c>
      <c r="U1162" s="27">
        <f>+$S$34</f>
        <v>1.6930000000000001E-3</v>
      </c>
      <c r="V1162" s="27">
        <f t="shared" ref="V1162:AA1162" si="74">+V909</f>
        <v>1.5089999999999999E-2</v>
      </c>
      <c r="W1162" s="27">
        <f t="shared" si="74"/>
        <v>0</v>
      </c>
      <c r="X1162" s="27">
        <f t="shared" si="74"/>
        <v>7.084E-3</v>
      </c>
      <c r="Y1162" s="27">
        <f t="shared" si="74"/>
        <v>-2.5599999999999999E-4</v>
      </c>
      <c r="Z1162" s="27">
        <f t="shared" si="74"/>
        <v>3.1589999999999999E-3</v>
      </c>
      <c r="AA1162" s="27">
        <f t="shared" si="74"/>
        <v>5.6300000000000002E-4</v>
      </c>
      <c r="AB1162" s="19">
        <f>SUM(U1162:Z1162)</f>
        <v>2.6769999999999999E-2</v>
      </c>
    </row>
    <row r="1163" spans="1:29" x14ac:dyDescent="0.2">
      <c r="A1163" s="1"/>
      <c r="B1163" s="103">
        <v>-1</v>
      </c>
      <c r="C1163" s="9"/>
      <c r="D1163" s="8"/>
      <c r="F1163" s="70"/>
      <c r="G1163" s="70"/>
      <c r="H1163" s="70"/>
      <c r="I1163" s="70"/>
      <c r="J1163" s="70"/>
      <c r="K1163" s="70"/>
      <c r="L1163" s="73">
        <v>4000</v>
      </c>
      <c r="M1163" s="70"/>
      <c r="N1163" s="70"/>
      <c r="O1163" s="70"/>
      <c r="P1163" s="70"/>
      <c r="Q1163" s="70"/>
    </row>
    <row r="1164" spans="1:29" x14ac:dyDescent="0.2">
      <c r="B1164" s="103">
        <v>-1</v>
      </c>
      <c r="C1164" s="9"/>
      <c r="D1164" s="8"/>
      <c r="F1164" s="12"/>
      <c r="J1164" s="12" t="s">
        <v>127</v>
      </c>
      <c r="K1164" s="12" t="s">
        <v>187</v>
      </c>
      <c r="L1164" s="254" t="s">
        <v>30</v>
      </c>
      <c r="M1164" s="254"/>
      <c r="N1164" s="12"/>
      <c r="O1164" s="12"/>
      <c r="P1164" s="12"/>
      <c r="Q1164" s="140" t="s">
        <v>163</v>
      </c>
      <c r="R1164" s="12" t="s">
        <v>186</v>
      </c>
      <c r="S1164" s="12">
        <v>21</v>
      </c>
      <c r="T1164" s="12">
        <v>6</v>
      </c>
      <c r="U1164" s="12">
        <v>3</v>
      </c>
      <c r="V1164" s="12">
        <v>22</v>
      </c>
      <c r="W1164" s="12">
        <v>13</v>
      </c>
      <c r="X1164" s="12">
        <v>20</v>
      </c>
      <c r="Y1164" s="12">
        <v>24</v>
      </c>
      <c r="Z1164" s="12">
        <v>25</v>
      </c>
      <c r="AA1164" s="12">
        <v>26</v>
      </c>
    </row>
    <row r="1165" spans="1:29" x14ac:dyDescent="0.2">
      <c r="A1165" s="13"/>
      <c r="B1165" s="103">
        <v>-1</v>
      </c>
      <c r="C1165" s="99" t="s">
        <v>199</v>
      </c>
      <c r="D1165" s="100" t="s">
        <v>200</v>
      </c>
      <c r="E1165" s="130" t="s">
        <v>189</v>
      </c>
      <c r="F1165" s="13" t="s">
        <v>131</v>
      </c>
      <c r="G1165" s="13" t="s">
        <v>132</v>
      </c>
      <c r="H1165" s="13" t="s">
        <v>133</v>
      </c>
      <c r="J1165" s="13" t="s">
        <v>134</v>
      </c>
      <c r="K1165" s="13" t="s">
        <v>134</v>
      </c>
      <c r="L1165" s="13" t="s">
        <v>222</v>
      </c>
      <c r="M1165" s="13" t="s">
        <v>223</v>
      </c>
      <c r="N1165" s="140" t="s">
        <v>128</v>
      </c>
      <c r="O1165" s="13"/>
      <c r="P1165" s="13"/>
      <c r="Q1165" s="13"/>
      <c r="R1165" s="13" t="s">
        <v>191</v>
      </c>
      <c r="S1165" s="13" t="s">
        <v>96</v>
      </c>
      <c r="T1165" s="13" t="s">
        <v>36</v>
      </c>
      <c r="U1165" s="136" t="s">
        <v>38</v>
      </c>
      <c r="V1165" s="13" t="s">
        <v>97</v>
      </c>
      <c r="W1165" s="13" t="s">
        <v>98</v>
      </c>
      <c r="X1165" s="13" t="s">
        <v>99</v>
      </c>
      <c r="Y1165" s="136" t="s">
        <v>44</v>
      </c>
      <c r="Z1165" s="136" t="s">
        <v>46</v>
      </c>
      <c r="AA1165" s="136" t="s">
        <v>48</v>
      </c>
      <c r="AB1165" s="66" t="s">
        <v>100</v>
      </c>
    </row>
    <row r="1166" spans="1:29" x14ac:dyDescent="0.2">
      <c r="A1166" s="48"/>
      <c r="B1166" s="103">
        <v>-1</v>
      </c>
      <c r="D1166" s="8"/>
      <c r="E1166" s="9"/>
      <c r="F1166" s="36"/>
      <c r="G1166" s="12"/>
      <c r="H1166" s="12"/>
      <c r="J1166" s="12"/>
      <c r="K1166" s="12"/>
      <c r="L1166" s="12"/>
      <c r="M1166" s="12"/>
      <c r="N1166" s="12"/>
      <c r="O1166" s="12"/>
      <c r="P1166" s="12"/>
      <c r="Q1166" s="12"/>
      <c r="R1166" s="38" t="e">
        <f>VLOOKUP((D1167),'Pwr Factor'!$A$1:$B$52,2)</f>
        <v>#N/A</v>
      </c>
      <c r="S1166" s="50">
        <v>1</v>
      </c>
      <c r="T1166" s="12"/>
      <c r="U1166" s="12"/>
      <c r="V1166" s="12"/>
      <c r="W1166" s="12"/>
      <c r="X1166" s="12"/>
      <c r="Y1166" s="12"/>
      <c r="Z1166" s="12"/>
      <c r="AA1166" s="12"/>
    </row>
    <row r="1167" spans="1:29" x14ac:dyDescent="0.2">
      <c r="A1167" s="1" t="s">
        <v>138</v>
      </c>
      <c r="B1167" s="103">
        <f>IF(AND('AES Indiana Bill Calc.'!$D$17="HL3",'AES Indiana Bill Calc.'!$D$18="Yes 100%",'AES Indiana Bill Calc.'!$D$20="No"),'AES Indiana Bill Calc.'!$D$19,-1)</f>
        <v>-1</v>
      </c>
      <c r="C1167" s="103">
        <f>MAX(E1167,$C$905)</f>
        <v>2000</v>
      </c>
      <c r="D1167" s="103" t="b">
        <f>IF(AND('AES Indiana Bill Calc.'!$D$17="HL3",'AES Indiana Bill Calc.'!$D$18="Yes 100%",'AES Indiana Bill Calc.'!$D$20="No"),'AES Indiana Bill Calc.'!$D$22)</f>
        <v>0</v>
      </c>
      <c r="E1167" s="103" t="b">
        <f>IF(AND('AES Indiana Bill Calc.'!$D$17="HL3",'AES Indiana Bill Calc.'!$D$18="Yes 100%",'AES Indiana Bill Calc.'!$D$20="No"),'AES Indiana Bill Calc.'!$D$21)</f>
        <v>0</v>
      </c>
      <c r="F1167" s="36" t="s">
        <v>69</v>
      </c>
      <c r="G1167" s="92" t="e">
        <f>SUM(J1167:M1167,R1167:AA1167)</f>
        <v>#N/A</v>
      </c>
      <c r="H1167" s="19" t="e">
        <f>IF(ISBLANK(B1167),0,+#REF!/B1167)</f>
        <v>#REF!</v>
      </c>
      <c r="J1167" s="51">
        <f>IF(ISBLANK(B1167),0,+J$1162)</f>
        <v>500</v>
      </c>
      <c r="K1167" s="17">
        <f>ROUND($B1167*K$1162,2)</f>
        <v>-0.04</v>
      </c>
      <c r="L1167" s="17">
        <f>IF(ISBLANK($C1167),0,IF($C1167&lt;$C$1163,ROUND($C$1163*$L$1162,2),IF($C1167&gt;L$1163,ROUND(L$1163*L$1162,2),ROUND($C1167*L$1162,2))))</f>
        <v>48180</v>
      </c>
      <c r="M1167" s="17">
        <f>IF($C1167&gt;L$1163,ROUND(($C1167-L$1163)*M$1162,2),0)</f>
        <v>0</v>
      </c>
      <c r="N1167" s="17">
        <f>K1167</f>
        <v>-0.04</v>
      </c>
      <c r="O1167" s="17"/>
      <c r="P1167" s="17"/>
      <c r="Q1167" s="17">
        <f>SUM(L1167:M1167)</f>
        <v>48180</v>
      </c>
      <c r="R1167" s="16" t="e">
        <f>ROUND(SUM(K1167:M1167)*(R1166-1),2)</f>
        <v>#N/A</v>
      </c>
      <c r="S1167" s="17">
        <f>ROUND($B1167*S$1162*S1166,2)</f>
        <v>0</v>
      </c>
      <c r="T1167" s="17">
        <f t="shared" ref="T1167:AA1167" si="75">ROUND($B1167*T$1162,2)</f>
        <v>0</v>
      </c>
      <c r="U1167" s="17">
        <f t="shared" si="75"/>
        <v>0</v>
      </c>
      <c r="V1167" s="8">
        <f t="shared" si="75"/>
        <v>-0.02</v>
      </c>
      <c r="W1167" s="17">
        <f t="shared" si="75"/>
        <v>0</v>
      </c>
      <c r="X1167" s="17">
        <f t="shared" si="75"/>
        <v>-0.01</v>
      </c>
      <c r="Y1167" s="17">
        <f t="shared" si="75"/>
        <v>0</v>
      </c>
      <c r="Z1167" s="17">
        <f t="shared" si="75"/>
        <v>0</v>
      </c>
      <c r="AA1167" s="17">
        <f t="shared" si="75"/>
        <v>0</v>
      </c>
      <c r="AB1167" s="19">
        <f>SUM(U$1162:AA$1162)+(-V$1162+V1108)</f>
        <v>1.2243E-2</v>
      </c>
      <c r="AC1167" s="67" t="str">
        <f>+F1167</f>
        <v>HL3</v>
      </c>
    </row>
    <row r="1168" spans="1:29" x14ac:dyDescent="0.2">
      <c r="A1168" s="9"/>
      <c r="B1168" s="103">
        <v>-1</v>
      </c>
      <c r="D1168" s="8"/>
      <c r="E1168" s="9"/>
      <c r="F1168" s="36"/>
      <c r="G1168" s="12"/>
      <c r="H1168" s="12"/>
      <c r="J1168" s="12"/>
      <c r="K1168" s="12"/>
      <c r="L1168" s="12"/>
      <c r="M1168" s="12"/>
      <c r="N1168" s="12"/>
      <c r="O1168" s="12"/>
      <c r="P1168" s="12"/>
      <c r="Q1168" s="12"/>
      <c r="R1168" s="38" t="e">
        <f>VLOOKUP((D1169),'Pwr Factor'!$A$1:$B$52,2)</f>
        <v>#N/A</v>
      </c>
      <c r="S1168" s="50">
        <v>0.5</v>
      </c>
      <c r="T1168" s="12"/>
      <c r="U1168" s="12"/>
      <c r="V1168" s="12"/>
      <c r="W1168" s="12"/>
      <c r="X1168" s="12"/>
      <c r="Y1168" s="12"/>
      <c r="Z1168" s="12"/>
      <c r="AA1168" s="12"/>
    </row>
    <row r="1169" spans="1:29" x14ac:dyDescent="0.2">
      <c r="A1169" s="1" t="s">
        <v>139</v>
      </c>
      <c r="B1169" s="103">
        <f>IF(AND('AES Indiana Bill Calc.'!$D$17="HL3",'AES Indiana Bill Calc.'!$D$18="Yes 50%",'AES Indiana Bill Calc.'!$D$20="No"),'AES Indiana Bill Calc.'!$D$19,-1)</f>
        <v>-1</v>
      </c>
      <c r="C1169" s="103">
        <f>MAX(E1169,$C$905)</f>
        <v>2000</v>
      </c>
      <c r="D1169" s="103" t="b">
        <f>IF(AND('AES Indiana Bill Calc.'!$D$17="HL3",'AES Indiana Bill Calc.'!$D$18="Yes 50%",'AES Indiana Bill Calc.'!$D$20="No"),'AES Indiana Bill Calc.'!$D$22)</f>
        <v>0</v>
      </c>
      <c r="E1169" s="103" t="b">
        <f>IF(AND('AES Indiana Bill Calc.'!$D$17="HL3",'AES Indiana Bill Calc.'!$D$18="Yes 50%",'AES Indiana Bill Calc.'!$D$20="No"),'AES Indiana Bill Calc.'!$D$21)</f>
        <v>0</v>
      </c>
      <c r="F1169" s="36" t="s">
        <v>69</v>
      </c>
      <c r="G1169" s="92" t="e">
        <f>SUM(J1169:M1169,R1169:AA1169)</f>
        <v>#N/A</v>
      </c>
      <c r="H1169" s="19" t="e">
        <f>IF(ISBLANK(B1169),0,+#REF!/B1169)</f>
        <v>#REF!</v>
      </c>
      <c r="J1169" s="51">
        <f>IF(ISBLANK(B1169),0,+J$1162)</f>
        <v>500</v>
      </c>
      <c r="K1169" s="17">
        <f>ROUND($B1169*K$1162,2)</f>
        <v>-0.04</v>
      </c>
      <c r="L1169" s="17">
        <f>IF(ISBLANK($C1169),0,IF($C1169&lt;$C$1163,ROUND($C$1163*$L$1162,2),IF($C1169&gt;L$1163,ROUND(L$1163*L$1162,2),ROUND($C1169*L$1162,2))))</f>
        <v>48180</v>
      </c>
      <c r="M1169" s="17">
        <f>IF($C1169&gt;L$1163,ROUND(($C1169-L$1163)*M$1162,2),0)</f>
        <v>0</v>
      </c>
      <c r="N1169" s="17">
        <f>K1169</f>
        <v>-0.04</v>
      </c>
      <c r="O1169" s="17"/>
      <c r="P1169" s="17"/>
      <c r="Q1169" s="17">
        <f>SUM(L1169:M1169)</f>
        <v>48180</v>
      </c>
      <c r="R1169" s="16" t="e">
        <f>ROUND(SUM(K1169:M1169)*(R1168-1),2)</f>
        <v>#N/A</v>
      </c>
      <c r="S1169" s="17">
        <f>ROUND($B1169*S$1162*S1168,2)</f>
        <v>0</v>
      </c>
      <c r="T1169" s="17">
        <f t="shared" ref="T1169:AA1169" si="76">ROUND($B1169*T$1162,2)</f>
        <v>0</v>
      </c>
      <c r="U1169" s="17">
        <f t="shared" si="76"/>
        <v>0</v>
      </c>
      <c r="V1169" s="8">
        <f t="shared" si="76"/>
        <v>-0.02</v>
      </c>
      <c r="W1169" s="17">
        <f t="shared" si="76"/>
        <v>0</v>
      </c>
      <c r="X1169" s="17">
        <f t="shared" si="76"/>
        <v>-0.01</v>
      </c>
      <c r="Y1169" s="17">
        <f t="shared" si="76"/>
        <v>0</v>
      </c>
      <c r="Z1169" s="17">
        <f t="shared" si="76"/>
        <v>0</v>
      </c>
      <c r="AA1169" s="17">
        <f t="shared" si="76"/>
        <v>0</v>
      </c>
      <c r="AB1169" s="19">
        <f>SUM(U$1162:AA$1162)+(-V$1162+V1151)</f>
        <v>1.2243E-2</v>
      </c>
      <c r="AC1169" s="67" t="str">
        <f>+F1169</f>
        <v>HL3</v>
      </c>
    </row>
    <row r="1170" spans="1:29" x14ac:dyDescent="0.2">
      <c r="A1170" s="9"/>
      <c r="B1170" s="103">
        <v>-1</v>
      </c>
      <c r="D1170" s="8"/>
      <c r="E1170" s="9"/>
      <c r="F1170" s="36"/>
      <c r="G1170" s="12"/>
      <c r="H1170" s="12"/>
      <c r="J1170" s="12"/>
      <c r="K1170" s="12"/>
      <c r="L1170" s="12"/>
      <c r="M1170" s="12"/>
      <c r="N1170" s="12"/>
      <c r="O1170" s="12"/>
      <c r="P1170" s="12"/>
      <c r="Q1170" s="12"/>
      <c r="R1170" s="38" t="e">
        <f>VLOOKUP((D1171),'Pwr Factor'!$A$1:$B$52,2)</f>
        <v>#N/A</v>
      </c>
      <c r="S1170" s="50">
        <v>0.25</v>
      </c>
      <c r="T1170" s="12"/>
      <c r="U1170" s="12"/>
      <c r="V1170" s="12"/>
      <c r="W1170" s="12"/>
      <c r="X1170" s="12"/>
      <c r="Y1170" s="12"/>
      <c r="Z1170" s="12"/>
      <c r="AA1170" s="12"/>
    </row>
    <row r="1171" spans="1:29" x14ac:dyDescent="0.2">
      <c r="A1171" s="1" t="s">
        <v>140</v>
      </c>
      <c r="B1171" s="103">
        <f>IF(AND('AES Indiana Bill Calc.'!$D$17="HL3",'AES Indiana Bill Calc.'!$D$18="Yes 25%",'AES Indiana Bill Calc.'!$D$20="No"),'AES Indiana Bill Calc.'!$D$19,-1)</f>
        <v>-1</v>
      </c>
      <c r="C1171" s="103">
        <f>MAX(E1171,$C$905)</f>
        <v>2000</v>
      </c>
      <c r="D1171" s="103" t="b">
        <f>IF(AND('AES Indiana Bill Calc.'!$D$17="HL3",'AES Indiana Bill Calc.'!$D$18="Yes 25%",'AES Indiana Bill Calc.'!$D$20="No"),'AES Indiana Bill Calc.'!$D$22)</f>
        <v>0</v>
      </c>
      <c r="E1171" s="103" t="b">
        <f>IF(AND('AES Indiana Bill Calc.'!$D$17="HL3",'AES Indiana Bill Calc.'!$D$18="Yes 25%",'AES Indiana Bill Calc.'!$D$20="No"),'AES Indiana Bill Calc.'!$D$21)</f>
        <v>0</v>
      </c>
      <c r="F1171" s="36" t="s">
        <v>69</v>
      </c>
      <c r="G1171" s="92" t="e">
        <f>SUM(J1171:M1171,R1171:AA1171)</f>
        <v>#N/A</v>
      </c>
      <c r="H1171" s="19" t="e">
        <f>IF(ISBLANK(B1171),0,+#REF!/B1171)</f>
        <v>#REF!</v>
      </c>
      <c r="J1171" s="51">
        <f>IF(ISBLANK(B1171),0,+J$1162)</f>
        <v>500</v>
      </c>
      <c r="K1171" s="17">
        <f>ROUND($B1171*K$1162,2)</f>
        <v>-0.04</v>
      </c>
      <c r="L1171" s="17">
        <f>IF(ISBLANK($C1171),0,IF($C1171&lt;$C$1163,ROUND($C$1163*$L$1162,2),IF($C1171&gt;L$1163,ROUND(L$1163*L$1162,2),ROUND($C1171*L$1162,2))))</f>
        <v>48180</v>
      </c>
      <c r="M1171" s="17">
        <f>IF($C1171&gt;L$1163,ROUND(($C1171-L$1163)*M$1162,2),0)</f>
        <v>0</v>
      </c>
      <c r="N1171" s="17">
        <f>K1171</f>
        <v>-0.04</v>
      </c>
      <c r="O1171" s="17"/>
      <c r="P1171" s="17"/>
      <c r="Q1171" s="17">
        <f>SUM(L1171:M1171)</f>
        <v>48180</v>
      </c>
      <c r="R1171" s="16" t="e">
        <f>ROUND(SUM(K1171:M1171)*(R1170-1),2)</f>
        <v>#N/A</v>
      </c>
      <c r="S1171" s="17">
        <f>ROUND($B1171*S$1162*S1170,2)</f>
        <v>0</v>
      </c>
      <c r="T1171" s="17">
        <f t="shared" ref="T1171:AA1171" si="77">ROUND($B1171*T$1162,2)</f>
        <v>0</v>
      </c>
      <c r="U1171" s="17">
        <f t="shared" si="77"/>
        <v>0</v>
      </c>
      <c r="V1171" s="8">
        <f t="shared" si="77"/>
        <v>-0.02</v>
      </c>
      <c r="W1171" s="17">
        <f t="shared" si="77"/>
        <v>0</v>
      </c>
      <c r="X1171" s="17">
        <f t="shared" si="77"/>
        <v>-0.01</v>
      </c>
      <c r="Y1171" s="17">
        <f t="shared" si="77"/>
        <v>0</v>
      </c>
      <c r="Z1171" s="17">
        <f t="shared" si="77"/>
        <v>0</v>
      </c>
      <c r="AA1171" s="17">
        <f t="shared" si="77"/>
        <v>0</v>
      </c>
      <c r="AB1171" s="19" t="e">
        <f>SUM(U$1162:AA$1162)+(-V$1162+#REF!)</f>
        <v>#REF!</v>
      </c>
      <c r="AC1171" s="67" t="str">
        <f>+F1171</f>
        <v>HL3</v>
      </c>
    </row>
    <row r="1172" spans="1:29" x14ac:dyDescent="0.2">
      <c r="A1172" s="9"/>
      <c r="B1172" s="103">
        <v>-1</v>
      </c>
      <c r="D1172" s="8"/>
      <c r="E1172" s="9"/>
      <c r="F1172" s="36"/>
      <c r="G1172" s="12"/>
      <c r="H1172" s="12"/>
      <c r="J1172" s="12"/>
      <c r="K1172" s="12"/>
      <c r="L1172" s="12"/>
      <c r="M1172" s="12"/>
      <c r="N1172" s="12"/>
      <c r="O1172" s="12"/>
      <c r="P1172" s="12"/>
      <c r="Q1172" s="12"/>
      <c r="R1172" s="38" t="e">
        <f>VLOOKUP((D1173),'Pwr Factor'!$A$1:$B$52,2)</f>
        <v>#N/A</v>
      </c>
      <c r="S1172" s="50">
        <v>0.1</v>
      </c>
      <c r="T1172" s="12"/>
      <c r="U1172" s="12"/>
      <c r="V1172" s="12"/>
      <c r="W1172" s="12"/>
      <c r="X1172" s="12"/>
      <c r="Y1172" s="12"/>
      <c r="Z1172" s="12"/>
      <c r="AA1172" s="12"/>
    </row>
    <row r="1173" spans="1:29" x14ac:dyDescent="0.2">
      <c r="A1173" s="1" t="s">
        <v>154</v>
      </c>
      <c r="B1173" s="103">
        <f>IF(AND('AES Indiana Bill Calc.'!$D$17="HL3",'AES Indiana Bill Calc.'!$D$18="Yes 10%",'AES Indiana Bill Calc.'!$D$20="No"),'AES Indiana Bill Calc.'!$D$19,-1)</f>
        <v>-1</v>
      </c>
      <c r="C1173" s="103">
        <f>MAX(E1173,$C$905)</f>
        <v>2000</v>
      </c>
      <c r="D1173" s="103" t="b">
        <f>IF(AND('AES Indiana Bill Calc.'!$D$17="HL3",'AES Indiana Bill Calc.'!$D$18="Yes 10%",'AES Indiana Bill Calc.'!$D$20="No"),'AES Indiana Bill Calc.'!$D$22)</f>
        <v>0</v>
      </c>
      <c r="E1173" s="103" t="b">
        <f>IF(AND('AES Indiana Bill Calc.'!$D$17="HL3",'AES Indiana Bill Calc.'!$D$18="Yes 10%",'AES Indiana Bill Calc.'!$D$20="No"),'AES Indiana Bill Calc.'!$D$21)</f>
        <v>0</v>
      </c>
      <c r="F1173" s="36" t="s">
        <v>69</v>
      </c>
      <c r="G1173" s="92" t="e">
        <f>SUM(J1173:M1173,R1173:AA1173)</f>
        <v>#N/A</v>
      </c>
      <c r="H1173" s="19" t="e">
        <f>IF(ISBLANK(B1173),0,+#REF!/B1173)</f>
        <v>#REF!</v>
      </c>
      <c r="J1173" s="51">
        <f>IF(ISBLANK(B1173),0,+J$1162)</f>
        <v>500</v>
      </c>
      <c r="K1173" s="17">
        <f>ROUND($B1173*K$1162,2)</f>
        <v>-0.04</v>
      </c>
      <c r="L1173" s="17">
        <f>IF(ISBLANK($C1173),0,IF($C1173&lt;$C$1163,ROUND($C$1163*$L$1162,2),IF($C1173&gt;L$1163,ROUND(L$1163*L$1162,2),ROUND($C1173*L$1162,2))))</f>
        <v>48180</v>
      </c>
      <c r="M1173" s="17">
        <f>IF($C1173&gt;L$1163,ROUND(($C1173-L$1163)*M$1162,2),0)</f>
        <v>0</v>
      </c>
      <c r="N1173" s="17">
        <f>K1173</f>
        <v>-0.04</v>
      </c>
      <c r="O1173" s="17"/>
      <c r="P1173" s="17"/>
      <c r="Q1173" s="17">
        <f>SUM(L1173:M1173)</f>
        <v>48180</v>
      </c>
      <c r="R1173" s="16" t="e">
        <f>ROUND(SUM(K1173:M1173)*(R1172-1),2)</f>
        <v>#N/A</v>
      </c>
      <c r="S1173" s="17">
        <f>ROUND($B1173*S$1162*S1172,2)</f>
        <v>0</v>
      </c>
      <c r="T1173" s="17">
        <f t="shared" ref="T1173:AA1173" si="78">ROUND($B1173*T$1162,2)</f>
        <v>0</v>
      </c>
      <c r="U1173" s="17">
        <f t="shared" si="78"/>
        <v>0</v>
      </c>
      <c r="V1173" s="8">
        <f t="shared" si="78"/>
        <v>-0.02</v>
      </c>
      <c r="W1173" s="17">
        <f t="shared" si="78"/>
        <v>0</v>
      </c>
      <c r="X1173" s="17">
        <f t="shared" si="78"/>
        <v>-0.01</v>
      </c>
      <c r="Y1173" s="17">
        <f t="shared" si="78"/>
        <v>0</v>
      </c>
      <c r="Z1173" s="17">
        <f t="shared" si="78"/>
        <v>0</v>
      </c>
      <c r="AA1173" s="17">
        <f t="shared" si="78"/>
        <v>0</v>
      </c>
      <c r="AB1173" s="19">
        <f>SUM(U$1162:AA$1162)+(-V$1162+V1153)</f>
        <v>1.2243E-2</v>
      </c>
      <c r="AC1173" s="67" t="str">
        <f>+F1173</f>
        <v>HL3</v>
      </c>
    </row>
    <row r="1174" spans="1:29" x14ac:dyDescent="0.2">
      <c r="A1174" s="9"/>
      <c r="B1174" s="103">
        <v>-1</v>
      </c>
      <c r="D1174" s="8"/>
      <c r="E1174" s="9"/>
      <c r="F1174" s="36"/>
      <c r="G1174" s="12"/>
      <c r="H1174" s="12"/>
      <c r="J1174" s="12"/>
      <c r="K1174" s="12"/>
      <c r="L1174" s="12"/>
      <c r="M1174" s="12"/>
      <c r="N1174" s="12"/>
      <c r="O1174" s="12"/>
      <c r="P1174" s="12"/>
      <c r="Q1174" s="12"/>
      <c r="R1174" s="38" t="e">
        <f>VLOOKUP((D1175),'Pwr Factor'!$A$1:$B$52,2)</f>
        <v>#N/A</v>
      </c>
      <c r="S1174" s="50">
        <v>0</v>
      </c>
      <c r="T1174" s="12"/>
      <c r="U1174" s="12"/>
      <c r="V1174" s="12"/>
      <c r="W1174" s="12"/>
      <c r="X1174" s="12"/>
      <c r="Y1174" s="12"/>
      <c r="Z1174" s="12"/>
      <c r="AA1174" s="12"/>
    </row>
    <row r="1175" spans="1:29" x14ac:dyDescent="0.2">
      <c r="A1175" s="1" t="s">
        <v>137</v>
      </c>
      <c r="B1175" s="103">
        <f>IF(AND('AES Indiana Bill Calc.'!$D$17="HL3",'AES Indiana Bill Calc.'!$D$18="No",'AES Indiana Bill Calc.'!$D$20="No"),'AES Indiana Bill Calc.'!$D$19,-1)</f>
        <v>-1</v>
      </c>
      <c r="C1175" s="103">
        <f>MAX(E1175,$C$905)</f>
        <v>2000</v>
      </c>
      <c r="D1175" s="103" t="b">
        <f>IF(AND('AES Indiana Bill Calc.'!$D$17="HL3",'AES Indiana Bill Calc.'!$D$18="No",'AES Indiana Bill Calc.'!$D$20="No"),'AES Indiana Bill Calc.'!$D$22)</f>
        <v>0</v>
      </c>
      <c r="E1175" s="103" t="b">
        <f>IF(AND('AES Indiana Bill Calc.'!$D$17="HL3",'AES Indiana Bill Calc.'!$D$18="No",'AES Indiana Bill Calc.'!$D$20="No"),'AES Indiana Bill Calc.'!$D$21)</f>
        <v>0</v>
      </c>
      <c r="F1175" s="36" t="s">
        <v>69</v>
      </c>
      <c r="G1175" s="92" t="e">
        <f>SUM(J1175:M1175,R1175:AA1175)</f>
        <v>#N/A</v>
      </c>
      <c r="H1175" s="19" t="e">
        <f>IF(ISBLANK(B1175),0,+#REF!/B1175)</f>
        <v>#REF!</v>
      </c>
      <c r="J1175" s="51">
        <f>IF(ISBLANK(B1175),0,+J$1162)</f>
        <v>500</v>
      </c>
      <c r="K1175" s="17">
        <f>ROUND($B1175*K$1162,2)</f>
        <v>-0.04</v>
      </c>
      <c r="L1175" s="17">
        <f>IF(ISBLANK($C1175),0,IF($C1175&lt;$C$1163,ROUND($C$1163*$L$1162,2),IF($C1175&gt;L$1163,ROUND(L$1163*L$1162,2),ROUND($C1175*L$1162,2))))</f>
        <v>48180</v>
      </c>
      <c r="M1175" s="17">
        <f>IF($C1175&gt;L$1163,ROUND(($C1175-L$1163)*M$1162,2),0)</f>
        <v>0</v>
      </c>
      <c r="N1175" s="17">
        <f>K1175</f>
        <v>-0.04</v>
      </c>
      <c r="O1175" s="17"/>
      <c r="P1175" s="17"/>
      <c r="Q1175" s="17">
        <f>SUM(L1175:M1175)</f>
        <v>48180</v>
      </c>
      <c r="R1175" s="16" t="e">
        <f>ROUND(SUM(K1175:M1175)*(R1174-1),2)</f>
        <v>#N/A</v>
      </c>
      <c r="S1175" s="17">
        <f>ROUND($B1175*S$1162*S1174,2)</f>
        <v>0</v>
      </c>
      <c r="T1175" s="17">
        <f t="shared" ref="T1175:AA1175" si="79">ROUND($B1175*T$1162,2)</f>
        <v>0</v>
      </c>
      <c r="U1175" s="17">
        <f t="shared" si="79"/>
        <v>0</v>
      </c>
      <c r="V1175" s="8">
        <f t="shared" si="79"/>
        <v>-0.02</v>
      </c>
      <c r="W1175" s="17">
        <f t="shared" si="79"/>
        <v>0</v>
      </c>
      <c r="X1175" s="17">
        <f t="shared" si="79"/>
        <v>-0.01</v>
      </c>
      <c r="Y1175" s="17">
        <f t="shared" si="79"/>
        <v>0</v>
      </c>
      <c r="Z1175" s="17">
        <f t="shared" si="79"/>
        <v>0</v>
      </c>
      <c r="AA1175" s="17">
        <f t="shared" si="79"/>
        <v>0</v>
      </c>
      <c r="AB1175" s="19">
        <f>SUM(U$1162:AA$1162)+(-V$1162+V1155)</f>
        <v>1.2243E-2</v>
      </c>
      <c r="AC1175" s="67" t="str">
        <f>+F1175</f>
        <v>HL3</v>
      </c>
    </row>
    <row r="1176" spans="1:29" x14ac:dyDescent="0.2">
      <c r="A1176" s="48"/>
      <c r="B1176" s="103">
        <v>-1</v>
      </c>
      <c r="D1176" s="8"/>
      <c r="E1176" s="9"/>
      <c r="F1176" s="36"/>
      <c r="G1176" s="12"/>
      <c r="H1176" s="12"/>
      <c r="J1176" s="12"/>
      <c r="K1176" s="12"/>
      <c r="L1176" s="12"/>
      <c r="M1176" s="12"/>
      <c r="N1176" s="12"/>
      <c r="O1176" s="12"/>
      <c r="P1176" s="12"/>
      <c r="Q1176" s="12"/>
      <c r="R1176" s="38" t="e">
        <f>VLOOKUP((D1177),'Pwr Factor'!$A$1:$B$52,2)</f>
        <v>#N/A</v>
      </c>
      <c r="S1176" s="50">
        <v>1</v>
      </c>
      <c r="T1176" s="12"/>
      <c r="U1176" s="12"/>
      <c r="V1176" s="12"/>
      <c r="W1176" s="12"/>
      <c r="X1176" s="12"/>
      <c r="Y1176" s="12"/>
      <c r="Z1176" s="12"/>
      <c r="AA1176" s="12"/>
    </row>
    <row r="1177" spans="1:29" x14ac:dyDescent="0.2">
      <c r="A1177" s="1" t="s">
        <v>138</v>
      </c>
      <c r="B1177" s="103">
        <f>IF(AND('AES Indiana Bill Calc.'!$D$17="HL3",'AES Indiana Bill Calc.'!$D$18="Yes 100%",'AES Indiana Bill Calc.'!$D$20="Yes Before 2018"),'AES Indiana Bill Calc.'!$D$19,-1)</f>
        <v>-1</v>
      </c>
      <c r="C1177" s="103">
        <f>MAX(E1177,$C$905)</f>
        <v>2000</v>
      </c>
      <c r="D1177" s="103" t="b">
        <f>IF(AND('AES Indiana Bill Calc.'!$D$17="HL3",'AES Indiana Bill Calc.'!$D$18="Yes 100%",'AES Indiana Bill Calc.'!$D$20="Yes Before 2018"),'AES Indiana Bill Calc.'!$D$22)</f>
        <v>0</v>
      </c>
      <c r="E1177" s="103" t="b">
        <f>IF(AND('AES Indiana Bill Calc.'!$D$17="HL3",'AES Indiana Bill Calc.'!$D$18="Yes 100%",'AES Indiana Bill Calc.'!$D$20="Yes Before 2018"),'AES Indiana Bill Calc.'!$D$21)</f>
        <v>0</v>
      </c>
      <c r="F1177" s="36" t="s">
        <v>237</v>
      </c>
      <c r="G1177" s="92" t="e">
        <f>SUM(J1177:M1177,R1177:AA1177)</f>
        <v>#N/A</v>
      </c>
      <c r="H1177" s="19" t="e">
        <f>IF(ISBLANK(B1177),0,+#REF!/B1177)</f>
        <v>#REF!</v>
      </c>
      <c r="J1177" s="51">
        <f>IF(ISBLANK(B1177),0,+J$1162)</f>
        <v>500</v>
      </c>
      <c r="K1177" s="17">
        <f>ROUND($B1177*K$1162,2)</f>
        <v>-0.04</v>
      </c>
      <c r="L1177" s="17">
        <f>IF(ISBLANK($C1177),0,IF($C1177&lt;$C$1163,ROUND($C$1163*$L$1162,2),IF($C1177&gt;L$1163,ROUND(L$1163*L$1162,2),ROUND($C1177*L$1162,2))))</f>
        <v>48180</v>
      </c>
      <c r="M1177" s="17">
        <f>IF($C1177&gt;L$1163,ROUND(($C1177-L$1163)*M$1162,2),0)</f>
        <v>0</v>
      </c>
      <c r="N1177" s="17">
        <f>K1177</f>
        <v>-0.04</v>
      </c>
      <c r="O1177" s="17"/>
      <c r="P1177" s="17"/>
      <c r="Q1177" s="17">
        <f>SUM(L1177:M1177)</f>
        <v>48180</v>
      </c>
      <c r="R1177" s="16" t="e">
        <f>ROUND(SUM(K1177:M1177)*(R1176-1),2)</f>
        <v>#N/A</v>
      </c>
      <c r="S1177" s="17">
        <f>ROUND($B1177*S$1162*S1176,2)</f>
        <v>0</v>
      </c>
      <c r="T1177" s="17">
        <f>ROUND($B1177*T$1162,2)</f>
        <v>0</v>
      </c>
      <c r="U1177" s="17">
        <f>ROUND($B1177*U$1162,2)</f>
        <v>0</v>
      </c>
      <c r="V1177" s="8">
        <f>ROUND($B1177*V$1152,2)</f>
        <v>0</v>
      </c>
      <c r="W1177" s="17">
        <f>ROUND($B1177*W$1162,2)</f>
        <v>0</v>
      </c>
      <c r="X1177" s="17">
        <f>ROUND($B1177*X$1162,2)</f>
        <v>-0.01</v>
      </c>
      <c r="Y1177" s="17">
        <f>ROUND($B1177*Y$1162,2)</f>
        <v>0</v>
      </c>
      <c r="Z1177" s="17">
        <f>ROUND($B1177*Z$1162,2)</f>
        <v>0</v>
      </c>
      <c r="AA1177" s="17">
        <f>ROUND($B1177*AA$1162,2)</f>
        <v>0</v>
      </c>
      <c r="AB1177" s="19">
        <f>SUM(U$1162:AA$1162)+(-V$1162+V1157)</f>
        <v>1.2243E-2</v>
      </c>
      <c r="AC1177" s="67" t="str">
        <f>+F1177</f>
        <v>HL37</v>
      </c>
    </row>
    <row r="1178" spans="1:29" x14ac:dyDescent="0.2">
      <c r="A1178" s="9"/>
      <c r="B1178" s="103">
        <v>-1</v>
      </c>
      <c r="D1178" s="8"/>
      <c r="E1178" s="9"/>
      <c r="F1178" s="36"/>
      <c r="G1178" s="12"/>
      <c r="H1178" s="12"/>
      <c r="J1178" s="12"/>
      <c r="K1178" s="12"/>
      <c r="L1178" s="12"/>
      <c r="M1178" s="12"/>
      <c r="N1178" s="12"/>
      <c r="O1178" s="12"/>
      <c r="P1178" s="12"/>
      <c r="Q1178" s="12"/>
      <c r="R1178" s="38" t="e">
        <f>VLOOKUP((D1179),'Pwr Factor'!$A$1:$B$52,2)</f>
        <v>#N/A</v>
      </c>
      <c r="S1178" s="50">
        <v>0.5</v>
      </c>
      <c r="T1178" s="12"/>
      <c r="U1178" s="12"/>
      <c r="V1178" s="12"/>
      <c r="W1178" s="12"/>
      <c r="X1178" s="12"/>
      <c r="Y1178" s="12"/>
      <c r="Z1178" s="12"/>
      <c r="AA1178" s="12"/>
    </row>
    <row r="1179" spans="1:29" x14ac:dyDescent="0.2">
      <c r="A1179" s="1" t="s">
        <v>139</v>
      </c>
      <c r="B1179" s="103">
        <f>IF(AND('AES Indiana Bill Calc.'!$D$17="HL3",'AES Indiana Bill Calc.'!$D$18="Yes 50%",'AES Indiana Bill Calc.'!$D$20="Yes Before 2018"),'AES Indiana Bill Calc.'!$D$19,-1)</f>
        <v>-1</v>
      </c>
      <c r="C1179" s="103">
        <f>MAX(E1179,$C$905)</f>
        <v>2000</v>
      </c>
      <c r="D1179" s="103" t="b">
        <f>IF(AND('AES Indiana Bill Calc.'!$D$17="HL3",'AES Indiana Bill Calc.'!$D$18="Yes 50%",'AES Indiana Bill Calc.'!$D$20="Yes Before 2018"),'AES Indiana Bill Calc.'!$D$22)</f>
        <v>0</v>
      </c>
      <c r="E1179" s="103" t="b">
        <f>IF(AND('AES Indiana Bill Calc.'!$D$17="HL3",'AES Indiana Bill Calc.'!$D$18="Yes 50%",'AES Indiana Bill Calc.'!$D$20="Yes Before 2018"),'AES Indiana Bill Calc.'!$D$21)</f>
        <v>0</v>
      </c>
      <c r="F1179" s="36" t="s">
        <v>237</v>
      </c>
      <c r="G1179" s="92" t="e">
        <f>SUM(J1179:M1179,R1179:AA1179)</f>
        <v>#N/A</v>
      </c>
      <c r="H1179" s="19" t="e">
        <f>IF(ISBLANK(B1179),0,+#REF!/B1179)</f>
        <v>#REF!</v>
      </c>
      <c r="J1179" s="51">
        <f>IF(ISBLANK(B1179),0,+J$1162)</f>
        <v>500</v>
      </c>
      <c r="K1179" s="17">
        <f>ROUND($B1179*K$1162,2)</f>
        <v>-0.04</v>
      </c>
      <c r="L1179" s="17">
        <f>IF(ISBLANK($C1179),0,IF($C1179&lt;$C$1163,ROUND($C$1163*$L$1162,2),IF($C1179&gt;L$1163,ROUND(L$1163*L$1162,2),ROUND($C1179*L$1162,2))))</f>
        <v>48180</v>
      </c>
      <c r="M1179" s="17">
        <f>IF($C1179&gt;L$1163,ROUND(($C1179-L$1163)*M$1162,2),0)</f>
        <v>0</v>
      </c>
      <c r="N1179" s="17">
        <f>K1179</f>
        <v>-0.04</v>
      </c>
      <c r="O1179" s="17"/>
      <c r="P1179" s="17"/>
      <c r="Q1179" s="17">
        <f>SUM(L1179:M1179)</f>
        <v>48180</v>
      </c>
      <c r="R1179" s="16" t="e">
        <f>ROUND(SUM(K1179:M1179)*(R1178-1),2)</f>
        <v>#N/A</v>
      </c>
      <c r="S1179" s="17">
        <f>ROUND($B1179*S$1162*S1178,2)</f>
        <v>0</v>
      </c>
      <c r="T1179" s="17">
        <f>ROUND($B1179*T$1162,2)</f>
        <v>0</v>
      </c>
      <c r="U1179" s="17">
        <f>ROUND($B1179*U$1162,2)</f>
        <v>0</v>
      </c>
      <c r="V1179" s="8">
        <f>ROUND($B1179*V$1152,2)</f>
        <v>0</v>
      </c>
      <c r="W1179" s="17">
        <f>ROUND($B1179*W$1162,2)</f>
        <v>0</v>
      </c>
      <c r="X1179" s="17">
        <f>ROUND($B1179*X$1162,2)</f>
        <v>-0.01</v>
      </c>
      <c r="Y1179" s="17">
        <f>ROUND($B1179*Y$1162,2)</f>
        <v>0</v>
      </c>
      <c r="Z1179" s="17">
        <f>ROUND($B1179*Z$1162,2)</f>
        <v>0</v>
      </c>
      <c r="AA1179" s="17">
        <f>ROUND($B1179*AA$1162,2)</f>
        <v>0</v>
      </c>
      <c r="AB1179" s="19">
        <f>SUM(U$1162:AA$1162)+(-V$1162+V1163)</f>
        <v>1.2243E-2</v>
      </c>
      <c r="AC1179" s="67" t="str">
        <f>+F1179</f>
        <v>HL37</v>
      </c>
    </row>
    <row r="1180" spans="1:29" x14ac:dyDescent="0.2">
      <c r="A1180" s="9"/>
      <c r="B1180" s="103">
        <v>-1</v>
      </c>
      <c r="D1180" s="8"/>
      <c r="E1180" s="9"/>
      <c r="F1180" s="36"/>
      <c r="G1180" s="12"/>
      <c r="H1180" s="12"/>
      <c r="J1180" s="12"/>
      <c r="K1180" s="12"/>
      <c r="L1180" s="12"/>
      <c r="M1180" s="12"/>
      <c r="N1180" s="12"/>
      <c r="O1180" s="12"/>
      <c r="P1180" s="12"/>
      <c r="Q1180" s="12"/>
      <c r="R1180" s="38" t="e">
        <f>VLOOKUP((D1181),'Pwr Factor'!$A$1:$B$52,2)</f>
        <v>#N/A</v>
      </c>
      <c r="S1180" s="50">
        <v>0.25</v>
      </c>
      <c r="T1180" s="12"/>
      <c r="U1180" s="12"/>
      <c r="V1180" s="12"/>
      <c r="W1180" s="12"/>
      <c r="X1180" s="12"/>
      <c r="Y1180" s="12"/>
      <c r="Z1180" s="12"/>
      <c r="AA1180" s="12"/>
    </row>
    <row r="1181" spans="1:29" x14ac:dyDescent="0.2">
      <c r="A1181" s="1" t="s">
        <v>140</v>
      </c>
      <c r="B1181" s="103">
        <f>IF(AND('AES Indiana Bill Calc.'!$D$17="HL3",'AES Indiana Bill Calc.'!$D$18="Yes 25%",'AES Indiana Bill Calc.'!$D$20="Yes Before 2018"),'AES Indiana Bill Calc.'!$D$19,-1)</f>
        <v>-1</v>
      </c>
      <c r="C1181" s="103">
        <f>MAX(E1181,$C$905)</f>
        <v>2000</v>
      </c>
      <c r="D1181" s="103" t="b">
        <f>IF(AND('AES Indiana Bill Calc.'!$D$17="HL3",'AES Indiana Bill Calc.'!$D$18="Yes 25%",'AES Indiana Bill Calc.'!$D$20="Yes Before 2018"),'AES Indiana Bill Calc.'!$D$22)</f>
        <v>0</v>
      </c>
      <c r="E1181" s="103" t="b">
        <f>IF(AND('AES Indiana Bill Calc.'!$D$17="HL3",'AES Indiana Bill Calc.'!$D$18="Yes 25%",'AES Indiana Bill Calc.'!$D$20="Yes Before 2018"),'AES Indiana Bill Calc.'!$D$21)</f>
        <v>0</v>
      </c>
      <c r="F1181" s="36" t="s">
        <v>237</v>
      </c>
      <c r="G1181" s="92" t="e">
        <f>SUM(J1181:M1181,R1181:AA1181)</f>
        <v>#N/A</v>
      </c>
      <c r="H1181" s="19" t="e">
        <f>IF(ISBLANK(B1181),0,+#REF!/B1181)</f>
        <v>#REF!</v>
      </c>
      <c r="J1181" s="51">
        <f>IF(ISBLANK(B1181),0,+J$1162)</f>
        <v>500</v>
      </c>
      <c r="K1181" s="17">
        <f>ROUND($B1181*K$1162,2)</f>
        <v>-0.04</v>
      </c>
      <c r="L1181" s="17">
        <f>IF(ISBLANK($C1181),0,IF($C1181&lt;$C$1163,ROUND($C$1163*$L$1162,2),IF($C1181&gt;L$1163,ROUND(L$1163*L$1162,2),ROUND($C1181*L$1162,2))))</f>
        <v>48180</v>
      </c>
      <c r="M1181" s="17">
        <f>IF($C1181&gt;L$1163,ROUND(($C1181-L$1163)*M$1162,2),0)</f>
        <v>0</v>
      </c>
      <c r="N1181" s="17">
        <f>K1181</f>
        <v>-0.04</v>
      </c>
      <c r="O1181" s="17"/>
      <c r="P1181" s="17"/>
      <c r="Q1181" s="17">
        <f>SUM(L1181:M1181)</f>
        <v>48180</v>
      </c>
      <c r="R1181" s="16" t="e">
        <f>ROUND(SUM(K1181:M1181)*(R1180-1),2)</f>
        <v>#N/A</v>
      </c>
      <c r="S1181" s="17">
        <f>ROUND($B1181*S$1162*S1180,2)</f>
        <v>0</v>
      </c>
      <c r="T1181" s="17">
        <f>ROUND($B1181*T$1162,2)</f>
        <v>0</v>
      </c>
      <c r="U1181" s="17">
        <f>ROUND($B1181*U$1162,2)</f>
        <v>0</v>
      </c>
      <c r="V1181" s="8">
        <f>ROUND($B1181*V$1152,2)</f>
        <v>0</v>
      </c>
      <c r="W1181" s="17">
        <f>ROUND($B1181*W$1162,2)</f>
        <v>0</v>
      </c>
      <c r="X1181" s="17">
        <f>ROUND($B1181*X$1162,2)</f>
        <v>-0.01</v>
      </c>
      <c r="Y1181" s="17">
        <f>ROUND($B1181*Y$1162,2)</f>
        <v>0</v>
      </c>
      <c r="Z1181" s="17">
        <f>ROUND($B1181*Z$1162,2)</f>
        <v>0</v>
      </c>
      <c r="AA1181" s="17">
        <f>ROUND($B1181*AA$1162,2)</f>
        <v>0</v>
      </c>
      <c r="AB1181" s="19" t="e">
        <f>SUM(U$1162:AA$1162)+(-V$1162+V1165)</f>
        <v>#VALUE!</v>
      </c>
      <c r="AC1181" s="67" t="str">
        <f>+F1181</f>
        <v>HL37</v>
      </c>
    </row>
    <row r="1182" spans="1:29" x14ac:dyDescent="0.2">
      <c r="A1182" s="9"/>
      <c r="B1182" s="103">
        <v>-1</v>
      </c>
      <c r="D1182" s="8"/>
      <c r="E1182" s="9"/>
      <c r="F1182" s="36"/>
      <c r="G1182" s="12"/>
      <c r="H1182" s="12"/>
      <c r="J1182" s="12"/>
      <c r="K1182" s="12"/>
      <c r="L1182" s="12"/>
      <c r="M1182" s="12"/>
      <c r="N1182" s="12"/>
      <c r="O1182" s="12"/>
      <c r="P1182" s="12"/>
      <c r="Q1182" s="12"/>
      <c r="R1182" s="38" t="e">
        <f>VLOOKUP((D1183),'Pwr Factor'!$A$1:$B$52,2)</f>
        <v>#N/A</v>
      </c>
      <c r="S1182" s="50">
        <v>0.1</v>
      </c>
      <c r="T1182" s="12"/>
      <c r="U1182" s="12"/>
      <c r="V1182" s="12"/>
      <c r="W1182" s="12"/>
      <c r="X1182" s="12"/>
      <c r="Y1182" s="12"/>
      <c r="Z1182" s="12"/>
      <c r="AA1182" s="12"/>
    </row>
    <row r="1183" spans="1:29" x14ac:dyDescent="0.2">
      <c r="A1183" s="1" t="s">
        <v>154</v>
      </c>
      <c r="B1183" s="103">
        <f>IF(AND('AES Indiana Bill Calc.'!$D$17="HL3",'AES Indiana Bill Calc.'!$D$18="Yes 10%",'AES Indiana Bill Calc.'!$D$20="Yes Before 2018"),'AES Indiana Bill Calc.'!$D$19,-1)</f>
        <v>-1</v>
      </c>
      <c r="C1183" s="103">
        <f>MAX(E1183,$C$905)</f>
        <v>2000</v>
      </c>
      <c r="D1183" s="103" t="b">
        <f>IF(AND('AES Indiana Bill Calc.'!$D$17="HL3",'AES Indiana Bill Calc.'!$D$18="Yes 10%",'AES Indiana Bill Calc.'!$D$20="Yes Before 2018"),'AES Indiana Bill Calc.'!$D$22)</f>
        <v>0</v>
      </c>
      <c r="E1183" s="103" t="b">
        <f>IF(AND('AES Indiana Bill Calc.'!$D$17="HL3",'AES Indiana Bill Calc.'!$D$18="Yes 10%",'AES Indiana Bill Calc.'!$D$20="Yes Before 2018"),'AES Indiana Bill Calc.'!$D$21)</f>
        <v>0</v>
      </c>
      <c r="F1183" s="36" t="s">
        <v>237</v>
      </c>
      <c r="G1183" s="92" t="e">
        <f>SUM(J1183:M1183,R1183:AA1183)</f>
        <v>#N/A</v>
      </c>
      <c r="H1183" s="19" t="e">
        <f>IF(ISBLANK(B1183),0,+#REF!/B1183)</f>
        <v>#REF!</v>
      </c>
      <c r="J1183" s="51">
        <f>IF(ISBLANK(B1183),0,+J$1162)</f>
        <v>500</v>
      </c>
      <c r="K1183" s="17">
        <f>ROUND($B1183*K$1162,2)</f>
        <v>-0.04</v>
      </c>
      <c r="L1183" s="17">
        <f>IF(ISBLANK($C1183),0,IF($C1183&lt;$C$1163,ROUND($C$1163*$L$1162,2),IF($C1183&gt;L$1163,ROUND(L$1163*L$1162,2),ROUND($C1183*L$1162,2))))</f>
        <v>48180</v>
      </c>
      <c r="M1183" s="17">
        <f>IF($C1183&gt;L$1163,ROUND(($C1183-L$1163)*M$1162,2),0)</f>
        <v>0</v>
      </c>
      <c r="N1183" s="17">
        <f>K1183</f>
        <v>-0.04</v>
      </c>
      <c r="O1183" s="17"/>
      <c r="P1183" s="17"/>
      <c r="Q1183" s="17">
        <f>SUM(L1183:M1183)</f>
        <v>48180</v>
      </c>
      <c r="R1183" s="16" t="e">
        <f>ROUND(SUM(K1183:M1183)*(R1182-1),2)</f>
        <v>#N/A</v>
      </c>
      <c r="S1183" s="17">
        <f>ROUND($B1183*S$1162*S1182,2)</f>
        <v>0</v>
      </c>
      <c r="T1183" s="17">
        <f>ROUND($B1183*T$1162,2)</f>
        <v>0</v>
      </c>
      <c r="U1183" s="17">
        <f>ROUND($B1183*U$1162,2)</f>
        <v>0</v>
      </c>
      <c r="V1183" s="8">
        <f>ROUND($B1183*V$1152,2)</f>
        <v>0</v>
      </c>
      <c r="W1183" s="17">
        <f>ROUND($B1183*W$1162,2)</f>
        <v>0</v>
      </c>
      <c r="X1183" s="17">
        <f>ROUND($B1183*X$1162,2)</f>
        <v>-0.01</v>
      </c>
      <c r="Y1183" s="17">
        <f>ROUND($B1183*Y$1162,2)</f>
        <v>0</v>
      </c>
      <c r="Z1183" s="17">
        <f>ROUND($B1183*Z$1162,2)</f>
        <v>0</v>
      </c>
      <c r="AA1183" s="17">
        <f>ROUND($B1183*AA$1162,2)</f>
        <v>0</v>
      </c>
      <c r="AB1183" s="19">
        <f>SUM(U$1162:AA$1162)+(-V$1162+V1167)</f>
        <v>-7.7569999999999965E-3</v>
      </c>
      <c r="AC1183" s="67" t="str">
        <f>+F1183</f>
        <v>HL37</v>
      </c>
    </row>
    <row r="1184" spans="1:29" x14ac:dyDescent="0.2">
      <c r="A1184" s="9"/>
      <c r="B1184" s="103">
        <v>-1</v>
      </c>
      <c r="D1184" s="8"/>
      <c r="E1184" s="9"/>
      <c r="F1184" s="36"/>
      <c r="G1184" s="12"/>
      <c r="H1184" s="12"/>
      <c r="J1184" s="12"/>
      <c r="K1184" s="12"/>
      <c r="L1184" s="12"/>
      <c r="M1184" s="12"/>
      <c r="N1184" s="12"/>
      <c r="O1184" s="12"/>
      <c r="P1184" s="12"/>
      <c r="Q1184" s="12"/>
      <c r="R1184" s="38" t="e">
        <f>VLOOKUP((D1185),'Pwr Factor'!$A$1:$B$52,2)</f>
        <v>#N/A</v>
      </c>
      <c r="S1184" s="50">
        <v>0</v>
      </c>
      <c r="T1184" s="12"/>
      <c r="U1184" s="12"/>
      <c r="V1184" s="12"/>
      <c r="W1184" s="12"/>
      <c r="X1184" s="12"/>
      <c r="Y1184" s="12"/>
      <c r="Z1184" s="12"/>
      <c r="AA1184" s="12"/>
    </row>
    <row r="1185" spans="1:29" x14ac:dyDescent="0.2">
      <c r="A1185" s="1" t="s">
        <v>137</v>
      </c>
      <c r="B1185" s="103">
        <f>IF(AND('AES Indiana Bill Calc.'!$D$17="HL3",'AES Indiana Bill Calc.'!$D$18="No",'AES Indiana Bill Calc.'!$D$20="Yes Before 2018"),'AES Indiana Bill Calc.'!$D$19,-1)</f>
        <v>-1</v>
      </c>
      <c r="C1185" s="103">
        <f>MAX(E1185,$C$905)</f>
        <v>2000</v>
      </c>
      <c r="D1185" s="103" t="b">
        <f>IF(AND('AES Indiana Bill Calc.'!$D$17="HL3",'AES Indiana Bill Calc.'!$D$18="No",'AES Indiana Bill Calc.'!$D$20="Yes Before 2018"),'AES Indiana Bill Calc.'!$D$22)</f>
        <v>0</v>
      </c>
      <c r="E1185" s="103" t="b">
        <f>IF(AND('AES Indiana Bill Calc.'!$D$17="HL3",'AES Indiana Bill Calc.'!$D$18="No",'AES Indiana Bill Calc.'!$D$20="Yes Before 2018"),'AES Indiana Bill Calc.'!$D$21)</f>
        <v>0</v>
      </c>
      <c r="F1185" s="36" t="s">
        <v>237</v>
      </c>
      <c r="G1185" s="92" t="e">
        <f>SUM(J1185:M1185,R1185:AA1185)</f>
        <v>#N/A</v>
      </c>
      <c r="H1185" s="19" t="e">
        <f>IF(ISBLANK(B1185),0,+#REF!/B1185)</f>
        <v>#REF!</v>
      </c>
      <c r="J1185" s="51">
        <f>IF(ISBLANK(B1185),0,+J$1162)</f>
        <v>500</v>
      </c>
      <c r="K1185" s="17">
        <f>ROUND($B1185*K$1162,2)</f>
        <v>-0.04</v>
      </c>
      <c r="L1185" s="17">
        <f>IF(ISBLANK($C1185),0,IF($C1185&lt;$C$1163,ROUND($C$1163*$L$1162,2),IF($C1185&gt;L$1163,ROUND(L$1163*L$1162,2),ROUND($C1185*L$1162,2))))</f>
        <v>48180</v>
      </c>
      <c r="M1185" s="17">
        <f>IF($C1185&gt;L$1163,ROUND(($C1185-L$1163)*M$1162,2),0)</f>
        <v>0</v>
      </c>
      <c r="N1185" s="17">
        <f>K1185</f>
        <v>-0.04</v>
      </c>
      <c r="O1185" s="17"/>
      <c r="P1185" s="17"/>
      <c r="Q1185" s="17">
        <f>SUM(L1185:M1185)</f>
        <v>48180</v>
      </c>
      <c r="R1185" s="16" t="e">
        <f>ROUND(SUM(K1185:M1185)*(R1184-1),2)</f>
        <v>#N/A</v>
      </c>
      <c r="S1185" s="17">
        <f>ROUND($B1185*S$1162*S1184,2)</f>
        <v>0</v>
      </c>
      <c r="T1185" s="17">
        <f>ROUND($B1185*T$1162,2)</f>
        <v>0</v>
      </c>
      <c r="U1185" s="17">
        <f>ROUND($B1185*U$1162,2)</f>
        <v>0</v>
      </c>
      <c r="V1185" s="8">
        <f>ROUND($B1185*V$1152,2)</f>
        <v>0</v>
      </c>
      <c r="W1185" s="17">
        <f>ROUND($B1185*W$1162,2)</f>
        <v>0</v>
      </c>
      <c r="X1185" s="17">
        <f>ROUND($B1185*X$1162,2)</f>
        <v>-0.01</v>
      </c>
      <c r="Y1185" s="17">
        <f>ROUND($B1185*Y$1162,2)</f>
        <v>0</v>
      </c>
      <c r="Z1185" s="17">
        <f>ROUND($B1185*Z$1162,2)</f>
        <v>0</v>
      </c>
      <c r="AA1185" s="17">
        <f>ROUND($B1185*AA$1162,2)</f>
        <v>0</v>
      </c>
      <c r="AB1185" s="19">
        <f>SUM(U$1162:AA$1162)+(-V$1162+V1169)</f>
        <v>-7.7569999999999965E-3</v>
      </c>
      <c r="AC1185" s="67" t="str">
        <f>+F1185</f>
        <v>HL37</v>
      </c>
    </row>
    <row r="1186" spans="1:29" x14ac:dyDescent="0.2">
      <c r="A1186" s="48"/>
      <c r="B1186" s="103">
        <v>-1</v>
      </c>
      <c r="D1186" s="8"/>
      <c r="E1186" s="9"/>
      <c r="F1186" s="36"/>
      <c r="G1186" s="12"/>
      <c r="H1186" s="12"/>
      <c r="J1186" s="12"/>
      <c r="K1186" s="12"/>
      <c r="L1186" s="12"/>
      <c r="M1186" s="12"/>
      <c r="N1186" s="12"/>
      <c r="O1186" s="12"/>
      <c r="P1186" s="12"/>
      <c r="Q1186" s="12"/>
      <c r="R1186" s="38" t="e">
        <f>VLOOKUP((D1187),'Pwr Factor'!$A$1:$B$52,2)</f>
        <v>#N/A</v>
      </c>
      <c r="S1186" s="50">
        <v>1</v>
      </c>
      <c r="T1186" s="12"/>
      <c r="U1186" s="12"/>
      <c r="V1186" s="12"/>
      <c r="W1186" s="12"/>
      <c r="X1186" s="12"/>
      <c r="Y1186" s="12"/>
      <c r="Z1186" s="12"/>
      <c r="AA1186" s="12"/>
    </row>
    <row r="1187" spans="1:29" x14ac:dyDescent="0.2">
      <c r="A1187" s="1" t="s">
        <v>138</v>
      </c>
      <c r="B1187" s="103">
        <f>IF(AND('AES Indiana Bill Calc.'!$D$17="HL3",'AES Indiana Bill Calc.'!$D$18="Yes 100%",'AES Indiana Bill Calc.'!$D$20="Yes 2018"),'AES Indiana Bill Calc.'!$D$19,-1)</f>
        <v>-1</v>
      </c>
      <c r="C1187" s="103">
        <f>MAX(E1187,$C$905)</f>
        <v>2000</v>
      </c>
      <c r="D1187" s="103" t="b">
        <f>IF(AND('AES Indiana Bill Calc.'!$D$17="HL3",'AES Indiana Bill Calc.'!$D$18="Yes 100%",'AES Indiana Bill Calc.'!$D$20="Yes 2018"),'AES Indiana Bill Calc.'!$D$22)</f>
        <v>0</v>
      </c>
      <c r="E1187" s="103" t="b">
        <f>IF(AND('AES Indiana Bill Calc.'!$D$17="HL3",'AES Indiana Bill Calc.'!$D$18="Yes 100%",'AES Indiana Bill Calc.'!$D$20="Yes 2018"),'AES Indiana Bill Calc.'!$D$21)</f>
        <v>0</v>
      </c>
      <c r="F1187" s="36" t="s">
        <v>238</v>
      </c>
      <c r="G1187" s="92" t="e">
        <f>SUM(J1187:M1187,R1187:AA1187)</f>
        <v>#N/A</v>
      </c>
      <c r="H1187" s="19" t="e">
        <f>IF(ISBLANK(B1187),0,+#REF!/B1187)</f>
        <v>#REF!</v>
      </c>
      <c r="J1187" s="51">
        <f>IF(ISBLANK(B1187),0,+J$1162)</f>
        <v>500</v>
      </c>
      <c r="K1187" s="17">
        <f>ROUND($B1187*K$1162,2)</f>
        <v>-0.04</v>
      </c>
      <c r="L1187" s="17">
        <f>IF(ISBLANK($C1187),0,IF($C1187&lt;$C$1163,ROUND($C$1163*$L$1162,2),IF($C1187&gt;L$1163,ROUND(L$1163*L$1162,2),ROUND($C1187*L$1162,2))))</f>
        <v>48180</v>
      </c>
      <c r="M1187" s="17">
        <f>IF($C1187&gt;L$1163,ROUND(($C1187-L$1163)*M$1162,2),0)</f>
        <v>0</v>
      </c>
      <c r="N1187" s="17">
        <f>K1187</f>
        <v>-0.04</v>
      </c>
      <c r="O1187" s="17"/>
      <c r="P1187" s="17"/>
      <c r="Q1187" s="17">
        <f>SUM(L1187:M1187)</f>
        <v>48180</v>
      </c>
      <c r="R1187" s="16" t="e">
        <f>ROUND(SUM(K1187:M1187)*(R1186-1),2)</f>
        <v>#N/A</v>
      </c>
      <c r="S1187" s="17">
        <f>ROUND($B1187*S$1162*S1186,2)</f>
        <v>0</v>
      </c>
      <c r="T1187" s="17">
        <f>ROUND($B1187*T$1162,2)</f>
        <v>0</v>
      </c>
      <c r="U1187" s="17">
        <f>ROUND($B1187*U$1162,2)</f>
        <v>0</v>
      </c>
      <c r="V1187" s="8">
        <f>ROUND($B1187*V$1153,2)</f>
        <v>0</v>
      </c>
      <c r="W1187" s="17">
        <f>ROUND($B1187*W$1162,2)</f>
        <v>0</v>
      </c>
      <c r="X1187" s="17">
        <f>ROUND($B1187*X$1162,2)</f>
        <v>-0.01</v>
      </c>
      <c r="Y1187" s="17">
        <f>ROUND($B1187*Y$1162,2)</f>
        <v>0</v>
      </c>
      <c r="Z1187" s="17">
        <f>ROUND($B1187*Z$1162,2)</f>
        <v>0</v>
      </c>
      <c r="AA1187" s="17">
        <f>ROUND($B1187*AA$1162,2)</f>
        <v>0</v>
      </c>
      <c r="AB1187" s="19">
        <f>SUM(U$1162:AA$1162)+(-V$1162+V1171)</f>
        <v>-7.7569999999999965E-3</v>
      </c>
      <c r="AC1187" s="67" t="str">
        <f>+F1187</f>
        <v>HL38</v>
      </c>
    </row>
    <row r="1188" spans="1:29" x14ac:dyDescent="0.2">
      <c r="A1188" s="48"/>
      <c r="B1188" s="103">
        <v>-1</v>
      </c>
      <c r="D1188" s="8"/>
      <c r="E1188" s="9"/>
      <c r="F1188" s="36"/>
      <c r="G1188" s="12"/>
      <c r="H1188" s="12"/>
      <c r="J1188" s="12"/>
      <c r="K1188" s="12"/>
      <c r="L1188" s="12"/>
      <c r="M1188" s="12"/>
      <c r="N1188" s="12"/>
      <c r="O1188" s="12"/>
      <c r="P1188" s="12"/>
      <c r="Q1188" s="12"/>
      <c r="R1188" s="38" t="e">
        <f>VLOOKUP((D1189),'Pwr Factor'!$A$1:$B$52,2)</f>
        <v>#N/A</v>
      </c>
      <c r="S1188" s="50">
        <v>0.5</v>
      </c>
      <c r="T1188" s="12"/>
      <c r="U1188" s="12"/>
      <c r="V1188" s="12"/>
      <c r="W1188" s="12"/>
      <c r="X1188" s="12"/>
      <c r="Y1188" s="12"/>
      <c r="Z1188" s="12"/>
      <c r="AA1188" s="12"/>
    </row>
    <row r="1189" spans="1:29" x14ac:dyDescent="0.2">
      <c r="A1189" s="1" t="s">
        <v>139</v>
      </c>
      <c r="B1189" s="103">
        <f>IF(AND('AES Indiana Bill Calc.'!$D$17="HL3",'AES Indiana Bill Calc.'!$D$18="Yes 50%",'AES Indiana Bill Calc.'!$D$20="Yes 2018"),'AES Indiana Bill Calc.'!$D$19,-1)</f>
        <v>-1</v>
      </c>
      <c r="C1189" s="103">
        <f>MAX(E1189,$C$905)</f>
        <v>2000</v>
      </c>
      <c r="D1189" s="103" t="b">
        <f>IF(AND('AES Indiana Bill Calc.'!$D$17="HL3",'AES Indiana Bill Calc.'!$D$18="Yes 50%",'AES Indiana Bill Calc.'!$D$20="Yes 2018"),'AES Indiana Bill Calc.'!$D$22)</f>
        <v>0</v>
      </c>
      <c r="E1189" s="103" t="b">
        <f>IF(AND('AES Indiana Bill Calc.'!$D$17="HL3",'AES Indiana Bill Calc.'!$D$18="Yes 50%",'AES Indiana Bill Calc.'!$D$20="Yes 2018"),'AES Indiana Bill Calc.'!$D$21)</f>
        <v>0</v>
      </c>
      <c r="F1189" s="36" t="s">
        <v>238</v>
      </c>
      <c r="G1189" s="92" t="e">
        <f>SUM(J1189:M1189,R1189:AA1189)</f>
        <v>#N/A</v>
      </c>
      <c r="H1189" s="19" t="e">
        <f>IF(ISBLANK(B1189),0,+#REF!/B1189)</f>
        <v>#REF!</v>
      </c>
      <c r="J1189" s="51">
        <f>IF(ISBLANK(B1189),0,+J$1162)</f>
        <v>500</v>
      </c>
      <c r="K1189" s="17">
        <f>ROUND($B1189*K$1162,2)</f>
        <v>-0.04</v>
      </c>
      <c r="L1189" s="17">
        <f>IF(ISBLANK($C1189),0,IF($C1189&lt;$C$1163,ROUND($C$1163*$L$1162,2),IF($C1189&gt;L$1163,ROUND(L$1163*L$1162,2),ROUND($C1189*L$1162,2))))</f>
        <v>48180</v>
      </c>
      <c r="M1189" s="17">
        <f>IF($C1189&gt;L$1163,ROUND(($C1189-L$1163)*M$1162,2),0)</f>
        <v>0</v>
      </c>
      <c r="N1189" s="17">
        <f>K1189</f>
        <v>-0.04</v>
      </c>
      <c r="O1189" s="17"/>
      <c r="P1189" s="17"/>
      <c r="Q1189" s="17">
        <f>SUM(L1189:M1189)</f>
        <v>48180</v>
      </c>
      <c r="R1189" s="16" t="e">
        <f>ROUND(SUM(K1189:M1189)*(R1188-1),2)</f>
        <v>#N/A</v>
      </c>
      <c r="S1189" s="17">
        <f>ROUND($B1189*S$1162*S1188,2)</f>
        <v>0</v>
      </c>
      <c r="T1189" s="17">
        <f>ROUND($B1189*T$1162,2)</f>
        <v>0</v>
      </c>
      <c r="U1189" s="17">
        <f>ROUND($B1189*U$1162,2)</f>
        <v>0</v>
      </c>
      <c r="V1189" s="8">
        <f>ROUND($B1189*V$1153,2)</f>
        <v>0</v>
      </c>
      <c r="W1189" s="17">
        <f>ROUND($B1189*W$1162,2)</f>
        <v>0</v>
      </c>
      <c r="X1189" s="17">
        <f>ROUND($B1189*X$1162,2)</f>
        <v>-0.01</v>
      </c>
      <c r="Y1189" s="17">
        <f>ROUND($B1189*Y$1162,2)</f>
        <v>0</v>
      </c>
      <c r="Z1189" s="17">
        <f>ROUND($B1189*Z$1162,2)</f>
        <v>0</v>
      </c>
      <c r="AA1189" s="17">
        <f>ROUND($B1189*AA$1162,2)</f>
        <v>0</v>
      </c>
      <c r="AB1189" s="19">
        <f>SUM(U$1162:AA$1162)+(-V$1162+V1173)</f>
        <v>-7.7569999999999965E-3</v>
      </c>
      <c r="AC1189" s="67" t="str">
        <f>+F1189</f>
        <v>HL38</v>
      </c>
    </row>
    <row r="1190" spans="1:29" x14ac:dyDescent="0.2">
      <c r="A1190" s="9"/>
      <c r="B1190" s="103">
        <v>-1</v>
      </c>
      <c r="D1190" s="8"/>
      <c r="E1190" s="9"/>
      <c r="F1190" s="36"/>
      <c r="G1190" s="12"/>
      <c r="H1190" s="12"/>
      <c r="J1190" s="12"/>
      <c r="K1190" s="12"/>
      <c r="L1190" s="12"/>
      <c r="M1190" s="12"/>
      <c r="N1190" s="12"/>
      <c r="O1190" s="12"/>
      <c r="P1190" s="12"/>
      <c r="Q1190" s="12"/>
      <c r="R1190" s="38" t="e">
        <f>VLOOKUP((D1191),'Pwr Factor'!$A$1:$B$52,2)</f>
        <v>#N/A</v>
      </c>
      <c r="S1190" s="50">
        <v>0.25</v>
      </c>
      <c r="T1190" s="12"/>
      <c r="U1190" s="12"/>
      <c r="V1190" s="12"/>
      <c r="W1190" s="12"/>
      <c r="X1190" s="12"/>
      <c r="Y1190" s="12"/>
      <c r="Z1190" s="12"/>
      <c r="AA1190" s="12"/>
    </row>
    <row r="1191" spans="1:29" x14ac:dyDescent="0.2">
      <c r="A1191" s="1" t="s">
        <v>140</v>
      </c>
      <c r="B1191" s="103">
        <f>IF(AND('AES Indiana Bill Calc.'!$D$17="HL3",'AES Indiana Bill Calc.'!$D$18="Yes 25%",'AES Indiana Bill Calc.'!$D$20="Yes 2018"),'AES Indiana Bill Calc.'!$D$19,-1)</f>
        <v>-1</v>
      </c>
      <c r="C1191" s="103">
        <f>MAX(E1191,$C$905)</f>
        <v>2000</v>
      </c>
      <c r="D1191" s="103" t="b">
        <f>IF(AND('AES Indiana Bill Calc.'!$D$17="HL3",'AES Indiana Bill Calc.'!$D$18="Yes 25%",'AES Indiana Bill Calc.'!$D$20="Yes 2018"),'AES Indiana Bill Calc.'!$D$22)</f>
        <v>0</v>
      </c>
      <c r="E1191" s="103" t="b">
        <f>IF(AND('AES Indiana Bill Calc.'!$D$17="HL3",'AES Indiana Bill Calc.'!$D$18="Yes 25%",'AES Indiana Bill Calc.'!$D$20="Yes 2018"),'AES Indiana Bill Calc.'!$D$21)</f>
        <v>0</v>
      </c>
      <c r="F1191" s="36" t="s">
        <v>238</v>
      </c>
      <c r="G1191" s="92" t="e">
        <f>SUM(J1191:M1191,R1191:AA1191)</f>
        <v>#N/A</v>
      </c>
      <c r="H1191" s="19" t="e">
        <f>IF(ISBLANK(B1191),0,+#REF!/B1191)</f>
        <v>#REF!</v>
      </c>
      <c r="J1191" s="51">
        <f>IF(ISBLANK(B1191),0,+J$1162)</f>
        <v>500</v>
      </c>
      <c r="K1191" s="17">
        <f>ROUND($B1191*K$1162,2)</f>
        <v>-0.04</v>
      </c>
      <c r="L1191" s="17">
        <f>IF(ISBLANK($C1191),0,IF($C1191&lt;$C$1163,ROUND($C$1163*$L$1162,2),IF($C1191&gt;L$1163,ROUND(L$1163*L$1162,2),ROUND($C1191*L$1162,2))))</f>
        <v>48180</v>
      </c>
      <c r="M1191" s="17">
        <f>IF($C1191&gt;L$1163,ROUND(($C1191-L$1163)*M$1162,2),0)</f>
        <v>0</v>
      </c>
      <c r="N1191" s="17">
        <f>K1191</f>
        <v>-0.04</v>
      </c>
      <c r="O1191" s="17"/>
      <c r="P1191" s="17"/>
      <c r="Q1191" s="17">
        <f>SUM(L1191:M1191)</f>
        <v>48180</v>
      </c>
      <c r="R1191" s="16" t="e">
        <f>ROUND(SUM(K1191:M1191)*(R1190-1),2)</f>
        <v>#N/A</v>
      </c>
      <c r="S1191" s="17">
        <f>ROUND($B1191*S$1162*S1190,2)</f>
        <v>0</v>
      </c>
      <c r="T1191" s="17">
        <f>ROUND($B1191*T$1162,2)</f>
        <v>0</v>
      </c>
      <c r="U1191" s="17">
        <f>ROUND($B1191*U$1162,2)</f>
        <v>0</v>
      </c>
      <c r="V1191" s="8">
        <f>ROUND($B1191*V$1153,2)</f>
        <v>0</v>
      </c>
      <c r="W1191" s="17">
        <f>ROUND($B1191*W$1162,2)</f>
        <v>0</v>
      </c>
      <c r="X1191" s="17">
        <f>ROUND($B1191*X$1162,2)</f>
        <v>-0.01</v>
      </c>
      <c r="Y1191" s="17">
        <f>ROUND($B1191*Y$1162,2)</f>
        <v>0</v>
      </c>
      <c r="Z1191" s="17">
        <f>ROUND($B1191*Z$1162,2)</f>
        <v>0</v>
      </c>
      <c r="AA1191" s="17">
        <f>ROUND($B1191*AA$1162,2)</f>
        <v>0</v>
      </c>
      <c r="AB1191" s="19">
        <f>SUM(U$1162:AA$1162)+(-V$1162+V1175)</f>
        <v>-7.7569999999999965E-3</v>
      </c>
      <c r="AC1191" s="67" t="str">
        <f>+F1191</f>
        <v>HL38</v>
      </c>
    </row>
    <row r="1192" spans="1:29" x14ac:dyDescent="0.2">
      <c r="A1192" s="9"/>
      <c r="B1192" s="103">
        <v>-1</v>
      </c>
      <c r="D1192" s="8"/>
      <c r="E1192" s="9"/>
      <c r="F1192" s="36"/>
      <c r="G1192" s="12"/>
      <c r="H1192" s="12"/>
      <c r="J1192" s="12"/>
      <c r="K1192" s="12"/>
      <c r="L1192" s="12"/>
      <c r="M1192" s="12"/>
      <c r="N1192" s="12"/>
      <c r="O1192" s="12"/>
      <c r="P1192" s="12"/>
      <c r="Q1192" s="12"/>
      <c r="R1192" s="38" t="e">
        <f>VLOOKUP((D1193),'Pwr Factor'!$A$1:$B$52,2)</f>
        <v>#N/A</v>
      </c>
      <c r="S1192" s="50">
        <v>0.1</v>
      </c>
      <c r="T1192" s="12"/>
      <c r="U1192" s="12"/>
      <c r="V1192" s="12"/>
      <c r="W1192" s="12"/>
      <c r="X1192" s="12"/>
      <c r="Y1192" s="12"/>
      <c r="Z1192" s="12"/>
      <c r="AA1192" s="12"/>
    </row>
    <row r="1193" spans="1:29" x14ac:dyDescent="0.2">
      <c r="A1193" s="1" t="s">
        <v>154</v>
      </c>
      <c r="B1193" s="103">
        <f>IF(AND('AES Indiana Bill Calc.'!$D$17="HL3",'AES Indiana Bill Calc.'!$D$18="Yes 10%",'AES Indiana Bill Calc.'!$D$20="Yes 2018"),'AES Indiana Bill Calc.'!$D$19,-1)</f>
        <v>-1</v>
      </c>
      <c r="C1193" s="103">
        <f>MAX(E1193,$C$905)</f>
        <v>2000</v>
      </c>
      <c r="D1193" s="103" t="b">
        <f>IF(AND('AES Indiana Bill Calc.'!$D$17="HL3",'AES Indiana Bill Calc.'!$D$18="Yes 10%",'AES Indiana Bill Calc.'!$D$20="Yes 2018"),'AES Indiana Bill Calc.'!$D$22)</f>
        <v>0</v>
      </c>
      <c r="E1193" s="103" t="b">
        <f>IF(AND('AES Indiana Bill Calc.'!$D$17="HL3",'AES Indiana Bill Calc.'!$D$18="Yes 10%",'AES Indiana Bill Calc.'!$D$20="Yes 2018"),'AES Indiana Bill Calc.'!$D$21)</f>
        <v>0</v>
      </c>
      <c r="F1193" s="36" t="s">
        <v>238</v>
      </c>
      <c r="G1193" s="92" t="e">
        <f>SUM(J1193:M1193,R1193:AA1193)</f>
        <v>#N/A</v>
      </c>
      <c r="H1193" s="19" t="e">
        <f>IF(ISBLANK(B1193),0,+#REF!/B1193)</f>
        <v>#REF!</v>
      </c>
      <c r="J1193" s="51">
        <f>IF(ISBLANK(B1193),0,+J$1162)</f>
        <v>500</v>
      </c>
      <c r="K1193" s="17">
        <f>ROUND($B1193*K$1162,2)</f>
        <v>-0.04</v>
      </c>
      <c r="L1193" s="17">
        <f>IF(ISBLANK($C1193),0,IF($C1193&lt;$C$1163,ROUND($C$1163*$L$1162,2),IF($C1193&gt;L$1163,ROUND(L$1163*L$1162,2),ROUND($C1193*L$1162,2))))</f>
        <v>48180</v>
      </c>
      <c r="M1193" s="17">
        <f>IF($C1193&gt;L$1163,ROUND(($C1193-L$1163)*M$1162,2),0)</f>
        <v>0</v>
      </c>
      <c r="N1193" s="17">
        <f>K1193</f>
        <v>-0.04</v>
      </c>
      <c r="O1193" s="17"/>
      <c r="P1193" s="17"/>
      <c r="Q1193" s="17">
        <f>SUM(L1193:M1193)</f>
        <v>48180</v>
      </c>
      <c r="R1193" s="16" t="e">
        <f>ROUND(SUM(K1193:M1193)*(R1192-1),2)</f>
        <v>#N/A</v>
      </c>
      <c r="S1193" s="17">
        <f>ROUND($B1193*S$1162*S1192,2)</f>
        <v>0</v>
      </c>
      <c r="T1193" s="17">
        <f>ROUND($B1193*T$1162,2)</f>
        <v>0</v>
      </c>
      <c r="U1193" s="17">
        <f>ROUND($B1193*U$1162,2)</f>
        <v>0</v>
      </c>
      <c r="V1193" s="8">
        <f>ROUND($B1193*V$1153,2)</f>
        <v>0</v>
      </c>
      <c r="W1193" s="17">
        <f>ROUND($B1193*W$1162,2)</f>
        <v>0</v>
      </c>
      <c r="X1193" s="17">
        <f>ROUND($B1193*X$1162,2)</f>
        <v>-0.01</v>
      </c>
      <c r="Y1193" s="17">
        <f>ROUND($B1193*Y$1162,2)</f>
        <v>0</v>
      </c>
      <c r="Z1193" s="17">
        <f>ROUND($B1193*Z$1162,2)</f>
        <v>0</v>
      </c>
      <c r="AA1193" s="17">
        <f>ROUND($B1193*AA$1162,2)</f>
        <v>0</v>
      </c>
      <c r="AB1193" s="19">
        <f>SUM(U$1162:AA$1162)+(-V$1162+V1177)</f>
        <v>1.2243E-2</v>
      </c>
      <c r="AC1193" s="67" t="str">
        <f>+F1193</f>
        <v>HL38</v>
      </c>
    </row>
    <row r="1194" spans="1:29" x14ac:dyDescent="0.2">
      <c r="A1194" s="9"/>
      <c r="B1194" s="103">
        <v>-1</v>
      </c>
      <c r="D1194" s="8"/>
      <c r="E1194" s="9"/>
      <c r="F1194" s="36"/>
      <c r="G1194" s="12"/>
      <c r="H1194" s="12"/>
      <c r="J1194" s="12"/>
      <c r="K1194" s="12"/>
      <c r="L1194" s="12"/>
      <c r="M1194" s="12"/>
      <c r="N1194" s="12"/>
      <c r="O1194" s="12"/>
      <c r="P1194" s="12"/>
      <c r="Q1194" s="12"/>
      <c r="R1194" s="38" t="e">
        <f>VLOOKUP((D1195),'Pwr Factor'!$A$1:$B$52,2)</f>
        <v>#N/A</v>
      </c>
      <c r="S1194" s="50">
        <v>0</v>
      </c>
      <c r="T1194" s="12"/>
      <c r="U1194" s="12"/>
      <c r="V1194" s="12"/>
      <c r="W1194" s="12"/>
      <c r="X1194" s="12"/>
      <c r="Y1194" s="12"/>
      <c r="Z1194" s="12"/>
      <c r="AA1194" s="12"/>
    </row>
    <row r="1195" spans="1:29" x14ac:dyDescent="0.2">
      <c r="A1195" s="1" t="s">
        <v>137</v>
      </c>
      <c r="B1195" s="103">
        <f>IF(AND('AES Indiana Bill Calc.'!$D$17="HL3",'AES Indiana Bill Calc.'!$D$18="No",'AES Indiana Bill Calc.'!$D$20="Yes 2018"),'AES Indiana Bill Calc.'!$D$19,-1)</f>
        <v>-1</v>
      </c>
      <c r="C1195" s="103">
        <f>MAX(E1195,$C$905)</f>
        <v>2000</v>
      </c>
      <c r="D1195" s="103" t="b">
        <f>IF(AND('AES Indiana Bill Calc.'!$D$17="HL3",'AES Indiana Bill Calc.'!$D$18="No",'AES Indiana Bill Calc.'!$D$20="Yes 2018"),'AES Indiana Bill Calc.'!$D$22)</f>
        <v>0</v>
      </c>
      <c r="E1195" s="103" t="b">
        <f>IF(AND('AES Indiana Bill Calc.'!$D$17="HL3",'AES Indiana Bill Calc.'!$D$18="No",'AES Indiana Bill Calc.'!$D$20="Yes 2018"),'AES Indiana Bill Calc.'!$D$21)</f>
        <v>0</v>
      </c>
      <c r="F1195" s="36" t="s">
        <v>238</v>
      </c>
      <c r="G1195" s="92" t="e">
        <f>SUM(J1195:M1195,R1195:AA1195)</f>
        <v>#N/A</v>
      </c>
      <c r="H1195" s="19" t="e">
        <f>IF(ISBLANK(B1195),0,+#REF!/B1195)</f>
        <v>#REF!</v>
      </c>
      <c r="J1195" s="51">
        <f>IF(ISBLANK(B1195),0,+J$1162)</f>
        <v>500</v>
      </c>
      <c r="K1195" s="17">
        <f>ROUND($B1195*K$1162,2)</f>
        <v>-0.04</v>
      </c>
      <c r="L1195" s="17">
        <f>IF(ISBLANK($C1195),0,IF($C1195&lt;$C$1163,ROUND($C$1163*$L$1162,2),IF($C1195&gt;L$1163,ROUND(L$1163*L$1162,2),ROUND($C1195*L$1162,2))))</f>
        <v>48180</v>
      </c>
      <c r="M1195" s="17">
        <f>IF($C1195&gt;L$1163,ROUND(($C1195-L$1163)*M$1162,2),0)</f>
        <v>0</v>
      </c>
      <c r="N1195" s="17">
        <f>K1195</f>
        <v>-0.04</v>
      </c>
      <c r="O1195" s="17"/>
      <c r="P1195" s="17"/>
      <c r="Q1195" s="17">
        <f>SUM(L1195:M1195)</f>
        <v>48180</v>
      </c>
      <c r="R1195" s="16" t="e">
        <f>ROUND(SUM(K1195:M1195)*(R1194-1),2)</f>
        <v>#N/A</v>
      </c>
      <c r="S1195" s="17">
        <f>ROUND($B1195*S$1162*S1194,2)</f>
        <v>0</v>
      </c>
      <c r="T1195" s="17">
        <f>ROUND($B1195*T$1162,2)</f>
        <v>0</v>
      </c>
      <c r="U1195" s="17">
        <f>ROUND($B1195*U$1162,2)</f>
        <v>0</v>
      </c>
      <c r="V1195" s="8">
        <f>ROUND($B1195*V$1153,2)</f>
        <v>0</v>
      </c>
      <c r="W1195" s="17">
        <f>ROUND($B1195*W$1162,2)</f>
        <v>0</v>
      </c>
      <c r="X1195" s="17">
        <f>ROUND($B1195*X$1162,2)</f>
        <v>-0.01</v>
      </c>
      <c r="Y1195" s="17">
        <f>ROUND($B1195*Y$1162,2)</f>
        <v>0</v>
      </c>
      <c r="Z1195" s="17">
        <f>ROUND($B1195*Z$1162,2)</f>
        <v>0</v>
      </c>
      <c r="AA1195" s="17">
        <f>ROUND($B1195*AA$1162,2)</f>
        <v>0</v>
      </c>
      <c r="AB1195" s="19">
        <f>SUM(U$1162:AA$1162)+(-V$1162+V1179)</f>
        <v>1.2243E-2</v>
      </c>
      <c r="AC1195" s="67" t="str">
        <f>+F1195</f>
        <v>HL38</v>
      </c>
    </row>
    <row r="1196" spans="1:29" x14ac:dyDescent="0.2">
      <c r="A1196" s="48"/>
      <c r="B1196" s="103">
        <v>-1</v>
      </c>
      <c r="D1196" s="8"/>
      <c r="E1196" s="9"/>
      <c r="F1196" s="36"/>
      <c r="G1196" s="12"/>
      <c r="H1196" s="12"/>
      <c r="J1196" s="12"/>
      <c r="K1196" s="12"/>
      <c r="L1196" s="12"/>
      <c r="M1196" s="12"/>
      <c r="N1196" s="12"/>
      <c r="O1196" s="12"/>
      <c r="P1196" s="12"/>
      <c r="Q1196" s="12"/>
      <c r="R1196" s="38" t="e">
        <f>VLOOKUP((D1197),'Pwr Factor'!$A$1:$B$52,2)</f>
        <v>#N/A</v>
      </c>
      <c r="S1196" s="50">
        <v>1</v>
      </c>
      <c r="T1196" s="12"/>
      <c r="U1196" s="12"/>
      <c r="V1196" s="12"/>
      <c r="W1196" s="12"/>
      <c r="X1196" s="12"/>
      <c r="Y1196" s="12"/>
      <c r="Z1196" s="12"/>
      <c r="AA1196" s="12"/>
    </row>
    <row r="1197" spans="1:29" x14ac:dyDescent="0.2">
      <c r="A1197" s="1" t="s">
        <v>138</v>
      </c>
      <c r="B1197" s="103">
        <f>IF(AND('AES Indiana Bill Calc.'!$D$17="HL3",'AES Indiana Bill Calc.'!$D$18="Yes 100%",'AES Indiana Bill Calc.'!$D$20="Yes 2019"),'AES Indiana Bill Calc.'!$D$19,-1)</f>
        <v>-1</v>
      </c>
      <c r="C1197" s="103">
        <f>MAX(E1197,$C$905)</f>
        <v>2000</v>
      </c>
      <c r="D1197" s="103" t="b">
        <f>IF(AND('AES Indiana Bill Calc.'!$D$17="HL3",'AES Indiana Bill Calc.'!$D$18="Yes 100%",'AES Indiana Bill Calc.'!$D$20="Yes 2019"),'AES Indiana Bill Calc.'!$D$22)</f>
        <v>0</v>
      </c>
      <c r="E1197" s="103" t="b">
        <f>IF(AND('AES Indiana Bill Calc.'!$D$17="HL3",'AES Indiana Bill Calc.'!$D$18="Yes 100%",'AES Indiana Bill Calc.'!$D$20="Yes 2019"),'AES Indiana Bill Calc.'!$D$21)</f>
        <v>0</v>
      </c>
      <c r="F1197" s="36" t="s">
        <v>239</v>
      </c>
      <c r="G1197" s="92" t="e">
        <f>SUM(J1197:M1197,R1197:AA1197)</f>
        <v>#N/A</v>
      </c>
      <c r="H1197" s="19" t="e">
        <f>IF(ISBLANK(B1197),0,+#REF!/B1197)</f>
        <v>#REF!</v>
      </c>
      <c r="J1197" s="51">
        <f>IF(ISBLANK(B1197),0,+J$1162)</f>
        <v>500</v>
      </c>
      <c r="K1197" s="17">
        <f>ROUND($B1197*K$1162,2)</f>
        <v>-0.04</v>
      </c>
      <c r="L1197" s="17">
        <f>IF(ISBLANK($C1197),0,IF($C1197&lt;$C$1163,ROUND($C$1163*$L$1162,2),IF($C1197&gt;L$1163,ROUND(L$1163*L$1162,2),ROUND($C1197*L$1162,2))))</f>
        <v>48180</v>
      </c>
      <c r="M1197" s="17">
        <f>IF($C1197&gt;L$1163,ROUND(($C1197-L$1163)*M$1162,2),0)</f>
        <v>0</v>
      </c>
      <c r="N1197" s="17">
        <f>K1197</f>
        <v>-0.04</v>
      </c>
      <c r="O1197" s="17"/>
      <c r="P1197" s="17"/>
      <c r="Q1197" s="17">
        <f>SUM(L1197:M1197)</f>
        <v>48180</v>
      </c>
      <c r="R1197" s="16" t="e">
        <f>ROUND(SUM(K1197:M1197)*(R1196-1),2)</f>
        <v>#N/A</v>
      </c>
      <c r="S1197" s="17">
        <f>ROUND($B1197*S$1162*S1196,2)</f>
        <v>0</v>
      </c>
      <c r="T1197" s="17">
        <f>ROUND($B1197*T$1162,2)</f>
        <v>0</v>
      </c>
      <c r="U1197" s="17">
        <f>ROUND($B1197*U$1162,2)</f>
        <v>0</v>
      </c>
      <c r="V1197" s="8">
        <f>ROUND($B1197*V$1154,2)</f>
        <v>0</v>
      </c>
      <c r="W1197" s="17">
        <f>ROUND($B1197*W$1162,2)</f>
        <v>0</v>
      </c>
      <c r="X1197" s="17">
        <f>ROUND($B1197*X$1162,2)</f>
        <v>-0.01</v>
      </c>
      <c r="Y1197" s="17">
        <f>ROUND($B1197*Y$1162,2)</f>
        <v>0</v>
      </c>
      <c r="Z1197" s="17">
        <f>ROUND($B1197*Z$1162,2)</f>
        <v>0</v>
      </c>
      <c r="AA1197" s="17">
        <f>ROUND($B1197*AA$1162,2)</f>
        <v>0</v>
      </c>
      <c r="AB1197" s="19">
        <f>SUM(U$1162:AA$1162)+(-V$1162+V1181)</f>
        <v>1.2243E-2</v>
      </c>
      <c r="AC1197" s="67" t="str">
        <f>+F1197</f>
        <v>HL39</v>
      </c>
    </row>
    <row r="1198" spans="1:29" x14ac:dyDescent="0.2">
      <c r="A1198" s="48"/>
      <c r="B1198" s="103">
        <v>-1</v>
      </c>
      <c r="D1198" s="8"/>
      <c r="E1198" s="9"/>
      <c r="F1198" s="36"/>
      <c r="G1198" s="12"/>
      <c r="H1198" s="12"/>
      <c r="J1198" s="12"/>
      <c r="K1198" s="12"/>
      <c r="L1198" s="12"/>
      <c r="M1198" s="12"/>
      <c r="N1198" s="12"/>
      <c r="O1198" s="12"/>
      <c r="P1198" s="12"/>
      <c r="Q1198" s="12"/>
      <c r="R1198" s="38" t="e">
        <f>VLOOKUP((D1199),'Pwr Factor'!$A$1:$B$52,2)</f>
        <v>#N/A</v>
      </c>
      <c r="S1198" s="50">
        <v>0.5</v>
      </c>
      <c r="T1198" s="12"/>
      <c r="U1198" s="12"/>
      <c r="V1198" s="12"/>
      <c r="W1198" s="12"/>
      <c r="X1198" s="12"/>
      <c r="Y1198" s="12"/>
      <c r="Z1198" s="12"/>
      <c r="AA1198" s="12"/>
    </row>
    <row r="1199" spans="1:29" x14ac:dyDescent="0.2">
      <c r="A1199" s="1" t="s">
        <v>139</v>
      </c>
      <c r="B1199" s="103">
        <f>IF(AND('AES Indiana Bill Calc.'!$D$17="HL3",'AES Indiana Bill Calc.'!$D$18="Yes 50%",'AES Indiana Bill Calc.'!$D$20="Yes 2019"),'AES Indiana Bill Calc.'!$D$19,-1)</f>
        <v>-1</v>
      </c>
      <c r="C1199" s="103">
        <f>MAX(E1199,$C$905)</f>
        <v>2000</v>
      </c>
      <c r="D1199" s="103" t="b">
        <f>IF(AND('AES Indiana Bill Calc.'!$D$17="HL3",'AES Indiana Bill Calc.'!$D$18="Yes 50%",'AES Indiana Bill Calc.'!$D$20="Yes 2019"),'AES Indiana Bill Calc.'!$D$22)</f>
        <v>0</v>
      </c>
      <c r="E1199" s="103" t="b">
        <f>IF(AND('AES Indiana Bill Calc.'!$D$17="HL3",'AES Indiana Bill Calc.'!$D$18="Yes 50%",'AES Indiana Bill Calc.'!$D$20="Yes 2019"),'AES Indiana Bill Calc.'!$D$21)</f>
        <v>0</v>
      </c>
      <c r="F1199" s="36" t="s">
        <v>239</v>
      </c>
      <c r="G1199" s="92" t="e">
        <f>SUM(J1199:M1199,R1199:AA1199)</f>
        <v>#N/A</v>
      </c>
      <c r="H1199" s="19" t="e">
        <f>IF(ISBLANK(B1199),0,+#REF!/B1199)</f>
        <v>#REF!</v>
      </c>
      <c r="J1199" s="51">
        <f>IF(ISBLANK(B1199),0,+J$1162)</f>
        <v>500</v>
      </c>
      <c r="K1199" s="17">
        <f>ROUND($B1199*K$1162,2)</f>
        <v>-0.04</v>
      </c>
      <c r="L1199" s="17">
        <f>IF(ISBLANK($C1199),0,IF($C1199&lt;$C$1163,ROUND($C$1163*$L$1162,2),IF($C1199&gt;L$1163,ROUND(L$1163*L$1162,2),ROUND($C1199*L$1162,2))))</f>
        <v>48180</v>
      </c>
      <c r="M1199" s="17">
        <f>IF($C1199&gt;L$1163,ROUND(($C1199-L$1163)*M$1162,2),0)</f>
        <v>0</v>
      </c>
      <c r="N1199" s="17">
        <f>K1199</f>
        <v>-0.04</v>
      </c>
      <c r="O1199" s="17"/>
      <c r="P1199" s="17"/>
      <c r="Q1199" s="17">
        <f>SUM(L1199:M1199)</f>
        <v>48180</v>
      </c>
      <c r="R1199" s="16" t="e">
        <f>ROUND(SUM(K1199:M1199)*(R1198-1),2)</f>
        <v>#N/A</v>
      </c>
      <c r="S1199" s="17">
        <f>ROUND($B1199*S$1162*S1198,2)</f>
        <v>0</v>
      </c>
      <c r="T1199" s="17">
        <f>ROUND($B1199*T$1162,2)</f>
        <v>0</v>
      </c>
      <c r="U1199" s="17">
        <f>ROUND($B1199*U$1162,2)</f>
        <v>0</v>
      </c>
      <c r="V1199" s="8">
        <f>ROUND($B1199*V$1154,2)</f>
        <v>0</v>
      </c>
      <c r="W1199" s="17">
        <f>ROUND($B1199*W$1162,2)</f>
        <v>0</v>
      </c>
      <c r="X1199" s="17">
        <f>ROUND($B1199*X$1162,2)</f>
        <v>-0.01</v>
      </c>
      <c r="Y1199" s="17">
        <f>ROUND($B1199*Y$1162,2)</f>
        <v>0</v>
      </c>
      <c r="Z1199" s="17">
        <f>ROUND($B1199*Z$1162,2)</f>
        <v>0</v>
      </c>
      <c r="AA1199" s="17">
        <f>ROUND($B1199*AA$1162,2)</f>
        <v>0</v>
      </c>
      <c r="AB1199" s="19">
        <f>SUM(U$1162:AA$1162)+(-V$1162+V1183)</f>
        <v>1.2243E-2</v>
      </c>
      <c r="AC1199" s="67" t="str">
        <f>+F1199</f>
        <v>HL39</v>
      </c>
    </row>
    <row r="1200" spans="1:29" x14ac:dyDescent="0.2">
      <c r="A1200" s="9"/>
      <c r="B1200" s="103">
        <v>-1</v>
      </c>
      <c r="D1200" s="8"/>
      <c r="E1200" s="9"/>
      <c r="F1200" s="36"/>
      <c r="G1200" s="12"/>
      <c r="H1200" s="12"/>
      <c r="J1200" s="12"/>
      <c r="K1200" s="12"/>
      <c r="L1200" s="12"/>
      <c r="M1200" s="12"/>
      <c r="N1200" s="12"/>
      <c r="O1200" s="12"/>
      <c r="P1200" s="12"/>
      <c r="Q1200" s="12"/>
      <c r="R1200" s="38" t="e">
        <f>VLOOKUP((D1201),'Pwr Factor'!$A$1:$B$52,2)</f>
        <v>#N/A</v>
      </c>
      <c r="S1200" s="50">
        <v>0.25</v>
      </c>
      <c r="T1200" s="12"/>
      <c r="U1200" s="12"/>
      <c r="V1200" s="12"/>
      <c r="W1200" s="12"/>
      <c r="X1200" s="12"/>
      <c r="Y1200" s="12"/>
      <c r="Z1200" s="12"/>
      <c r="AA1200" s="12"/>
    </row>
    <row r="1201" spans="1:29" x14ac:dyDescent="0.2">
      <c r="A1201" s="1" t="s">
        <v>140</v>
      </c>
      <c r="B1201" s="103">
        <f>IF(AND('AES Indiana Bill Calc.'!$D$17="HL3",'AES Indiana Bill Calc.'!$D$18="Yes 25%",'AES Indiana Bill Calc.'!$D$20="Yes 2019"),'AES Indiana Bill Calc.'!$D$19,-1)</f>
        <v>-1</v>
      </c>
      <c r="C1201" s="103">
        <f>MAX(E1201,$C$905)</f>
        <v>2000</v>
      </c>
      <c r="D1201" s="103" t="b">
        <f>IF(AND('AES Indiana Bill Calc.'!$D$17="HL3",'AES Indiana Bill Calc.'!$D$18="Yes 25%",'AES Indiana Bill Calc.'!$D$20="Yes 2019"),'AES Indiana Bill Calc.'!$D$22)</f>
        <v>0</v>
      </c>
      <c r="E1201" s="103" t="b">
        <f>IF(AND('AES Indiana Bill Calc.'!$D$17="HL3",'AES Indiana Bill Calc.'!$D$18="Yes 25%",'AES Indiana Bill Calc.'!$D$20="Yes 2019"),'AES Indiana Bill Calc.'!$D$21)</f>
        <v>0</v>
      </c>
      <c r="F1201" s="36" t="s">
        <v>239</v>
      </c>
      <c r="G1201" s="92" t="e">
        <f>SUM(J1201:M1201,R1201:AA1201)</f>
        <v>#N/A</v>
      </c>
      <c r="H1201" s="19" t="e">
        <f>IF(ISBLANK(B1201),0,+#REF!/B1201)</f>
        <v>#REF!</v>
      </c>
      <c r="J1201" s="51">
        <f>IF(ISBLANK(B1201),0,+J$1162)</f>
        <v>500</v>
      </c>
      <c r="K1201" s="17">
        <f>ROUND($B1201*K$1162,2)</f>
        <v>-0.04</v>
      </c>
      <c r="L1201" s="17">
        <f>IF(ISBLANK($C1201),0,IF($C1201&lt;$C$1163,ROUND($C$1163*$L$1162,2),IF($C1201&gt;L$1163,ROUND(L$1163*L$1162,2),ROUND($C1201*L$1162,2))))</f>
        <v>48180</v>
      </c>
      <c r="M1201" s="17">
        <f>IF($C1201&gt;L$1163,ROUND(($C1201-L$1163)*M$1162,2),0)</f>
        <v>0</v>
      </c>
      <c r="N1201" s="17">
        <f>K1201</f>
        <v>-0.04</v>
      </c>
      <c r="O1201" s="17"/>
      <c r="P1201" s="17"/>
      <c r="Q1201" s="17">
        <f>SUM(L1201:M1201)</f>
        <v>48180</v>
      </c>
      <c r="R1201" s="16" t="e">
        <f>ROUND(SUM(K1201:M1201)*(R1200-1),2)</f>
        <v>#N/A</v>
      </c>
      <c r="S1201" s="17">
        <f>ROUND($B1201*S$1162*S1200,2)</f>
        <v>0</v>
      </c>
      <c r="T1201" s="17">
        <f>ROUND($B1201*T$1162,2)</f>
        <v>0</v>
      </c>
      <c r="U1201" s="17">
        <f>ROUND($B1201*U$1162,2)</f>
        <v>0</v>
      </c>
      <c r="V1201" s="8">
        <f>ROUND($B1201*V$1154,2)</f>
        <v>0</v>
      </c>
      <c r="W1201" s="17">
        <f>ROUND($B1201*W$1162,2)</f>
        <v>0</v>
      </c>
      <c r="X1201" s="17">
        <f>ROUND($B1201*X$1162,2)</f>
        <v>-0.01</v>
      </c>
      <c r="Y1201" s="17">
        <f>ROUND($B1201*Y$1162,2)</f>
        <v>0</v>
      </c>
      <c r="Z1201" s="17">
        <f>ROUND($B1201*Z$1162,2)</f>
        <v>0</v>
      </c>
      <c r="AA1201" s="17">
        <f>ROUND($B1201*AA$1162,2)</f>
        <v>0</v>
      </c>
      <c r="AB1201" s="19">
        <f>SUM(U$1162:AA$1162)+(-V$1162+V1185)</f>
        <v>1.2243E-2</v>
      </c>
      <c r="AC1201" s="67" t="str">
        <f>+F1201</f>
        <v>HL39</v>
      </c>
    </row>
    <row r="1202" spans="1:29" x14ac:dyDescent="0.2">
      <c r="A1202" s="9"/>
      <c r="B1202" s="103">
        <v>-1</v>
      </c>
      <c r="D1202" s="8"/>
      <c r="E1202" s="9"/>
      <c r="F1202" s="36"/>
      <c r="G1202" s="12"/>
      <c r="H1202" s="12"/>
      <c r="J1202" s="12"/>
      <c r="K1202" s="12"/>
      <c r="L1202" s="12"/>
      <c r="M1202" s="12"/>
      <c r="N1202" s="12"/>
      <c r="O1202" s="12"/>
      <c r="P1202" s="12"/>
      <c r="Q1202" s="12"/>
      <c r="R1202" s="38" t="e">
        <f>VLOOKUP((D1203),'Pwr Factor'!$A$1:$B$52,2)</f>
        <v>#N/A</v>
      </c>
      <c r="S1202" s="50">
        <v>0.1</v>
      </c>
      <c r="T1202" s="12"/>
      <c r="U1202" s="12"/>
      <c r="V1202" s="12"/>
      <c r="W1202" s="12"/>
      <c r="X1202" s="12"/>
      <c r="Y1202" s="12"/>
      <c r="Z1202" s="12"/>
      <c r="AA1202" s="12"/>
    </row>
    <row r="1203" spans="1:29" x14ac:dyDescent="0.2">
      <c r="A1203" s="1" t="s">
        <v>154</v>
      </c>
      <c r="B1203" s="103">
        <f>IF(AND('AES Indiana Bill Calc.'!$D$17="HL3",'AES Indiana Bill Calc.'!$D$18="Yes 10%",'AES Indiana Bill Calc.'!$D$20="Yes 2019"),'AES Indiana Bill Calc.'!$D$19,-1)</f>
        <v>-1</v>
      </c>
      <c r="C1203" s="103">
        <f>MAX(E1203,$C$905)</f>
        <v>2000</v>
      </c>
      <c r="D1203" s="103" t="b">
        <f>IF(AND('AES Indiana Bill Calc.'!$D$17="HL3",'AES Indiana Bill Calc.'!$D$18="Yes 10%",'AES Indiana Bill Calc.'!$D$20="Yes 2019"),'AES Indiana Bill Calc.'!$D$22)</f>
        <v>0</v>
      </c>
      <c r="E1203" s="103" t="b">
        <f>IF(AND('AES Indiana Bill Calc.'!$D$17="HL3",'AES Indiana Bill Calc.'!$D$18="Yes 10%",'AES Indiana Bill Calc.'!$D$20="Yes 2019"),'AES Indiana Bill Calc.'!$D$21)</f>
        <v>0</v>
      </c>
      <c r="F1203" s="36" t="s">
        <v>239</v>
      </c>
      <c r="G1203" s="92" t="e">
        <f>SUM(J1203:M1203,R1203:AA1203)</f>
        <v>#N/A</v>
      </c>
      <c r="H1203" s="19" t="e">
        <f>IF(ISBLANK(B1203),0,+#REF!/B1203)</f>
        <v>#REF!</v>
      </c>
      <c r="J1203" s="51">
        <f>IF(ISBLANK(B1203),0,+J$1162)</f>
        <v>500</v>
      </c>
      <c r="K1203" s="17">
        <f>ROUND($B1203*K$1162,2)</f>
        <v>-0.04</v>
      </c>
      <c r="L1203" s="17">
        <f>IF(ISBLANK($C1203),0,IF($C1203&lt;$C$1163,ROUND($C$1163*$L$1162,2),IF($C1203&gt;L$1163,ROUND(L$1163*L$1162,2),ROUND($C1203*L$1162,2))))</f>
        <v>48180</v>
      </c>
      <c r="M1203" s="17">
        <f>IF($C1203&gt;L$1163,ROUND(($C1203-L$1163)*M$1162,2),0)</f>
        <v>0</v>
      </c>
      <c r="N1203" s="17">
        <f>K1203</f>
        <v>-0.04</v>
      </c>
      <c r="O1203" s="17"/>
      <c r="P1203" s="17"/>
      <c r="Q1203" s="17">
        <f>SUM(L1203:M1203)</f>
        <v>48180</v>
      </c>
      <c r="R1203" s="16" t="e">
        <f>ROUND(SUM(K1203:M1203)*(R1202-1),2)</f>
        <v>#N/A</v>
      </c>
      <c r="S1203" s="17">
        <f>ROUND($B1203*S$1162*S1202,2)</f>
        <v>0</v>
      </c>
      <c r="T1203" s="17">
        <f>ROUND($B1203*T$1162,2)</f>
        <v>0</v>
      </c>
      <c r="U1203" s="17">
        <f>ROUND($B1203*U$1162,2)</f>
        <v>0</v>
      </c>
      <c r="V1203" s="8">
        <f>ROUND($B1203*V$1154,2)</f>
        <v>0</v>
      </c>
      <c r="W1203" s="17">
        <f>ROUND($B1203*W$1162,2)</f>
        <v>0</v>
      </c>
      <c r="X1203" s="17">
        <f>ROUND($B1203*X$1162,2)</f>
        <v>-0.01</v>
      </c>
      <c r="Y1203" s="17">
        <f>ROUND($B1203*Y$1162,2)</f>
        <v>0</v>
      </c>
      <c r="Z1203" s="17">
        <f>ROUND($B1203*Z$1162,2)</f>
        <v>0</v>
      </c>
      <c r="AA1203" s="17">
        <f>ROUND($B1203*AA$1162,2)</f>
        <v>0</v>
      </c>
      <c r="AB1203" s="19">
        <f>SUM(U$1162:AA$1162)+(-V$1162+V1187)</f>
        <v>1.2243E-2</v>
      </c>
      <c r="AC1203" s="67" t="str">
        <f>+F1203</f>
        <v>HL39</v>
      </c>
    </row>
    <row r="1204" spans="1:29" x14ac:dyDescent="0.2">
      <c r="A1204" s="9"/>
      <c r="B1204" s="103">
        <v>-1</v>
      </c>
      <c r="D1204" s="8"/>
      <c r="E1204" s="9"/>
      <c r="F1204" s="36"/>
      <c r="G1204" s="12"/>
      <c r="H1204" s="12"/>
      <c r="J1204" s="12"/>
      <c r="K1204" s="12"/>
      <c r="L1204" s="12"/>
      <c r="M1204" s="12"/>
      <c r="N1204" s="12"/>
      <c r="O1204" s="12"/>
      <c r="P1204" s="12"/>
      <c r="Q1204" s="12"/>
      <c r="R1204" s="38" t="e">
        <f>VLOOKUP((D1205),'Pwr Factor'!$A$1:$B$52,2)</f>
        <v>#N/A</v>
      </c>
      <c r="S1204" s="50">
        <v>0</v>
      </c>
      <c r="T1204" s="12"/>
      <c r="U1204" s="12"/>
      <c r="V1204" s="12"/>
      <c r="W1204" s="12"/>
      <c r="X1204" s="12"/>
      <c r="Y1204" s="12"/>
      <c r="Z1204" s="12"/>
      <c r="AA1204" s="12"/>
    </row>
    <row r="1205" spans="1:29" x14ac:dyDescent="0.2">
      <c r="A1205" s="1" t="s">
        <v>137</v>
      </c>
      <c r="B1205" s="103">
        <f>IF(AND('AES Indiana Bill Calc.'!$D$17="HL3",'AES Indiana Bill Calc.'!$D$18="No",'AES Indiana Bill Calc.'!$D$20="Yes 2019"),'AES Indiana Bill Calc.'!$D$19,-1)</f>
        <v>-1</v>
      </c>
      <c r="C1205" s="103">
        <f>MAX(E1205,$C$905)</f>
        <v>2000</v>
      </c>
      <c r="D1205" s="103" t="b">
        <f>IF(AND('AES Indiana Bill Calc.'!$D$17="HL3",'AES Indiana Bill Calc.'!$D$18="No",'AES Indiana Bill Calc.'!$D$20="Yes 2019"),'AES Indiana Bill Calc.'!$D$22)</f>
        <v>0</v>
      </c>
      <c r="E1205" s="103" t="b">
        <f>IF(AND('AES Indiana Bill Calc.'!$D$17="HL3",'AES Indiana Bill Calc.'!$D$18="No",'AES Indiana Bill Calc.'!$D$20="Yes 2019"),'AES Indiana Bill Calc.'!$D$21)</f>
        <v>0</v>
      </c>
      <c r="F1205" s="36" t="s">
        <v>239</v>
      </c>
      <c r="G1205" s="92" t="e">
        <f>SUM(J1205:M1205,R1205:AA1205)</f>
        <v>#N/A</v>
      </c>
      <c r="H1205" s="19" t="e">
        <f>IF(ISBLANK(B1205),0,+#REF!/B1205)</f>
        <v>#REF!</v>
      </c>
      <c r="J1205" s="51">
        <f>IF(ISBLANK(B1205),0,+J$1162)</f>
        <v>500</v>
      </c>
      <c r="K1205" s="17">
        <f>ROUND($B1205*K$1162,2)</f>
        <v>-0.04</v>
      </c>
      <c r="L1205" s="17">
        <f>IF(ISBLANK($C1205),0,IF($C1205&lt;$C$1163,ROUND($C$1163*$L$1162,2),IF($C1205&gt;L$1163,ROUND(L$1163*L$1162,2),ROUND($C1205*L$1162,2))))</f>
        <v>48180</v>
      </c>
      <c r="M1205" s="17">
        <f>IF($C1205&gt;L$1163,ROUND(($C1205-L$1163)*M$1162,2),0)</f>
        <v>0</v>
      </c>
      <c r="N1205" s="17">
        <f>K1205</f>
        <v>-0.04</v>
      </c>
      <c r="O1205" s="17"/>
      <c r="P1205" s="17"/>
      <c r="Q1205" s="17">
        <f>SUM(L1205:M1205)</f>
        <v>48180</v>
      </c>
      <c r="R1205" s="16" t="e">
        <f>ROUND(SUM(K1205:M1205)*(R1204-1),2)</f>
        <v>#N/A</v>
      </c>
      <c r="S1205" s="17">
        <f>ROUND($B1205*S$1162*S1204,2)</f>
        <v>0</v>
      </c>
      <c r="T1205" s="17">
        <f>ROUND($B1205*T$1162,2)</f>
        <v>0</v>
      </c>
      <c r="U1205" s="17">
        <f>ROUND($B1205*U$1162,2)</f>
        <v>0</v>
      </c>
      <c r="V1205" s="8">
        <f>ROUND($B1205*V$1154,2)</f>
        <v>0</v>
      </c>
      <c r="W1205" s="17">
        <f>ROUND($B1205*W$1162,2)</f>
        <v>0</v>
      </c>
      <c r="X1205" s="17">
        <f>ROUND($B1205*X$1162,2)</f>
        <v>-0.01</v>
      </c>
      <c r="Y1205" s="17">
        <f>ROUND($B1205*Y$1162,2)</f>
        <v>0</v>
      </c>
      <c r="Z1205" s="17">
        <f>ROUND($B1205*Z$1162,2)</f>
        <v>0</v>
      </c>
      <c r="AA1205" s="17">
        <f>ROUND($B1205*AA$1162,2)</f>
        <v>0</v>
      </c>
      <c r="AB1205" s="19">
        <f>SUM(U$1162:AA$1162)+(-V$1162+V1189)</f>
        <v>1.2243E-2</v>
      </c>
      <c r="AC1205" s="67" t="str">
        <f>+F1205</f>
        <v>HL39</v>
      </c>
    </row>
    <row r="1206" spans="1:29" x14ac:dyDescent="0.2">
      <c r="A1206" s="48"/>
      <c r="B1206" s="103">
        <v>-1</v>
      </c>
      <c r="D1206" s="8"/>
      <c r="E1206" s="9"/>
      <c r="F1206" s="36"/>
      <c r="G1206" s="12"/>
      <c r="H1206" s="12"/>
      <c r="J1206" s="12"/>
      <c r="K1206" s="12"/>
      <c r="L1206" s="12"/>
      <c r="M1206" s="12"/>
      <c r="N1206" s="12"/>
      <c r="O1206" s="12"/>
      <c r="P1206" s="12"/>
      <c r="Q1206" s="12"/>
      <c r="R1206" s="38" t="e">
        <f>VLOOKUP((D1207),'Pwr Factor'!$A$1:$B$52,2)</f>
        <v>#N/A</v>
      </c>
      <c r="S1206" s="50">
        <v>1</v>
      </c>
      <c r="T1206" s="12"/>
      <c r="U1206" s="12"/>
      <c r="V1206" s="12"/>
      <c r="W1206" s="12"/>
      <c r="X1206" s="12"/>
      <c r="Y1206" s="12"/>
      <c r="Z1206" s="12"/>
      <c r="AA1206" s="12"/>
    </row>
    <row r="1207" spans="1:29" x14ac:dyDescent="0.2">
      <c r="A1207" s="1" t="s">
        <v>138</v>
      </c>
      <c r="B1207" s="103">
        <f>IF(AND('AES Indiana Bill Calc.'!$D$17="HL3",'AES Indiana Bill Calc.'!$D$18="Yes 100%",'AES Indiana Bill Calc.'!$D$20="Yes 2020"),'AES Indiana Bill Calc.'!$D$19,-1)</f>
        <v>-1</v>
      </c>
      <c r="C1207" s="103">
        <f>MAX(E1207,$C$905)</f>
        <v>2000</v>
      </c>
      <c r="D1207" s="103" t="b">
        <f>IF(AND('AES Indiana Bill Calc.'!$D$17="HL3",'AES Indiana Bill Calc.'!$D$18="Yes 100%",'AES Indiana Bill Calc.'!$D$20="Yes 2020"),'AES Indiana Bill Calc.'!$D$22)</f>
        <v>0</v>
      </c>
      <c r="E1207" s="103" t="b">
        <f>IF(AND('AES Indiana Bill Calc.'!$D$17="HL3",'AES Indiana Bill Calc.'!$D$18="Yes 100%",'AES Indiana Bill Calc.'!$D$20="Yes 2020"),'AES Indiana Bill Calc.'!$D$21)</f>
        <v>0</v>
      </c>
      <c r="F1207" s="36" t="s">
        <v>240</v>
      </c>
      <c r="G1207" s="92" t="e">
        <f>SUM(J1207:M1207,R1207:AA1207)</f>
        <v>#N/A</v>
      </c>
      <c r="H1207" s="19" t="e">
        <f>IF(ISBLANK(B1207),0,+#REF!/B1207)</f>
        <v>#REF!</v>
      </c>
      <c r="J1207" s="51">
        <f>IF(ISBLANK(B1207),0,+J$1162)</f>
        <v>500</v>
      </c>
      <c r="K1207" s="17">
        <f>ROUND($B1207*K$1162,2)</f>
        <v>-0.04</v>
      </c>
      <c r="L1207" s="17">
        <f>IF(ISBLANK($C1207),0,IF($C1207&lt;$C$1163,ROUND($C$1163*$L$1162,2),IF($C1207&gt;L$1163,ROUND(L$1163*L$1162,2),ROUND($C1207*L$1162,2))))</f>
        <v>48180</v>
      </c>
      <c r="M1207" s="17">
        <f>IF($C1207&gt;L$1163,ROUND(($C1207-L$1163)*M$1162,2),0)</f>
        <v>0</v>
      </c>
      <c r="N1207" s="17">
        <f>K1207</f>
        <v>-0.04</v>
      </c>
      <c r="O1207" s="17"/>
      <c r="P1207" s="17"/>
      <c r="Q1207" s="17">
        <f>SUM(L1207:M1207)</f>
        <v>48180</v>
      </c>
      <c r="R1207" s="16" t="e">
        <f>ROUND(SUM(K1207:M1207)*(R1206-1),2)</f>
        <v>#N/A</v>
      </c>
      <c r="S1207" s="17">
        <f>ROUND($B1207*S$1162*S1206,2)</f>
        <v>0</v>
      </c>
      <c r="T1207" s="17">
        <f>ROUND($B1207*T$1162,2)</f>
        <v>0</v>
      </c>
      <c r="U1207" s="17">
        <f>ROUND($B1207*U$1162,2)</f>
        <v>0</v>
      </c>
      <c r="V1207" s="8">
        <f>ROUND($B1207*V$1155,2)</f>
        <v>0</v>
      </c>
      <c r="W1207" s="17">
        <f>ROUND($B1207*W$1162,2)</f>
        <v>0</v>
      </c>
      <c r="X1207" s="17">
        <f>ROUND($B1207*X$1162,2)</f>
        <v>-0.01</v>
      </c>
      <c r="Y1207" s="17">
        <f>ROUND($B1207*Y$1162,2)</f>
        <v>0</v>
      </c>
      <c r="Z1207" s="17">
        <f>ROUND($B1207*Z$1162,2)</f>
        <v>0</v>
      </c>
      <c r="AA1207" s="17">
        <f>ROUND($B1207*AA$1162,2)</f>
        <v>0</v>
      </c>
      <c r="AB1207" s="19">
        <f>SUM(U$1162:AA$1162)+(-V$1162+V1191)</f>
        <v>1.2243E-2</v>
      </c>
      <c r="AC1207" s="67" t="str">
        <f>+F1207</f>
        <v>HL30</v>
      </c>
    </row>
    <row r="1208" spans="1:29" x14ac:dyDescent="0.2">
      <c r="A1208" s="48"/>
      <c r="B1208" s="103">
        <v>-1</v>
      </c>
      <c r="D1208" s="8"/>
      <c r="E1208" s="9"/>
      <c r="F1208" s="36"/>
      <c r="G1208" s="12"/>
      <c r="H1208" s="12"/>
      <c r="J1208" s="12"/>
      <c r="K1208" s="12"/>
      <c r="L1208" s="12"/>
      <c r="M1208" s="12"/>
      <c r="N1208" s="12"/>
      <c r="O1208" s="12"/>
      <c r="P1208" s="12"/>
      <c r="Q1208" s="12"/>
      <c r="R1208" s="38" t="e">
        <f>VLOOKUP((D1209),'Pwr Factor'!$A$1:$B$52,2)</f>
        <v>#N/A</v>
      </c>
      <c r="S1208" s="50">
        <v>0.5</v>
      </c>
      <c r="T1208" s="12"/>
      <c r="U1208" s="12"/>
      <c r="V1208" s="12"/>
      <c r="W1208" s="12"/>
      <c r="X1208" s="12"/>
      <c r="Y1208" s="12"/>
      <c r="Z1208" s="12"/>
      <c r="AA1208" s="12"/>
    </row>
    <row r="1209" spans="1:29" x14ac:dyDescent="0.2">
      <c r="A1209" s="1" t="s">
        <v>139</v>
      </c>
      <c r="B1209" s="103">
        <f>IF(AND('AES Indiana Bill Calc.'!$D$17="HL3",'AES Indiana Bill Calc.'!$D$18="Yes 50%",'AES Indiana Bill Calc.'!$D$20="Yes 2020"),'AES Indiana Bill Calc.'!$D$19,-1)</f>
        <v>-1</v>
      </c>
      <c r="C1209" s="103">
        <f>MAX(E1209,$C$905)</f>
        <v>2000</v>
      </c>
      <c r="D1209" s="103" t="b">
        <f>IF(AND('AES Indiana Bill Calc.'!$D$17="HL3",'AES Indiana Bill Calc.'!$D$18="Yes 50%",'AES Indiana Bill Calc.'!$D$20="Yes 2020"),'AES Indiana Bill Calc.'!$D$22)</f>
        <v>0</v>
      </c>
      <c r="E1209" s="103" t="b">
        <f>IF(AND('AES Indiana Bill Calc.'!$D$17="HL3",'AES Indiana Bill Calc.'!$D$18="Yes 50%",'AES Indiana Bill Calc.'!$D$20="Yes 2020"),'AES Indiana Bill Calc.'!$D$21)</f>
        <v>0</v>
      </c>
      <c r="F1209" s="36" t="s">
        <v>240</v>
      </c>
      <c r="G1209" s="92" t="e">
        <f>SUM(J1209:M1209,R1209:AA1209)</f>
        <v>#N/A</v>
      </c>
      <c r="H1209" s="19" t="e">
        <f>IF(ISBLANK(B1209),0,+#REF!/B1209)</f>
        <v>#REF!</v>
      </c>
      <c r="J1209" s="51">
        <f>IF(ISBLANK(B1209),0,+J$1162)</f>
        <v>500</v>
      </c>
      <c r="K1209" s="17">
        <f>ROUND($B1209*K$1162,2)</f>
        <v>-0.04</v>
      </c>
      <c r="L1209" s="17">
        <f>IF(ISBLANK($C1209),0,IF($C1209&lt;$C$1163,ROUND($C$1163*$L$1162,2),IF($C1209&gt;L$1163,ROUND(L$1163*L$1162,2),ROUND($C1209*L$1162,2))))</f>
        <v>48180</v>
      </c>
      <c r="M1209" s="17">
        <f>IF($C1209&gt;L$1163,ROUND(($C1209-L$1163)*M$1162,2),0)</f>
        <v>0</v>
      </c>
      <c r="N1209" s="17">
        <v>0</v>
      </c>
      <c r="O1209" s="17"/>
      <c r="P1209" s="17"/>
      <c r="Q1209" s="17">
        <f>SUM(L1209:M1209)</f>
        <v>48180</v>
      </c>
      <c r="R1209" s="16" t="e">
        <f>ROUND(SUM(K1209:M1209)*(R1208-1),2)</f>
        <v>#N/A</v>
      </c>
      <c r="S1209" s="17">
        <f>ROUND($B1209*S$1162*S1208,2)</f>
        <v>0</v>
      </c>
      <c r="T1209" s="17">
        <f>ROUND($B1209*T$1162,2)</f>
        <v>0</v>
      </c>
      <c r="U1209" s="17">
        <f>ROUND($B1209*U$1162,2)</f>
        <v>0</v>
      </c>
      <c r="V1209" s="8">
        <f>ROUND($B1209*V$1155,2)</f>
        <v>0</v>
      </c>
      <c r="W1209" s="17">
        <f>ROUND($B1209*W$1162,2)</f>
        <v>0</v>
      </c>
      <c r="X1209" s="17">
        <f>ROUND($B1209*X$1162,2)</f>
        <v>-0.01</v>
      </c>
      <c r="Y1209" s="17">
        <f>ROUND($B1209*Y$1162,2)</f>
        <v>0</v>
      </c>
      <c r="Z1209" s="17">
        <f>ROUND($B1209*Z$1162,2)</f>
        <v>0</v>
      </c>
      <c r="AA1209" s="17">
        <f>ROUND($B1209*AA$1162,2)</f>
        <v>0</v>
      </c>
      <c r="AB1209" s="19">
        <f>SUM(U$1162:AA$1162)+(-V$1162+V1193)</f>
        <v>1.2243E-2</v>
      </c>
      <c r="AC1209" s="67" t="str">
        <f>+F1209</f>
        <v>HL30</v>
      </c>
    </row>
    <row r="1210" spans="1:29" x14ac:dyDescent="0.2">
      <c r="A1210" s="9"/>
      <c r="B1210" s="103">
        <v>-1</v>
      </c>
      <c r="D1210" s="8"/>
      <c r="E1210" s="9"/>
      <c r="F1210" s="36"/>
      <c r="G1210" s="12"/>
      <c r="H1210" s="12"/>
      <c r="J1210" s="12"/>
      <c r="K1210" s="12"/>
      <c r="L1210" s="12"/>
      <c r="M1210" s="12"/>
      <c r="N1210" s="12"/>
      <c r="O1210" s="12"/>
      <c r="P1210" s="12"/>
      <c r="Q1210" s="12"/>
      <c r="R1210" s="38" t="e">
        <f>VLOOKUP((D1211),'Pwr Factor'!$A$1:$B$52,2)</f>
        <v>#N/A</v>
      </c>
      <c r="S1210" s="50">
        <v>0.25</v>
      </c>
      <c r="T1210" s="12"/>
      <c r="U1210" s="12"/>
      <c r="V1210" s="12"/>
      <c r="W1210" s="12"/>
      <c r="X1210" s="12"/>
      <c r="Y1210" s="12"/>
      <c r="Z1210" s="12"/>
      <c r="AA1210" s="12"/>
    </row>
    <row r="1211" spans="1:29" x14ac:dyDescent="0.2">
      <c r="A1211" s="1" t="s">
        <v>140</v>
      </c>
      <c r="B1211" s="103">
        <f>IF(AND('AES Indiana Bill Calc.'!$D$17="HL3",'AES Indiana Bill Calc.'!$D$18="Yes 25%",'AES Indiana Bill Calc.'!$D$20="Yes 2020"),'AES Indiana Bill Calc.'!$D$19,-1)</f>
        <v>-1</v>
      </c>
      <c r="C1211" s="103">
        <f>MAX(E1211,$C$905)</f>
        <v>2000</v>
      </c>
      <c r="D1211" s="103" t="b">
        <f>IF(AND('AES Indiana Bill Calc.'!$D$17="HL3",'AES Indiana Bill Calc.'!$D$18="Yes 25%",'AES Indiana Bill Calc.'!$D$20="Yes 2020"),'AES Indiana Bill Calc.'!$D$22)</f>
        <v>0</v>
      </c>
      <c r="E1211" s="103" t="b">
        <f>IF(AND('AES Indiana Bill Calc.'!$D$17="HL3",'AES Indiana Bill Calc.'!$D$18="Yes 25%",'AES Indiana Bill Calc.'!$D$20="Yes 2020"),'AES Indiana Bill Calc.'!$D$21)</f>
        <v>0</v>
      </c>
      <c r="F1211" s="36" t="s">
        <v>240</v>
      </c>
      <c r="G1211" s="92" t="e">
        <f>SUM(J1211:M1211,R1211:AA1211)</f>
        <v>#N/A</v>
      </c>
      <c r="H1211" s="19" t="e">
        <f>IF(ISBLANK(B1211),0,+#REF!/B1211)</f>
        <v>#REF!</v>
      </c>
      <c r="J1211" s="51">
        <f>IF(ISBLANK(B1211),0,+J$1162)</f>
        <v>500</v>
      </c>
      <c r="K1211" s="17">
        <f>ROUND($B1211*K$1162,2)</f>
        <v>-0.04</v>
      </c>
      <c r="L1211" s="17">
        <f>IF(ISBLANK($C1211),0,IF($C1211&lt;$C$1163,ROUND($C$1163*$L$1162,2),IF($C1211&gt;L$1163,ROUND(L$1163*L$1162,2),ROUND($C1211*L$1162,2))))</f>
        <v>48180</v>
      </c>
      <c r="M1211" s="17">
        <f>IF($C1211&gt;L$1163,ROUND(($C1211-L$1163)*M$1162,2),0)</f>
        <v>0</v>
      </c>
      <c r="N1211" s="17">
        <f>K1211</f>
        <v>-0.04</v>
      </c>
      <c r="O1211" s="17"/>
      <c r="P1211" s="17"/>
      <c r="Q1211" s="17">
        <f>SUM(L1211:M1211)</f>
        <v>48180</v>
      </c>
      <c r="R1211" s="16" t="e">
        <f>ROUND(SUM(K1211:M1211)*(R1210-1),2)</f>
        <v>#N/A</v>
      </c>
      <c r="S1211" s="17">
        <f>ROUND($B1211*S$1162*S1210,2)</f>
        <v>0</v>
      </c>
      <c r="T1211" s="17">
        <f>ROUND($B1211*T$1162,2)</f>
        <v>0</v>
      </c>
      <c r="U1211" s="17">
        <f>ROUND($B1211*U$1162,2)</f>
        <v>0</v>
      </c>
      <c r="V1211" s="8">
        <f>ROUND($B1211*V$1155,2)</f>
        <v>0</v>
      </c>
      <c r="W1211" s="17">
        <f>ROUND($B1211*W$1162,2)</f>
        <v>0</v>
      </c>
      <c r="X1211" s="17">
        <f>ROUND($B1211*X$1162,2)</f>
        <v>-0.01</v>
      </c>
      <c r="Y1211" s="17">
        <f>ROUND($B1211*Y$1162,2)</f>
        <v>0</v>
      </c>
      <c r="Z1211" s="17">
        <f>ROUND($B1211*Z$1162,2)</f>
        <v>0</v>
      </c>
      <c r="AA1211" s="17">
        <f>ROUND($B1211*AA$1162,2)</f>
        <v>0</v>
      </c>
      <c r="AB1211" s="19">
        <f>SUM(U$1162:AA$1162)+(-V$1162+V1195)</f>
        <v>1.2243E-2</v>
      </c>
      <c r="AC1211" s="67" t="str">
        <f>+F1211</f>
        <v>HL30</v>
      </c>
    </row>
    <row r="1212" spans="1:29" x14ac:dyDescent="0.2">
      <c r="A1212" s="9"/>
      <c r="B1212" s="103">
        <v>-1</v>
      </c>
      <c r="D1212" s="8"/>
      <c r="E1212" s="9"/>
      <c r="F1212" s="36"/>
      <c r="G1212" s="12"/>
      <c r="H1212" s="12"/>
      <c r="J1212" s="12"/>
      <c r="K1212" s="12"/>
      <c r="L1212" s="12"/>
      <c r="M1212" s="12"/>
      <c r="N1212" s="12"/>
      <c r="O1212" s="12"/>
      <c r="P1212" s="12"/>
      <c r="Q1212" s="12"/>
      <c r="R1212" s="38" t="e">
        <f>VLOOKUP((D1213),'Pwr Factor'!$A$1:$B$52,2)</f>
        <v>#N/A</v>
      </c>
      <c r="S1212" s="50">
        <v>0.1</v>
      </c>
      <c r="T1212" s="12"/>
      <c r="U1212" s="12"/>
      <c r="V1212" s="12"/>
      <c r="W1212" s="12"/>
      <c r="X1212" s="12"/>
      <c r="Y1212" s="12"/>
      <c r="Z1212" s="12"/>
      <c r="AA1212" s="12"/>
    </row>
    <row r="1213" spans="1:29" x14ac:dyDescent="0.2">
      <c r="A1213" s="1" t="s">
        <v>154</v>
      </c>
      <c r="B1213" s="103">
        <f>IF(AND('AES Indiana Bill Calc.'!$D$17="HL3",'AES Indiana Bill Calc.'!$D$18="Yes 10%",'AES Indiana Bill Calc.'!$D$20="Yes 2020"),'AES Indiana Bill Calc.'!$D$19,-1)</f>
        <v>-1</v>
      </c>
      <c r="C1213" s="103">
        <f>MAX(E1213,$C$905)</f>
        <v>2000</v>
      </c>
      <c r="D1213" s="103" t="b">
        <f>IF(AND('AES Indiana Bill Calc.'!$D$17="HL3",'AES Indiana Bill Calc.'!$D$18="Yes 10%",'AES Indiana Bill Calc.'!$D$20="Yes 2020"),'AES Indiana Bill Calc.'!$D$22)</f>
        <v>0</v>
      </c>
      <c r="E1213" s="103" t="b">
        <f>IF(AND('AES Indiana Bill Calc.'!$D$17="HL3",'AES Indiana Bill Calc.'!$D$18="Yes 10%",'AES Indiana Bill Calc.'!$D$20="Yes 2020"),'AES Indiana Bill Calc.'!$D$21)</f>
        <v>0</v>
      </c>
      <c r="F1213" s="36" t="s">
        <v>240</v>
      </c>
      <c r="G1213" s="92" t="e">
        <f>SUM(J1213:M1213,R1213:AA1213)</f>
        <v>#N/A</v>
      </c>
      <c r="H1213" s="19" t="e">
        <f>IF(ISBLANK(B1213),0,+#REF!/B1213)</f>
        <v>#REF!</v>
      </c>
      <c r="J1213" s="51">
        <f>IF(ISBLANK(B1213),0,+J$1162)</f>
        <v>500</v>
      </c>
      <c r="K1213" s="17">
        <f>ROUND($B1213*K$1162,2)</f>
        <v>-0.04</v>
      </c>
      <c r="L1213" s="17">
        <f>IF(ISBLANK($C1213),0,IF($C1213&lt;$C$1163,ROUND($C$1163*$L$1162,2),IF($C1213&gt;L$1163,ROUND(L$1163*L$1162,2),ROUND($C1213*L$1162,2))))</f>
        <v>48180</v>
      </c>
      <c r="M1213" s="17">
        <f>IF($C1213&gt;L$1163,ROUND(($C1213-L$1163)*M$1162,2),0)</f>
        <v>0</v>
      </c>
      <c r="N1213" s="17">
        <f>K1213</f>
        <v>-0.04</v>
      </c>
      <c r="O1213" s="17"/>
      <c r="P1213" s="17"/>
      <c r="Q1213" s="17">
        <f>SUM(L1213:M1213)</f>
        <v>48180</v>
      </c>
      <c r="R1213" s="16" t="e">
        <f>ROUND(SUM(K1213:M1213)*(R1212-1),2)</f>
        <v>#N/A</v>
      </c>
      <c r="S1213" s="17">
        <f>ROUND($B1213*S$1162*S1212,2)</f>
        <v>0</v>
      </c>
      <c r="T1213" s="17">
        <f>ROUND($B1213*T$1162,2)</f>
        <v>0</v>
      </c>
      <c r="U1213" s="17">
        <f>ROUND($B1213*U$1162,2)</f>
        <v>0</v>
      </c>
      <c r="V1213" s="8">
        <f>ROUND($B1213*V$1155,2)</f>
        <v>0</v>
      </c>
      <c r="W1213" s="17">
        <f>ROUND($B1213*W$1162,2)</f>
        <v>0</v>
      </c>
      <c r="X1213" s="17">
        <f>ROUND($B1213*X$1162,2)</f>
        <v>-0.01</v>
      </c>
      <c r="Y1213" s="17">
        <f>ROUND($B1213*Y$1162,2)</f>
        <v>0</v>
      </c>
      <c r="Z1213" s="17">
        <f>ROUND($B1213*Z$1162,2)</f>
        <v>0</v>
      </c>
      <c r="AA1213" s="17">
        <f>ROUND($B1213*AA$1162,2)</f>
        <v>0</v>
      </c>
      <c r="AB1213" s="19">
        <f>SUM(U$1162:AA$1162)+(-V$1162+V1197)</f>
        <v>1.2243E-2</v>
      </c>
      <c r="AC1213" s="67" t="str">
        <f>+F1213</f>
        <v>HL30</v>
      </c>
    </row>
    <row r="1214" spans="1:29" x14ac:dyDescent="0.2">
      <c r="A1214" s="9"/>
      <c r="B1214" s="103">
        <v>-1</v>
      </c>
      <c r="D1214" s="8"/>
      <c r="E1214" s="9"/>
      <c r="F1214" s="36"/>
      <c r="G1214" s="12"/>
      <c r="H1214" s="12"/>
      <c r="J1214" s="12"/>
      <c r="K1214" s="12"/>
      <c r="L1214" s="12"/>
      <c r="M1214" s="12"/>
      <c r="N1214" s="12"/>
      <c r="O1214" s="12"/>
      <c r="P1214" s="12"/>
      <c r="Q1214" s="12"/>
      <c r="R1214" s="38" t="e">
        <f>VLOOKUP((D1215),'Pwr Factor'!$A$1:$B$52,2)</f>
        <v>#N/A</v>
      </c>
      <c r="S1214" s="50">
        <v>0</v>
      </c>
      <c r="T1214" s="12"/>
      <c r="U1214" s="12"/>
      <c r="V1214" s="12"/>
      <c r="W1214" s="12"/>
      <c r="X1214" s="12"/>
      <c r="Y1214" s="12"/>
      <c r="Z1214" s="12"/>
      <c r="AA1214" s="12"/>
    </row>
    <row r="1215" spans="1:29" x14ac:dyDescent="0.2">
      <c r="A1215" s="1" t="s">
        <v>137</v>
      </c>
      <c r="B1215" s="103">
        <f>IF(AND('AES Indiana Bill Calc.'!$D$17="HL3",'AES Indiana Bill Calc.'!$D$18="No",'AES Indiana Bill Calc.'!$D$20="Yes 2020"),'AES Indiana Bill Calc.'!$D$19,-1)</f>
        <v>-1</v>
      </c>
      <c r="C1215" s="103">
        <f>MAX(E1215,$C$905)</f>
        <v>2000</v>
      </c>
      <c r="D1215" s="103" t="b">
        <f>IF(AND('AES Indiana Bill Calc.'!$D$17="HL3",'AES Indiana Bill Calc.'!$D$18="No",'AES Indiana Bill Calc.'!$D$20="Yes 2020"),'AES Indiana Bill Calc.'!$D$22)</f>
        <v>0</v>
      </c>
      <c r="E1215" s="103" t="b">
        <f>IF(AND('AES Indiana Bill Calc.'!$D$17="HL3",'AES Indiana Bill Calc.'!$D$18="No",'AES Indiana Bill Calc.'!$D$20="Yes 2020"),'AES Indiana Bill Calc.'!$D$21)</f>
        <v>0</v>
      </c>
      <c r="F1215" s="36" t="s">
        <v>240</v>
      </c>
      <c r="G1215" s="92" t="e">
        <f>SUM(J1215:M1215,R1215:AA1215)</f>
        <v>#N/A</v>
      </c>
      <c r="H1215" s="19" t="e">
        <f>IF(ISBLANK(B1215),0,+#REF!/B1215)</f>
        <v>#REF!</v>
      </c>
      <c r="J1215" s="51">
        <f>IF(ISBLANK(B1215),0,+J$1162)</f>
        <v>500</v>
      </c>
      <c r="K1215" s="17">
        <f>ROUND($B1215*K$1162,2)</f>
        <v>-0.04</v>
      </c>
      <c r="L1215" s="17">
        <f>IF(ISBLANK($C1215),0,IF($C1215&lt;$C$1163,ROUND($C$1163*$L$1162,2),IF($C1215&gt;L$1163,ROUND(L$1163*L$1162,2),ROUND($C1215*L$1162,2))))</f>
        <v>48180</v>
      </c>
      <c r="M1215" s="17">
        <f>IF($C1215&gt;L$1163,ROUND(($C1215-L$1163)*M$1162,2),0)</f>
        <v>0</v>
      </c>
      <c r="N1215" s="17">
        <f>K1215</f>
        <v>-0.04</v>
      </c>
      <c r="O1215" s="17"/>
      <c r="P1215" s="17"/>
      <c r="Q1215" s="17">
        <f>SUM(L1215:M1215)</f>
        <v>48180</v>
      </c>
      <c r="R1215" s="16" t="e">
        <f>ROUND(SUM(K1215:M1215)*(R1214-1),2)</f>
        <v>#N/A</v>
      </c>
      <c r="S1215" s="17">
        <f>ROUND($B1215*S$1162*S1214,2)</f>
        <v>0</v>
      </c>
      <c r="T1215" s="17">
        <f>ROUND($B1215*T$1162,2)</f>
        <v>0</v>
      </c>
      <c r="U1215" s="17">
        <f>ROUND($B1215*U$1162,2)</f>
        <v>0</v>
      </c>
      <c r="V1215" s="8">
        <f>ROUND($B1215*V$1155,2)</f>
        <v>0</v>
      </c>
      <c r="W1215" s="17">
        <f>ROUND($B1215*W$1162,2)</f>
        <v>0</v>
      </c>
      <c r="X1215" s="17">
        <f>ROUND($B1215*X$1162,2)</f>
        <v>-0.01</v>
      </c>
      <c r="Y1215" s="17">
        <f>ROUND($B1215*Y$1162,2)</f>
        <v>0</v>
      </c>
      <c r="Z1215" s="17">
        <f>ROUND($B1215*Z$1162,2)</f>
        <v>0</v>
      </c>
      <c r="AA1215" s="17">
        <f>ROUND($B1215*AA$1162,2)</f>
        <v>0</v>
      </c>
      <c r="AB1215" s="19">
        <f>SUM(U$1162:AA$1162)+(-V$1162+V1199)</f>
        <v>1.2243E-2</v>
      </c>
      <c r="AC1215" s="67" t="str">
        <f>+F1215</f>
        <v>HL30</v>
      </c>
    </row>
    <row r="1216" spans="1:29" x14ac:dyDescent="0.2">
      <c r="A1216" s="48"/>
      <c r="B1216" s="103">
        <v>-1</v>
      </c>
      <c r="D1216" s="8"/>
      <c r="E1216" s="9"/>
      <c r="F1216" s="36"/>
      <c r="G1216" s="12"/>
      <c r="H1216" s="12"/>
      <c r="J1216" s="12"/>
      <c r="K1216" s="12"/>
      <c r="L1216" s="12"/>
      <c r="M1216" s="12"/>
      <c r="N1216" s="12"/>
      <c r="O1216" s="12"/>
      <c r="P1216" s="12"/>
      <c r="Q1216" s="12"/>
      <c r="R1216" s="38" t="e">
        <f>VLOOKUP((D1217),'Pwr Factor'!$A$1:$B$52,2)</f>
        <v>#N/A</v>
      </c>
      <c r="S1216" s="50">
        <v>1</v>
      </c>
      <c r="T1216" s="12"/>
      <c r="U1216" s="12"/>
      <c r="V1216" s="12"/>
      <c r="W1216" s="12"/>
      <c r="X1216" s="12"/>
      <c r="Y1216" s="12"/>
      <c r="Z1216" s="12"/>
      <c r="AA1216" s="12"/>
    </row>
    <row r="1217" spans="1:29" x14ac:dyDescent="0.2">
      <c r="A1217" s="1" t="s">
        <v>138</v>
      </c>
      <c r="B1217" s="103">
        <f>IF(AND('AES Indiana Bill Calc.'!$D$17="HL3",'AES Indiana Bill Calc.'!$D$18="Yes 100%",'AES Indiana Bill Calc.'!$D$20="Yes 2021"),'AES Indiana Bill Calc.'!$D$19,-1)</f>
        <v>-1</v>
      </c>
      <c r="C1217" s="103">
        <f>MAX(E1217,$C$905)</f>
        <v>2000</v>
      </c>
      <c r="D1217" s="103" t="b">
        <f>IF(AND('AES Indiana Bill Calc.'!$D$17="HL3",'AES Indiana Bill Calc.'!$D$18="Yes 100%",'AES Indiana Bill Calc.'!$D$20="Yes 2021"),'AES Indiana Bill Calc.'!$D$22)</f>
        <v>0</v>
      </c>
      <c r="E1217" s="103" t="b">
        <f>IF(AND('AES Indiana Bill Calc.'!$D$17="HL3",'AES Indiana Bill Calc.'!$D$18="Yes 100%",'AES Indiana Bill Calc.'!$D$20="Yes 2021"),'AES Indiana Bill Calc.'!$D$21)</f>
        <v>0</v>
      </c>
      <c r="F1217" s="36" t="s">
        <v>241</v>
      </c>
      <c r="G1217" s="92" t="e">
        <f>SUM(J1217:M1217,R1217:AA1217)</f>
        <v>#N/A</v>
      </c>
      <c r="H1217" s="19" t="e">
        <f>IF(ISBLANK(B1217),0,+#REF!/B1217)</f>
        <v>#REF!</v>
      </c>
      <c r="J1217" s="51">
        <f>IF(ISBLANK(B1217),0,+J$1162)</f>
        <v>500</v>
      </c>
      <c r="K1217" s="17">
        <f>ROUND($B1217*K$1162,2)</f>
        <v>-0.04</v>
      </c>
      <c r="L1217" s="17">
        <f>IF(ISBLANK($C1217),0,IF($C1217&lt;$C$1163,ROUND($C$1163*$L$1162,2),IF($C1217&gt;L$1163,ROUND(L$1163*L$1162,2),ROUND($C1217*L$1162,2))))</f>
        <v>48180</v>
      </c>
      <c r="M1217" s="17">
        <f>IF($C1217&gt;L$1163,ROUND(($C1217-L$1163)*M$1162,2),0)</f>
        <v>0</v>
      </c>
      <c r="N1217" s="17">
        <f>K1217</f>
        <v>-0.04</v>
      </c>
      <c r="O1217" s="17"/>
      <c r="P1217" s="17"/>
      <c r="Q1217" s="17">
        <f>SUM(L1217:M1217)</f>
        <v>48180</v>
      </c>
      <c r="R1217" s="16" t="e">
        <f>ROUND(SUM(K1217:M1217)*(R1216-1),2)</f>
        <v>#N/A</v>
      </c>
      <c r="S1217" s="17">
        <f>ROUND($B1217*S$1162*S1216,2)</f>
        <v>0</v>
      </c>
      <c r="T1217" s="17">
        <f>ROUND($B1217*T$1162,2)</f>
        <v>0</v>
      </c>
      <c r="U1217" s="17">
        <f>ROUND($B1217*U$1162,2)</f>
        <v>0</v>
      </c>
      <c r="V1217" s="8">
        <f>ROUND($B1217*V$1156,2)</f>
        <v>0</v>
      </c>
      <c r="W1217" s="17">
        <f>ROUND($B1217*W$1162,2)</f>
        <v>0</v>
      </c>
      <c r="X1217" s="17">
        <f>ROUND($B1217*X$1162,2)</f>
        <v>-0.01</v>
      </c>
      <c r="Y1217" s="17">
        <f>ROUND($B1217*Y$1162,2)</f>
        <v>0</v>
      </c>
      <c r="Z1217" s="17">
        <f>ROUND($B1217*Z$1162,2)</f>
        <v>0</v>
      </c>
      <c r="AA1217" s="17">
        <f>ROUND($B1217*AA$1162,2)</f>
        <v>0</v>
      </c>
      <c r="AB1217" s="19">
        <f>SUM(U$1162:AA$1162)+(-V$1162+V1201)</f>
        <v>1.2243E-2</v>
      </c>
      <c r="AC1217" s="67" t="str">
        <f>+F1217</f>
        <v>HL31</v>
      </c>
    </row>
    <row r="1218" spans="1:29" x14ac:dyDescent="0.2">
      <c r="A1218" s="48"/>
      <c r="B1218" s="103">
        <v>-1</v>
      </c>
      <c r="D1218" s="8"/>
      <c r="E1218" s="9"/>
      <c r="F1218" s="36"/>
      <c r="G1218" s="12"/>
      <c r="H1218" s="12"/>
      <c r="J1218" s="12"/>
      <c r="K1218" s="12"/>
      <c r="L1218" s="12"/>
      <c r="M1218" s="12"/>
      <c r="N1218" s="12"/>
      <c r="O1218" s="12"/>
      <c r="P1218" s="12"/>
      <c r="Q1218" s="12"/>
      <c r="R1218" s="38" t="e">
        <f>VLOOKUP((D1219),'Pwr Factor'!$A$1:$B$52,2)</f>
        <v>#N/A</v>
      </c>
      <c r="S1218" s="50">
        <v>0.5</v>
      </c>
      <c r="T1218" s="12"/>
      <c r="U1218" s="12"/>
      <c r="V1218" s="12"/>
      <c r="W1218" s="12"/>
      <c r="X1218" s="12"/>
      <c r="Y1218" s="12"/>
      <c r="Z1218" s="12"/>
      <c r="AA1218" s="12"/>
    </row>
    <row r="1219" spans="1:29" x14ac:dyDescent="0.2">
      <c r="A1219" s="1" t="s">
        <v>139</v>
      </c>
      <c r="B1219" s="103">
        <f>IF(AND('AES Indiana Bill Calc.'!$D$17="HL3",'AES Indiana Bill Calc.'!$D$18="Yes 50%",'AES Indiana Bill Calc.'!$D$20="Yes 2021"),'AES Indiana Bill Calc.'!$D$19,-1)</f>
        <v>-1</v>
      </c>
      <c r="C1219" s="103">
        <f>MAX(E1219,$C$905)</f>
        <v>2000</v>
      </c>
      <c r="D1219" s="103" t="b">
        <f>IF(AND('AES Indiana Bill Calc.'!$D$17="HL3",'AES Indiana Bill Calc.'!$D$18="Yes 50%",'AES Indiana Bill Calc.'!$D$20="Yes 2021"),'AES Indiana Bill Calc.'!$D$22)</f>
        <v>0</v>
      </c>
      <c r="E1219" s="103" t="b">
        <f>IF(AND('AES Indiana Bill Calc.'!$D$17="HL3",'AES Indiana Bill Calc.'!$D$18="Yes 50%",'AES Indiana Bill Calc.'!$D$20="Yes 2021"),'AES Indiana Bill Calc.'!$D$21)</f>
        <v>0</v>
      </c>
      <c r="F1219" s="36" t="s">
        <v>241</v>
      </c>
      <c r="G1219" s="92" t="e">
        <f>SUM(J1219:M1219,R1219:AA1219)</f>
        <v>#N/A</v>
      </c>
      <c r="H1219" s="19" t="e">
        <f>IF(ISBLANK(B1219),0,+#REF!/B1219)</f>
        <v>#REF!</v>
      </c>
      <c r="J1219" s="51">
        <f>IF(ISBLANK(B1219),0,+J$1162)</f>
        <v>500</v>
      </c>
      <c r="K1219" s="17">
        <f>ROUND($B1219*K$1162,2)</f>
        <v>-0.04</v>
      </c>
      <c r="L1219" s="17">
        <f>IF(ISBLANK($C1219),0,IF($C1219&lt;$C$1163,ROUND($C$1163*$L$1162,2),IF($C1219&gt;L$1163,ROUND(L$1163*L$1162,2),ROUND($C1219*L$1162,2))))</f>
        <v>48180</v>
      </c>
      <c r="M1219" s="17">
        <f>IF($C1219&gt;L$1163,ROUND(($C1219-L$1163)*M$1162,2),0)</f>
        <v>0</v>
      </c>
      <c r="N1219" s="17">
        <f>K1219</f>
        <v>-0.04</v>
      </c>
      <c r="O1219" s="17"/>
      <c r="P1219" s="17"/>
      <c r="Q1219" s="17">
        <f>SUM(L1219:M1219)</f>
        <v>48180</v>
      </c>
      <c r="R1219" s="16" t="e">
        <f>ROUND(SUM(K1219:M1219)*(R1218-1),2)</f>
        <v>#N/A</v>
      </c>
      <c r="S1219" s="17">
        <f>ROUND($B1219*S$1162*S1218,2)</f>
        <v>0</v>
      </c>
      <c r="T1219" s="17">
        <f>ROUND($B1219*T$1162,2)</f>
        <v>0</v>
      </c>
      <c r="U1219" s="17">
        <f>ROUND($B1219*U$1162,2)</f>
        <v>0</v>
      </c>
      <c r="V1219" s="8">
        <f>ROUND($B1219*V$1156,2)</f>
        <v>0</v>
      </c>
      <c r="W1219" s="17">
        <f>ROUND($B1219*W$1162,2)</f>
        <v>0</v>
      </c>
      <c r="X1219" s="17">
        <f>ROUND($B1219*X$1162,2)</f>
        <v>-0.01</v>
      </c>
      <c r="Y1219" s="17">
        <f>ROUND($B1219*Y$1162,2)</f>
        <v>0</v>
      </c>
      <c r="Z1219" s="17">
        <f>ROUND($B1219*Z$1162,2)</f>
        <v>0</v>
      </c>
      <c r="AA1219" s="17">
        <f>ROUND($B1219*AA$1162,2)</f>
        <v>0</v>
      </c>
      <c r="AB1219" s="19">
        <f>SUM(U$1162:AA$1162)+(-V$1162+V1203)</f>
        <v>1.2243E-2</v>
      </c>
      <c r="AC1219" s="67" t="str">
        <f>+F1219</f>
        <v>HL31</v>
      </c>
    </row>
    <row r="1220" spans="1:29" x14ac:dyDescent="0.2">
      <c r="A1220" s="9"/>
      <c r="B1220" s="103">
        <v>-1</v>
      </c>
      <c r="D1220" s="8"/>
      <c r="E1220" s="9"/>
      <c r="F1220" s="36"/>
      <c r="G1220" s="12"/>
      <c r="H1220" s="12"/>
      <c r="J1220" s="12"/>
      <c r="K1220" s="12"/>
      <c r="L1220" s="12"/>
      <c r="M1220" s="12"/>
      <c r="N1220" s="12"/>
      <c r="O1220" s="12"/>
      <c r="P1220" s="12"/>
      <c r="Q1220" s="12"/>
      <c r="R1220" s="38" t="e">
        <f>VLOOKUP((D1221),'Pwr Factor'!$A$1:$B$52,2)</f>
        <v>#N/A</v>
      </c>
      <c r="S1220" s="50">
        <v>0.25</v>
      </c>
      <c r="T1220" s="12"/>
      <c r="U1220" s="12"/>
      <c r="V1220" s="12"/>
      <c r="W1220" s="12"/>
      <c r="X1220" s="12"/>
      <c r="Y1220" s="12"/>
      <c r="Z1220" s="12"/>
      <c r="AA1220" s="12"/>
    </row>
    <row r="1221" spans="1:29" x14ac:dyDescent="0.2">
      <c r="A1221" s="1" t="s">
        <v>140</v>
      </c>
      <c r="B1221" s="103">
        <f>IF(AND('AES Indiana Bill Calc.'!$D$17="HL3",'AES Indiana Bill Calc.'!$D$18="Yes 25%",'AES Indiana Bill Calc.'!$D$20="Yes 2021"),'AES Indiana Bill Calc.'!$D$19,-1)</f>
        <v>-1</v>
      </c>
      <c r="C1221" s="103">
        <f>MAX(E1221,$C$905)</f>
        <v>2000</v>
      </c>
      <c r="D1221" s="103" t="b">
        <f>IF(AND('AES Indiana Bill Calc.'!$D$17="HL3",'AES Indiana Bill Calc.'!$D$18="Yes 25%",'AES Indiana Bill Calc.'!$D$20="Yes 2021"),'AES Indiana Bill Calc.'!$D$22)</f>
        <v>0</v>
      </c>
      <c r="E1221" s="103" t="b">
        <f>IF(AND('AES Indiana Bill Calc.'!$D$17="HL3",'AES Indiana Bill Calc.'!$D$18="Yes 25%",'AES Indiana Bill Calc.'!$D$20="Yes 2021"),'AES Indiana Bill Calc.'!$D$21)</f>
        <v>0</v>
      </c>
      <c r="F1221" s="36" t="s">
        <v>241</v>
      </c>
      <c r="G1221" s="92" t="e">
        <f>SUM(J1221:M1221,R1221:AA1221)</f>
        <v>#N/A</v>
      </c>
      <c r="H1221" s="19" t="e">
        <f>IF(ISBLANK(B1221),0,+#REF!/B1221)</f>
        <v>#REF!</v>
      </c>
      <c r="J1221" s="51">
        <f>IF(ISBLANK(B1221),0,+J$1162)</f>
        <v>500</v>
      </c>
      <c r="K1221" s="17">
        <f>ROUND($B1221*K$1162,2)</f>
        <v>-0.04</v>
      </c>
      <c r="L1221" s="17">
        <f>IF(ISBLANK($C1221),0,IF($C1221&lt;$C$1163,ROUND($C$1163*$L$1162,2),IF($C1221&gt;L$1163,ROUND(L$1163*L$1162,2),ROUND($C1221*L$1162,2))))</f>
        <v>48180</v>
      </c>
      <c r="M1221" s="17">
        <f>IF($C1221&gt;L$1163,ROUND(($C1221-L$1163)*M$1162,2),0)</f>
        <v>0</v>
      </c>
      <c r="N1221" s="17">
        <f>K1221</f>
        <v>-0.04</v>
      </c>
      <c r="O1221" s="17"/>
      <c r="P1221" s="17"/>
      <c r="Q1221" s="17">
        <f>SUM(L1221:M1221)</f>
        <v>48180</v>
      </c>
      <c r="R1221" s="16" t="e">
        <f>ROUND(SUM(K1221:M1221)*(R1220-1),2)</f>
        <v>#N/A</v>
      </c>
      <c r="S1221" s="17">
        <f>ROUND($B1221*S$1162*S1220,2)</f>
        <v>0</v>
      </c>
      <c r="T1221" s="17">
        <f>ROUND($B1221*T$1162,2)</f>
        <v>0</v>
      </c>
      <c r="U1221" s="17">
        <f>ROUND($B1221*U$1162,2)</f>
        <v>0</v>
      </c>
      <c r="V1221" s="8">
        <f>ROUND($B1221*V$1156,2)</f>
        <v>0</v>
      </c>
      <c r="W1221" s="17">
        <f>ROUND($B1221*W$1162,2)</f>
        <v>0</v>
      </c>
      <c r="X1221" s="17">
        <f>ROUND($B1221*X$1162,2)</f>
        <v>-0.01</v>
      </c>
      <c r="Y1221" s="17">
        <f>ROUND($B1221*Y$1162,2)</f>
        <v>0</v>
      </c>
      <c r="Z1221" s="17">
        <f>ROUND($B1221*Z$1162,2)</f>
        <v>0</v>
      </c>
      <c r="AA1221" s="17">
        <f>ROUND($B1221*AA$1162,2)</f>
        <v>0</v>
      </c>
      <c r="AB1221" s="19">
        <f>SUM(U$1162:AA$1162)+(-V$1162+V1205)</f>
        <v>1.2243E-2</v>
      </c>
      <c r="AC1221" s="67" t="str">
        <f>+F1221</f>
        <v>HL31</v>
      </c>
    </row>
    <row r="1222" spans="1:29" x14ac:dyDescent="0.2">
      <c r="A1222" s="9"/>
      <c r="B1222" s="103">
        <v>-1</v>
      </c>
      <c r="D1222" s="8"/>
      <c r="E1222" s="9"/>
      <c r="F1222" s="36"/>
      <c r="G1222" s="12"/>
      <c r="H1222" s="12"/>
      <c r="J1222" s="12"/>
      <c r="K1222" s="12"/>
      <c r="L1222" s="12"/>
      <c r="M1222" s="12"/>
      <c r="N1222" s="12"/>
      <c r="O1222" s="12"/>
      <c r="P1222" s="12"/>
      <c r="Q1222" s="12"/>
      <c r="R1222" s="38" t="e">
        <f>VLOOKUP((D1223),'Pwr Factor'!$A$1:$B$52,2)</f>
        <v>#N/A</v>
      </c>
      <c r="S1222" s="50">
        <v>0.1</v>
      </c>
      <c r="T1222" s="12"/>
      <c r="U1222" s="12"/>
      <c r="V1222" s="12"/>
      <c r="W1222" s="12"/>
      <c r="X1222" s="12"/>
      <c r="Y1222" s="12"/>
      <c r="Z1222" s="12"/>
      <c r="AA1222" s="12"/>
    </row>
    <row r="1223" spans="1:29" x14ac:dyDescent="0.2">
      <c r="A1223" s="1" t="s">
        <v>154</v>
      </c>
      <c r="B1223" s="103">
        <f>IF(AND('AES Indiana Bill Calc.'!$D$17="HL3",'AES Indiana Bill Calc.'!$D$18="Yes 10%",'AES Indiana Bill Calc.'!$D$20="Yes 2021"),'AES Indiana Bill Calc.'!$D$19,-1)</f>
        <v>-1</v>
      </c>
      <c r="C1223" s="103">
        <f>MAX(E1223,$C$905)</f>
        <v>2000</v>
      </c>
      <c r="D1223" s="103" t="b">
        <f>IF(AND('AES Indiana Bill Calc.'!$D$17="HL3",'AES Indiana Bill Calc.'!$D$18="Yes 10%",'AES Indiana Bill Calc.'!$D$20="Yes 2021"),'AES Indiana Bill Calc.'!$D$22)</f>
        <v>0</v>
      </c>
      <c r="E1223" s="103" t="b">
        <f>IF(AND('AES Indiana Bill Calc.'!$D$17="HL3",'AES Indiana Bill Calc.'!$D$18="Yes 10%",'AES Indiana Bill Calc.'!$D$20="Yes 2021"),'AES Indiana Bill Calc.'!$D$21)</f>
        <v>0</v>
      </c>
      <c r="F1223" s="36" t="s">
        <v>241</v>
      </c>
      <c r="G1223" s="92" t="e">
        <f>SUM(J1223:M1223,R1223:AA1223)</f>
        <v>#N/A</v>
      </c>
      <c r="H1223" s="19" t="e">
        <f>IF(ISBLANK(B1223),0,+#REF!/B1223)</f>
        <v>#REF!</v>
      </c>
      <c r="J1223" s="51">
        <f>IF(ISBLANK(B1223),0,+J$1162)</f>
        <v>500</v>
      </c>
      <c r="K1223" s="17">
        <f>ROUND($B1223*K$1162,2)</f>
        <v>-0.04</v>
      </c>
      <c r="L1223" s="17">
        <f>IF(ISBLANK($C1223),0,IF($C1223&lt;$C$1163,ROUND($C$1163*$L$1162,2),IF($C1223&gt;L$1163,ROUND(L$1163*L$1162,2),ROUND($C1223*L$1162,2))))</f>
        <v>48180</v>
      </c>
      <c r="M1223" s="17">
        <f>IF($C1223&gt;L$1163,ROUND(($C1223-L$1163)*M$1162,2),0)</f>
        <v>0</v>
      </c>
      <c r="N1223" s="17">
        <f>K1223</f>
        <v>-0.04</v>
      </c>
      <c r="O1223" s="17"/>
      <c r="P1223" s="17"/>
      <c r="Q1223" s="17">
        <f>SUM(L1223:M1223)</f>
        <v>48180</v>
      </c>
      <c r="R1223" s="16" t="e">
        <f>ROUND(SUM(K1223:M1223)*(R1222-1),2)</f>
        <v>#N/A</v>
      </c>
      <c r="S1223" s="17">
        <f>ROUND($B1223*S$1162*S1222,2)</f>
        <v>0</v>
      </c>
      <c r="T1223" s="17">
        <f>ROUND($B1223*T$1162,2)</f>
        <v>0</v>
      </c>
      <c r="U1223" s="17">
        <f>ROUND($B1223*U$1162,2)</f>
        <v>0</v>
      </c>
      <c r="V1223" s="8">
        <f>ROUND($B1223*V$1156,2)</f>
        <v>0</v>
      </c>
      <c r="W1223" s="17">
        <f>ROUND($B1223*W$1162,2)</f>
        <v>0</v>
      </c>
      <c r="X1223" s="17">
        <f>ROUND($B1223*X$1162,2)</f>
        <v>-0.01</v>
      </c>
      <c r="Y1223" s="17">
        <f>ROUND($B1223*Y$1162,2)</f>
        <v>0</v>
      </c>
      <c r="Z1223" s="17">
        <f>ROUND($B1223*Z$1162,2)</f>
        <v>0</v>
      </c>
      <c r="AA1223" s="17">
        <f>ROUND($B1223*AA$1162,2)</f>
        <v>0</v>
      </c>
      <c r="AB1223" s="19">
        <f>SUM(U$1162:AA$1162)+(-V$1162+V1207)</f>
        <v>1.2243E-2</v>
      </c>
      <c r="AC1223" s="67" t="str">
        <f>+F1223</f>
        <v>HL31</v>
      </c>
    </row>
    <row r="1224" spans="1:29" x14ac:dyDescent="0.2">
      <c r="A1224" s="9"/>
      <c r="B1224" s="103">
        <v>-1</v>
      </c>
      <c r="D1224" s="8"/>
      <c r="E1224" s="9"/>
      <c r="F1224" s="36"/>
      <c r="G1224" s="12"/>
      <c r="H1224" s="12"/>
      <c r="J1224" s="12"/>
      <c r="K1224" s="12"/>
      <c r="L1224" s="12"/>
      <c r="M1224" s="12"/>
      <c r="N1224" s="12"/>
      <c r="O1224" s="12"/>
      <c r="P1224" s="12"/>
      <c r="Q1224" s="12"/>
      <c r="R1224" s="38" t="e">
        <f>VLOOKUP((D1225),'Pwr Factor'!$A$1:$B$52,2)</f>
        <v>#N/A</v>
      </c>
      <c r="S1224" s="50">
        <v>0</v>
      </c>
      <c r="T1224" s="12"/>
      <c r="U1224" s="12"/>
      <c r="V1224" s="12"/>
      <c r="W1224" s="12"/>
      <c r="X1224" s="12"/>
      <c r="Y1224" s="12"/>
      <c r="Z1224" s="12"/>
      <c r="AA1224" s="12"/>
    </row>
    <row r="1225" spans="1:29" x14ac:dyDescent="0.2">
      <c r="A1225" s="1" t="s">
        <v>137</v>
      </c>
      <c r="B1225" s="103">
        <f>IF(AND('AES Indiana Bill Calc.'!$D$17="HL3",'AES Indiana Bill Calc.'!$D$18="No",'AES Indiana Bill Calc.'!$D$20="Yes 2021"),'AES Indiana Bill Calc.'!$D$19,-1)</f>
        <v>-1</v>
      </c>
      <c r="C1225" s="103">
        <f>MAX(E1225,$C$905)</f>
        <v>2000</v>
      </c>
      <c r="D1225" s="103" t="b">
        <f>IF(AND('AES Indiana Bill Calc.'!$D$17="HL3",'AES Indiana Bill Calc.'!$D$18="No",'AES Indiana Bill Calc.'!$D$20="Yes 2021"),'AES Indiana Bill Calc.'!$D$22)</f>
        <v>0</v>
      </c>
      <c r="E1225" s="103" t="b">
        <f>IF(AND('AES Indiana Bill Calc.'!$D$17="HL3",'AES Indiana Bill Calc.'!$D$18="No",'AES Indiana Bill Calc.'!$D$20="Yes 2021"),'AES Indiana Bill Calc.'!$D$21)</f>
        <v>0</v>
      </c>
      <c r="F1225" s="36" t="s">
        <v>241</v>
      </c>
      <c r="G1225" s="92" t="e">
        <f>SUM(J1225:M1225,R1225:AA1225)</f>
        <v>#N/A</v>
      </c>
      <c r="H1225" s="19" t="e">
        <f>IF(ISBLANK(B1225),0,+#REF!/B1225)</f>
        <v>#REF!</v>
      </c>
      <c r="J1225" s="51">
        <f>IF(ISBLANK(B1225),0,+J$1162)</f>
        <v>500</v>
      </c>
      <c r="K1225" s="17">
        <f>ROUND($B1225*K$1162,2)</f>
        <v>-0.04</v>
      </c>
      <c r="L1225" s="17">
        <f>IF(ISBLANK($C1225),0,IF($C1225&lt;$C$1163,ROUND($C$1163*$L$1162,2),IF($C1225&gt;L$1163,ROUND(L$1163*L$1162,2),ROUND($C1225*L$1162,2))))</f>
        <v>48180</v>
      </c>
      <c r="M1225" s="17">
        <f>IF($C1225&gt;L$1163,ROUND(($C1225-L$1163)*M$1162,2),0)</f>
        <v>0</v>
      </c>
      <c r="N1225" s="17">
        <f>K1225</f>
        <v>-0.04</v>
      </c>
      <c r="O1225" s="17"/>
      <c r="P1225" s="17"/>
      <c r="Q1225" s="17">
        <f>SUM(L1225:M1225)</f>
        <v>48180</v>
      </c>
      <c r="R1225" s="16" t="e">
        <f>ROUND(SUM(K1225:M1225)*(R1224-1),2)</f>
        <v>#N/A</v>
      </c>
      <c r="S1225" s="17">
        <f>ROUND($B1225*S$1162*S1224,2)</f>
        <v>0</v>
      </c>
      <c r="T1225" s="17">
        <f>ROUND($B1225*T$1162,2)</f>
        <v>0</v>
      </c>
      <c r="U1225" s="17">
        <f>ROUND($B1225*U$1162,2)</f>
        <v>0</v>
      </c>
      <c r="V1225" s="8">
        <f>ROUND($B1225*V$1156,2)</f>
        <v>0</v>
      </c>
      <c r="W1225" s="17">
        <f>ROUND($B1225*W$1162,2)</f>
        <v>0</v>
      </c>
      <c r="X1225" s="17">
        <f>ROUND($B1225*X$1162,2)</f>
        <v>-0.01</v>
      </c>
      <c r="Y1225" s="17">
        <f>ROUND($B1225*Y$1162,2)</f>
        <v>0</v>
      </c>
      <c r="Z1225" s="17">
        <f>ROUND($B1225*Z$1162,2)</f>
        <v>0</v>
      </c>
      <c r="AA1225" s="17">
        <f>ROUND($B1225*AA$1162,2)</f>
        <v>0</v>
      </c>
      <c r="AB1225" s="19">
        <f>SUM(U$1162:AA$1162)+(-V$1162+V1209)</f>
        <v>1.2243E-2</v>
      </c>
      <c r="AC1225" s="67" t="str">
        <f>+F1225</f>
        <v>HL31</v>
      </c>
    </row>
    <row r="1226" spans="1:29" x14ac:dyDescent="0.2">
      <c r="A1226" s="48"/>
      <c r="B1226" s="103">
        <v>-1</v>
      </c>
      <c r="D1226" s="8"/>
      <c r="E1226" s="9"/>
      <c r="F1226" s="36"/>
      <c r="G1226" s="12"/>
      <c r="H1226" s="12"/>
      <c r="J1226" s="12"/>
      <c r="K1226" s="12"/>
      <c r="L1226" s="12"/>
      <c r="M1226" s="12"/>
      <c r="N1226" s="12"/>
      <c r="O1226" s="12"/>
      <c r="P1226" s="12"/>
      <c r="Q1226" s="12"/>
      <c r="R1226" s="38" t="e">
        <f>VLOOKUP((D1227),'Pwr Factor'!$A$1:$B$52,2)</f>
        <v>#N/A</v>
      </c>
      <c r="S1226" s="50">
        <v>1</v>
      </c>
      <c r="T1226" s="12"/>
      <c r="U1226" s="12"/>
      <c r="V1226" s="12"/>
      <c r="W1226" s="12"/>
      <c r="X1226" s="12"/>
      <c r="Y1226" s="12"/>
      <c r="Z1226" s="12"/>
      <c r="AA1226" s="12"/>
    </row>
    <row r="1227" spans="1:29" x14ac:dyDescent="0.2">
      <c r="A1227" s="1" t="s">
        <v>138</v>
      </c>
      <c r="B1227" s="103">
        <f>IF(AND('AES Indiana Bill Calc.'!$D$17="HL3",'AES Indiana Bill Calc.'!$D$18="Yes 100%",'AES Indiana Bill Calc.'!$D$20="Yes 2022"),'AES Indiana Bill Calc.'!$D$19,-1)</f>
        <v>-1</v>
      </c>
      <c r="C1227" s="103">
        <f>MAX(E1227,$C$905)</f>
        <v>2000</v>
      </c>
      <c r="D1227" s="103" t="b">
        <f>IF(AND('AES Indiana Bill Calc.'!$D$17="HL3",'AES Indiana Bill Calc.'!$D$18="Yes 100%",'AES Indiana Bill Calc.'!$D$20="Yes 2022"),'AES Indiana Bill Calc.'!$D$22)</f>
        <v>0</v>
      </c>
      <c r="E1227" s="103" t="b">
        <f>IF(AND('AES Indiana Bill Calc.'!$D$17="HL3",'AES Indiana Bill Calc.'!$D$18="Yes 100%",'AES Indiana Bill Calc.'!$D$20="Yes 2022"),'AES Indiana Bill Calc.'!$D$21)</f>
        <v>0</v>
      </c>
      <c r="F1227" s="36" t="s">
        <v>241</v>
      </c>
      <c r="G1227" s="92" t="e">
        <f>SUM(J1227:M1227,R1227:AA1227)</f>
        <v>#N/A</v>
      </c>
      <c r="H1227" s="19" t="e">
        <f>IF(ISBLANK(B1227),0,+#REF!/B1227)</f>
        <v>#REF!</v>
      </c>
      <c r="J1227" s="51">
        <f>IF(ISBLANK(B1227),0,+J$1162)</f>
        <v>500</v>
      </c>
      <c r="K1227" s="17">
        <f>ROUND($B1227*K$1162,2)</f>
        <v>-0.04</v>
      </c>
      <c r="L1227" s="17">
        <f>IF(ISBLANK($C1227),0,IF($C1227&lt;$C$1163,ROUND($C$1163*$L$1162,2),IF($C1227&gt;L$1163,ROUND(L$1163*L$1162,2),ROUND($C1227*L$1162,2))))</f>
        <v>48180</v>
      </c>
      <c r="M1227" s="17">
        <f>IF($C1227&gt;L$1163,ROUND(($C1227-L$1163)*M$1162,2),0)</f>
        <v>0</v>
      </c>
      <c r="N1227" s="17">
        <f>K1227</f>
        <v>-0.04</v>
      </c>
      <c r="O1227" s="17"/>
      <c r="P1227" s="17"/>
      <c r="Q1227" s="17">
        <f>SUM(L1227:M1227)</f>
        <v>48180</v>
      </c>
      <c r="R1227" s="16" t="e">
        <f>ROUND(SUM(K1227:M1227)*(R1226-1),2)</f>
        <v>#N/A</v>
      </c>
      <c r="S1227" s="17">
        <f>ROUND($B1227*S$1162*S1226,2)</f>
        <v>0</v>
      </c>
      <c r="T1227" s="17">
        <f>ROUND($B1227*T$1162,2)</f>
        <v>0</v>
      </c>
      <c r="U1227" s="17">
        <f>ROUND($B1227*U$1162,2)</f>
        <v>0</v>
      </c>
      <c r="V1227" s="8">
        <f>ROUND($B1227*V$1157,2)</f>
        <v>0</v>
      </c>
      <c r="W1227" s="17">
        <f>ROUND($B1227*W$1162,2)</f>
        <v>0</v>
      </c>
      <c r="X1227" s="17">
        <f>ROUND($B1227*X$1162,2)</f>
        <v>-0.01</v>
      </c>
      <c r="Y1227" s="17">
        <f>ROUND($B1227*Y$1162,2)</f>
        <v>0</v>
      </c>
      <c r="Z1227" s="17">
        <f>ROUND($B1227*Z$1162,2)</f>
        <v>0</v>
      </c>
      <c r="AA1227" s="17">
        <f>ROUND($B1227*AA$1162,2)</f>
        <v>0</v>
      </c>
      <c r="AB1227" s="19">
        <f>SUM(U$1162:AA$1162)+(-V$1162+V1211)</f>
        <v>1.2243E-2</v>
      </c>
      <c r="AC1227" s="67" t="str">
        <f>+F1227</f>
        <v>HL31</v>
      </c>
    </row>
    <row r="1228" spans="1:29" x14ac:dyDescent="0.2">
      <c r="A1228" s="48"/>
      <c r="B1228" s="103">
        <v>-1</v>
      </c>
      <c r="D1228" s="8"/>
      <c r="E1228" s="9"/>
      <c r="F1228" s="36"/>
      <c r="G1228" s="12"/>
      <c r="H1228" s="12"/>
      <c r="J1228" s="12"/>
      <c r="K1228" s="12"/>
      <c r="L1228" s="12"/>
      <c r="M1228" s="12"/>
      <c r="N1228" s="12"/>
      <c r="O1228" s="12"/>
      <c r="P1228" s="12"/>
      <c r="Q1228" s="12"/>
      <c r="R1228" s="38" t="e">
        <f>VLOOKUP((D1229),'Pwr Factor'!$A$1:$B$52,2)</f>
        <v>#N/A</v>
      </c>
      <c r="S1228" s="50">
        <v>0.5</v>
      </c>
      <c r="T1228" s="12"/>
      <c r="U1228" s="12"/>
      <c r="V1228" s="12"/>
      <c r="W1228" s="12"/>
      <c r="X1228" s="12"/>
      <c r="Y1228" s="12"/>
      <c r="Z1228" s="12"/>
      <c r="AA1228" s="12"/>
    </row>
    <row r="1229" spans="1:29" x14ac:dyDescent="0.2">
      <c r="A1229" s="1" t="s">
        <v>139</v>
      </c>
      <c r="B1229" s="103">
        <f>IF(AND('AES Indiana Bill Calc.'!$D$17="HL3",'AES Indiana Bill Calc.'!$D$18="Yes 50%",'AES Indiana Bill Calc.'!$D$20="Yes 2022"),'AES Indiana Bill Calc.'!$D$19,-1)</f>
        <v>-1</v>
      </c>
      <c r="C1229" s="103">
        <f>MAX(E1229,$C$905)</f>
        <v>2000</v>
      </c>
      <c r="D1229" s="103" t="b">
        <f>IF(AND('AES Indiana Bill Calc.'!$D$17="HL3",'AES Indiana Bill Calc.'!$D$18="Yes 50%",'AES Indiana Bill Calc.'!$D$20="Yes 2022"),'AES Indiana Bill Calc.'!$D$22)</f>
        <v>0</v>
      </c>
      <c r="E1229" s="103" t="b">
        <f>IF(AND('AES Indiana Bill Calc.'!$D$17="HL3",'AES Indiana Bill Calc.'!$D$18="Yes 50%",'AES Indiana Bill Calc.'!$D$20="Yes 2022"),'AES Indiana Bill Calc.'!$D$21)</f>
        <v>0</v>
      </c>
      <c r="F1229" s="36" t="s">
        <v>241</v>
      </c>
      <c r="G1229" s="92" t="e">
        <f>SUM(J1229:M1229,R1229:AA1229)</f>
        <v>#N/A</v>
      </c>
      <c r="H1229" s="19" t="e">
        <f>IF(ISBLANK(B1229),0,+#REF!/B1229)</f>
        <v>#REF!</v>
      </c>
      <c r="J1229" s="51">
        <f>IF(ISBLANK(B1229),0,+J$1162)</f>
        <v>500</v>
      </c>
      <c r="K1229" s="17">
        <f>ROUND($B1229*K$1162,2)</f>
        <v>-0.04</v>
      </c>
      <c r="L1229" s="17">
        <f>IF(ISBLANK($C1229),0,IF($C1229&lt;$C$1163,ROUND($C$1163*$L$1162,2),IF($C1229&gt;L$1163,ROUND(L$1163*L$1162,2),ROUND($C1229*L$1162,2))))</f>
        <v>48180</v>
      </c>
      <c r="M1229" s="17">
        <f>IF($C1229&gt;L$1163,ROUND(($C1229-L$1163)*M$1162,2),0)</f>
        <v>0</v>
      </c>
      <c r="N1229" s="17">
        <f>K1229</f>
        <v>-0.04</v>
      </c>
      <c r="O1229" s="17"/>
      <c r="P1229" s="17"/>
      <c r="Q1229" s="17">
        <f>SUM(L1229:M1229)</f>
        <v>48180</v>
      </c>
      <c r="R1229" s="16" t="e">
        <f>ROUND(SUM(K1229:M1229)*(R1228-1),2)</f>
        <v>#N/A</v>
      </c>
      <c r="S1229" s="17">
        <f>ROUND($B1229*S$1162*S1228,2)</f>
        <v>0</v>
      </c>
      <c r="T1229" s="17">
        <f>ROUND($B1229*T$1162,2)</f>
        <v>0</v>
      </c>
      <c r="U1229" s="17">
        <f>ROUND($B1229*U$1162,2)</f>
        <v>0</v>
      </c>
      <c r="V1229" s="8">
        <f>ROUND($B1229*V$1157,2)</f>
        <v>0</v>
      </c>
      <c r="W1229" s="17">
        <f>ROUND($B1229*W$1162,2)</f>
        <v>0</v>
      </c>
      <c r="X1229" s="17">
        <f>ROUND($B1229*X$1162,2)</f>
        <v>-0.01</v>
      </c>
      <c r="Y1229" s="17">
        <f>ROUND($B1229*Y$1162,2)</f>
        <v>0</v>
      </c>
      <c r="Z1229" s="17">
        <f>ROUND($B1229*Z$1162,2)</f>
        <v>0</v>
      </c>
      <c r="AA1229" s="17">
        <f>ROUND($B1229*AA$1162,2)</f>
        <v>0</v>
      </c>
      <c r="AB1229" s="19">
        <f>SUM(U$1162:AA$1162)+(-V$1162+V1213)</f>
        <v>1.2243E-2</v>
      </c>
      <c r="AC1229" s="67" t="str">
        <f>+F1229</f>
        <v>HL31</v>
      </c>
    </row>
    <row r="1230" spans="1:29" x14ac:dyDescent="0.2">
      <c r="A1230" s="9"/>
      <c r="B1230" s="103">
        <v>-1</v>
      </c>
      <c r="D1230" s="8"/>
      <c r="E1230" s="9"/>
      <c r="F1230" s="36"/>
      <c r="G1230" s="12"/>
      <c r="H1230" s="12"/>
      <c r="J1230" s="12"/>
      <c r="K1230" s="12"/>
      <c r="L1230" s="12"/>
      <c r="M1230" s="12"/>
      <c r="N1230" s="12"/>
      <c r="O1230" s="12"/>
      <c r="P1230" s="12"/>
      <c r="Q1230" s="12"/>
      <c r="R1230" s="38" t="e">
        <f>VLOOKUP((D1231),'Pwr Factor'!$A$1:$B$52,2)</f>
        <v>#N/A</v>
      </c>
      <c r="S1230" s="50">
        <v>0.25</v>
      </c>
      <c r="T1230" s="12"/>
      <c r="U1230" s="12"/>
      <c r="V1230" s="12"/>
      <c r="W1230" s="12"/>
      <c r="X1230" s="12"/>
      <c r="Y1230" s="12"/>
      <c r="Z1230" s="12"/>
      <c r="AA1230" s="12"/>
    </row>
    <row r="1231" spans="1:29" x14ac:dyDescent="0.2">
      <c r="A1231" s="1" t="s">
        <v>140</v>
      </c>
      <c r="B1231" s="103">
        <f>IF(AND('AES Indiana Bill Calc.'!$D$17="HL3",'AES Indiana Bill Calc.'!$D$18="Yes 25%",'AES Indiana Bill Calc.'!$D$20="Yes 2022"),'AES Indiana Bill Calc.'!$D$19,-1)</f>
        <v>-1</v>
      </c>
      <c r="C1231" s="103">
        <f>MAX(E1231,$C$905)</f>
        <v>2000</v>
      </c>
      <c r="D1231" s="103" t="b">
        <f>IF(AND('AES Indiana Bill Calc.'!$D$17="HL3",'AES Indiana Bill Calc.'!$D$18="Yes 25%",'AES Indiana Bill Calc.'!$D$20="Yes 2022"),'AES Indiana Bill Calc.'!$D$22)</f>
        <v>0</v>
      </c>
      <c r="E1231" s="103" t="b">
        <f>IF(AND('AES Indiana Bill Calc.'!$D$17="HL3",'AES Indiana Bill Calc.'!$D$18="Yes 25%",'AES Indiana Bill Calc.'!$D$20="Yes 2022"),'AES Indiana Bill Calc.'!$D$21)</f>
        <v>0</v>
      </c>
      <c r="F1231" s="36" t="s">
        <v>241</v>
      </c>
      <c r="G1231" s="92" t="e">
        <f>SUM(J1231:M1231,R1231:AA1231)</f>
        <v>#N/A</v>
      </c>
      <c r="H1231" s="19" t="e">
        <f>IF(ISBLANK(B1231),0,+#REF!/B1231)</f>
        <v>#REF!</v>
      </c>
      <c r="J1231" s="51">
        <f>IF(ISBLANK(B1231),0,+J$1162)</f>
        <v>500</v>
      </c>
      <c r="K1231" s="17">
        <f>ROUND($B1231*K$1162,2)</f>
        <v>-0.04</v>
      </c>
      <c r="L1231" s="17">
        <f>IF(ISBLANK($C1231),0,IF($C1231&lt;$C$1163,ROUND($C$1163*$L$1162,2),IF($C1231&gt;L$1163,ROUND(L$1163*L$1162,2),ROUND($C1231*L$1162,2))))</f>
        <v>48180</v>
      </c>
      <c r="M1231" s="17">
        <f>IF($C1231&gt;L$1163,ROUND(($C1231-L$1163)*M$1162,2),0)</f>
        <v>0</v>
      </c>
      <c r="N1231" s="17">
        <f>K1231</f>
        <v>-0.04</v>
      </c>
      <c r="O1231" s="17"/>
      <c r="P1231" s="17"/>
      <c r="Q1231" s="17">
        <f>SUM(L1231:M1231)</f>
        <v>48180</v>
      </c>
      <c r="R1231" s="16" t="e">
        <f>ROUND(SUM(K1231:M1231)*(R1230-1),2)</f>
        <v>#N/A</v>
      </c>
      <c r="S1231" s="17">
        <f>ROUND($B1231*S$1162*S1230,2)</f>
        <v>0</v>
      </c>
      <c r="T1231" s="17">
        <f>ROUND($B1231*T$1162,2)</f>
        <v>0</v>
      </c>
      <c r="U1231" s="17">
        <f>ROUND($B1231*U$1162,2)</f>
        <v>0</v>
      </c>
      <c r="V1231" s="8">
        <f>ROUND($B1231*V$1157,2)</f>
        <v>0</v>
      </c>
      <c r="W1231" s="17">
        <f>ROUND($B1231*W$1162,2)</f>
        <v>0</v>
      </c>
      <c r="X1231" s="17">
        <f>ROUND($B1231*X$1162,2)</f>
        <v>-0.01</v>
      </c>
      <c r="Y1231" s="17">
        <f>ROUND($B1231*Y$1162,2)</f>
        <v>0</v>
      </c>
      <c r="Z1231" s="17">
        <f>ROUND($B1231*Z$1162,2)</f>
        <v>0</v>
      </c>
      <c r="AA1231" s="17">
        <f>ROUND($B1231*AA$1162,2)</f>
        <v>0</v>
      </c>
      <c r="AB1231" s="19">
        <f>SUM(U$1162:AA$1162)+(-V$1162+V1215)</f>
        <v>1.2243E-2</v>
      </c>
      <c r="AC1231" s="67" t="str">
        <f>+F1231</f>
        <v>HL31</v>
      </c>
    </row>
    <row r="1232" spans="1:29" x14ac:dyDescent="0.2">
      <c r="A1232" s="9"/>
      <c r="B1232" s="103">
        <v>-1</v>
      </c>
      <c r="D1232" s="8"/>
      <c r="E1232" s="9"/>
      <c r="F1232" s="36"/>
      <c r="G1232" s="12"/>
      <c r="H1232" s="12"/>
      <c r="J1232" s="12"/>
      <c r="K1232" s="12"/>
      <c r="L1232" s="12"/>
      <c r="M1232" s="12"/>
      <c r="N1232" s="12"/>
      <c r="O1232" s="12"/>
      <c r="P1232" s="12"/>
      <c r="Q1232" s="12"/>
      <c r="R1232" s="38" t="e">
        <f>VLOOKUP((D1233),'Pwr Factor'!$A$1:$B$52,2)</f>
        <v>#N/A</v>
      </c>
      <c r="S1232" s="50">
        <v>0.1</v>
      </c>
      <c r="T1232" s="12"/>
      <c r="U1232" s="12"/>
      <c r="V1232" s="12"/>
      <c r="W1232" s="12"/>
      <c r="X1232" s="12"/>
      <c r="Y1232" s="12"/>
      <c r="Z1232" s="12"/>
      <c r="AA1232" s="12"/>
    </row>
    <row r="1233" spans="1:29" x14ac:dyDescent="0.2">
      <c r="A1233" s="1" t="s">
        <v>154</v>
      </c>
      <c r="B1233" s="103">
        <f>IF(AND('AES Indiana Bill Calc.'!$D$17="HL3",'AES Indiana Bill Calc.'!$D$18="Yes 10%",'AES Indiana Bill Calc.'!$D$20="Yes 2022"),'AES Indiana Bill Calc.'!$D$19,-1)</f>
        <v>-1</v>
      </c>
      <c r="C1233" s="103">
        <f>MAX(E1233,$C$905)</f>
        <v>2000</v>
      </c>
      <c r="D1233" s="103" t="b">
        <f>IF(AND('AES Indiana Bill Calc.'!$D$17="HL3",'AES Indiana Bill Calc.'!$D$18="Yes 10%",'AES Indiana Bill Calc.'!$D$20="Yes 2022"),'AES Indiana Bill Calc.'!$D$22)</f>
        <v>0</v>
      </c>
      <c r="E1233" s="103" t="b">
        <f>IF(AND('AES Indiana Bill Calc.'!$D$17="HL3",'AES Indiana Bill Calc.'!$D$18="Yes 10%",'AES Indiana Bill Calc.'!$D$20="Yes 2022"),'AES Indiana Bill Calc.'!$D$21)</f>
        <v>0</v>
      </c>
      <c r="F1233" s="36" t="s">
        <v>241</v>
      </c>
      <c r="G1233" s="92" t="e">
        <f>SUM(J1233:M1233,R1233:AA1233)</f>
        <v>#N/A</v>
      </c>
      <c r="H1233" s="19" t="e">
        <f>IF(ISBLANK(B1233),0,+#REF!/B1233)</f>
        <v>#REF!</v>
      </c>
      <c r="J1233" s="51">
        <f>IF(ISBLANK(B1233),0,+J$1162)</f>
        <v>500</v>
      </c>
      <c r="K1233" s="17">
        <f>ROUND($B1233*K$1162,2)</f>
        <v>-0.04</v>
      </c>
      <c r="L1233" s="17">
        <f>IF(ISBLANK($C1233),0,IF($C1233&lt;$C$1163,ROUND($C$1163*$L$1162,2),IF($C1233&gt;L$1163,ROUND(L$1163*L$1162,2),ROUND($C1233*L$1162,2))))</f>
        <v>48180</v>
      </c>
      <c r="M1233" s="17">
        <f>IF($C1233&gt;L$1163,ROUND(($C1233-L$1163)*M$1162,2),0)</f>
        <v>0</v>
      </c>
      <c r="N1233" s="17">
        <f>K1233</f>
        <v>-0.04</v>
      </c>
      <c r="O1233" s="17"/>
      <c r="P1233" s="17"/>
      <c r="Q1233" s="17">
        <f>SUM(L1233:M1233)</f>
        <v>48180</v>
      </c>
      <c r="R1233" s="16" t="e">
        <f>ROUND(SUM(K1233:M1233)*(R1232-1),2)</f>
        <v>#N/A</v>
      </c>
      <c r="S1233" s="17">
        <f>ROUND($B1233*S$1162*S1232,2)</f>
        <v>0</v>
      </c>
      <c r="T1233" s="17">
        <f>ROUND($B1233*T$1162,2)</f>
        <v>0</v>
      </c>
      <c r="U1233" s="17">
        <f>ROUND($B1233*U$1162,2)</f>
        <v>0</v>
      </c>
      <c r="V1233" s="8">
        <f>ROUND($B1233*V$1157,2)</f>
        <v>0</v>
      </c>
      <c r="W1233" s="17">
        <f>ROUND($B1233*W$1162,2)</f>
        <v>0</v>
      </c>
      <c r="X1233" s="17">
        <f>ROUND($B1233*X$1162,2)</f>
        <v>-0.01</v>
      </c>
      <c r="Y1233" s="17">
        <f>ROUND($B1233*Y$1162,2)</f>
        <v>0</v>
      </c>
      <c r="Z1233" s="17">
        <f>ROUND($B1233*Z$1162,2)</f>
        <v>0</v>
      </c>
      <c r="AA1233" s="17">
        <f>ROUND($B1233*AA$1162,2)</f>
        <v>0</v>
      </c>
      <c r="AB1233" s="19">
        <f>SUM(U$1162:AA$1162)+(-V$1162+V1217)</f>
        <v>1.2243E-2</v>
      </c>
      <c r="AC1233" s="67" t="str">
        <f>+F1233</f>
        <v>HL31</v>
      </c>
    </row>
    <row r="1234" spans="1:29" x14ac:dyDescent="0.2">
      <c r="A1234" s="9"/>
      <c r="B1234" s="103">
        <v>-1</v>
      </c>
      <c r="D1234" s="8"/>
      <c r="E1234" s="9"/>
      <c r="F1234" s="36"/>
      <c r="G1234" s="12"/>
      <c r="H1234" s="12"/>
      <c r="J1234" s="12"/>
      <c r="K1234" s="12"/>
      <c r="L1234" s="12"/>
      <c r="M1234" s="12"/>
      <c r="N1234" s="12"/>
      <c r="O1234" s="12"/>
      <c r="P1234" s="12"/>
      <c r="Q1234" s="12"/>
      <c r="R1234" s="38" t="e">
        <f>VLOOKUP((D1235),'Pwr Factor'!$A$1:$B$52,2)</f>
        <v>#N/A</v>
      </c>
      <c r="S1234" s="50">
        <v>0</v>
      </c>
      <c r="T1234" s="12"/>
      <c r="U1234" s="12"/>
      <c r="V1234" s="12"/>
      <c r="W1234" s="12"/>
      <c r="X1234" s="12"/>
      <c r="Y1234" s="12"/>
      <c r="Z1234" s="12"/>
      <c r="AA1234" s="12"/>
    </row>
    <row r="1235" spans="1:29" x14ac:dyDescent="0.2">
      <c r="A1235" s="1" t="s">
        <v>137</v>
      </c>
      <c r="B1235" s="103">
        <f>IF(AND('AES Indiana Bill Calc.'!$D$17="HL3",'AES Indiana Bill Calc.'!$D$18="No",'AES Indiana Bill Calc.'!$D$20="Yes 2022"),'AES Indiana Bill Calc.'!$D$19,-1)</f>
        <v>-1</v>
      </c>
      <c r="C1235" s="103">
        <f>MAX(E1235,$C$905)</f>
        <v>2000</v>
      </c>
      <c r="D1235" s="103" t="b">
        <f>IF(AND('AES Indiana Bill Calc.'!$D$17="HL3",'AES Indiana Bill Calc.'!$D$18="No",'AES Indiana Bill Calc.'!$D$20="Yes 2022"),'AES Indiana Bill Calc.'!$D$22)</f>
        <v>0</v>
      </c>
      <c r="E1235" s="103" t="b">
        <f>IF(AND('AES Indiana Bill Calc.'!$D$17="HL3",'AES Indiana Bill Calc.'!$D$18="No",'AES Indiana Bill Calc.'!$D$20="Yes 2022"),'AES Indiana Bill Calc.'!$D$21)</f>
        <v>0</v>
      </c>
      <c r="F1235" s="36" t="s">
        <v>241</v>
      </c>
      <c r="G1235" s="92" t="e">
        <f>SUM(J1235:M1235,R1235:AA1235)</f>
        <v>#N/A</v>
      </c>
      <c r="H1235" s="19" t="e">
        <f>IF(ISBLANK(B1235),0,+#REF!/B1235)</f>
        <v>#REF!</v>
      </c>
      <c r="J1235" s="51">
        <f>IF(ISBLANK(B1235),0,+J$1162)</f>
        <v>500</v>
      </c>
      <c r="K1235" s="17">
        <f>ROUND($B1235*K$1162,2)</f>
        <v>-0.04</v>
      </c>
      <c r="L1235" s="17">
        <f>IF(ISBLANK($C1235),0,IF($C1235&lt;$C$1163,ROUND($C$1163*$L$1162,2),IF($C1235&gt;L$1163,ROUND(L$1163*L$1162,2),ROUND($C1235*L$1162,2))))</f>
        <v>48180</v>
      </c>
      <c r="M1235" s="17">
        <f>IF($C1235&gt;L$1163,ROUND(($C1235-L$1163)*M$1162,2),0)</f>
        <v>0</v>
      </c>
      <c r="N1235" s="17">
        <f>K1235</f>
        <v>-0.04</v>
      </c>
      <c r="O1235" s="17"/>
      <c r="P1235" s="17"/>
      <c r="Q1235" s="17">
        <f>SUM(L1235:M1235)</f>
        <v>48180</v>
      </c>
      <c r="R1235" s="16" t="e">
        <f>ROUND(SUM(K1235:M1235)*(R1234-1),2)</f>
        <v>#N/A</v>
      </c>
      <c r="S1235" s="17">
        <f>ROUND($B1235*S$1162*S1234,2)</f>
        <v>0</v>
      </c>
      <c r="T1235" s="17">
        <f>ROUND($B1235*T$1162,2)</f>
        <v>0</v>
      </c>
      <c r="U1235" s="17">
        <f>ROUND($B1235*U$1162,2)</f>
        <v>0</v>
      </c>
      <c r="V1235" s="8">
        <f>ROUND($B1235*V$1157,2)</f>
        <v>0</v>
      </c>
      <c r="W1235" s="17">
        <f>ROUND($B1235*W$1162,2)</f>
        <v>0</v>
      </c>
      <c r="X1235" s="17">
        <f>ROUND($B1235*X$1162,2)</f>
        <v>-0.01</v>
      </c>
      <c r="Y1235" s="17">
        <f>ROUND($B1235*Y$1162,2)</f>
        <v>0</v>
      </c>
      <c r="Z1235" s="17">
        <f>ROUND($B1235*Z$1162,2)</f>
        <v>0</v>
      </c>
      <c r="AA1235" s="17">
        <f>ROUND($B1235*AA$1162,2)</f>
        <v>0</v>
      </c>
      <c r="AB1235" s="19">
        <f>SUM(U$1162:AA$1162)+(-V$1162+V1219)</f>
        <v>1.2243E-2</v>
      </c>
      <c r="AC1235" s="67" t="str">
        <f>+F1235</f>
        <v>HL31</v>
      </c>
    </row>
    <row r="1236" spans="1:29" x14ac:dyDescent="0.2">
      <c r="A1236" s="48"/>
      <c r="B1236" s="103">
        <v>-1</v>
      </c>
      <c r="D1236" s="8"/>
      <c r="E1236" s="9"/>
      <c r="F1236" s="36"/>
      <c r="G1236" s="12"/>
      <c r="H1236" s="12"/>
      <c r="J1236" s="12"/>
      <c r="K1236" s="12"/>
      <c r="L1236" s="12"/>
      <c r="M1236" s="12"/>
      <c r="N1236" s="12"/>
      <c r="O1236" s="12"/>
      <c r="P1236" s="12"/>
      <c r="Q1236" s="12"/>
      <c r="R1236" s="38" t="e">
        <f>VLOOKUP((D1237),'Pwr Factor'!$A$1:$B$52,2)</f>
        <v>#N/A</v>
      </c>
      <c r="S1236" s="50">
        <v>1</v>
      </c>
      <c r="T1236" s="12"/>
      <c r="U1236" s="12"/>
      <c r="V1236" s="12"/>
      <c r="W1236" s="12"/>
      <c r="X1236" s="12"/>
      <c r="Y1236" s="12"/>
      <c r="Z1236" s="12"/>
      <c r="AA1236" s="12"/>
    </row>
    <row r="1237" spans="1:29" x14ac:dyDescent="0.2">
      <c r="A1237" s="1" t="s">
        <v>138</v>
      </c>
      <c r="B1237" s="103">
        <f>IF(AND('AES Indiana Bill Calc.'!$D$17="HL3",'AES Indiana Bill Calc.'!$D$18="Yes 100%",'AES Indiana Bill Calc.'!$D$20="Yes 2022"),'AES Indiana Bill Calc.'!$D$19,-1)</f>
        <v>-1</v>
      </c>
      <c r="C1237" s="103">
        <f>MAX(E1237,$C$905)</f>
        <v>2000</v>
      </c>
      <c r="D1237" s="103" t="b">
        <f>IF(AND('AES Indiana Bill Calc.'!$D$17="HL3",'AES Indiana Bill Calc.'!$D$18="Yes 100%",'AES Indiana Bill Calc.'!$D$20="Yes 2022"),'AES Indiana Bill Calc.'!$D$22)</f>
        <v>0</v>
      </c>
      <c r="E1237" s="103" t="b">
        <f>IF(AND('AES Indiana Bill Calc.'!$D$17="HL3",'AES Indiana Bill Calc.'!$D$18="Yes 100%",'AES Indiana Bill Calc.'!$D$20="Yes 2022"),'AES Indiana Bill Calc.'!$D$21)</f>
        <v>0</v>
      </c>
      <c r="F1237" s="36" t="s">
        <v>242</v>
      </c>
      <c r="G1237" s="92" t="e">
        <f>SUM(J1237:M1237,R1237:AA1237)</f>
        <v>#N/A</v>
      </c>
      <c r="H1237" s="19" t="e">
        <f>IF(ISBLANK(B1237),0,+#REF!/B1237)</f>
        <v>#REF!</v>
      </c>
      <c r="J1237" s="51">
        <f>IF(ISBLANK(B1237),0,+J$1162)</f>
        <v>500</v>
      </c>
      <c r="K1237" s="17">
        <f>ROUND($B1237*K$1162,2)</f>
        <v>-0.04</v>
      </c>
      <c r="L1237" s="17">
        <f>IF(ISBLANK($C1237),0,IF($C1237&lt;$C$1163,ROUND($C$1163*$L$1162,2),IF($C1237&gt;L$1163,ROUND(L$1163*L$1162,2),ROUND($C1237*L$1162,2))))</f>
        <v>48180</v>
      </c>
      <c r="M1237" s="17">
        <f>IF($C1237&gt;L$1163,ROUND(($C1237-L$1163)*M$1162,2),0)</f>
        <v>0</v>
      </c>
      <c r="N1237" s="17">
        <f>K1237</f>
        <v>-0.04</v>
      </c>
      <c r="O1237" s="17"/>
      <c r="P1237" s="17"/>
      <c r="Q1237" s="17">
        <f>SUM(L1237:M1237)</f>
        <v>48180</v>
      </c>
      <c r="R1237" s="16" t="e">
        <f>ROUND(SUM(K1237:M1237)*(R1236-1),2)</f>
        <v>#N/A</v>
      </c>
      <c r="S1237" s="17">
        <f>ROUND($B1237*S$1162*S1236,2)</f>
        <v>0</v>
      </c>
      <c r="T1237" s="17">
        <f>ROUND($B1237*T$1162,2)</f>
        <v>0</v>
      </c>
      <c r="U1237" s="17">
        <f>ROUND($B1237*U$1162,2)</f>
        <v>0</v>
      </c>
      <c r="V1237" s="8">
        <f>ROUND($B1237*V$1157,2)</f>
        <v>0</v>
      </c>
      <c r="W1237" s="17">
        <f>ROUND($B1237*W$1162,2)</f>
        <v>0</v>
      </c>
      <c r="X1237" s="17">
        <f>ROUND($B1237*X$1162,2)</f>
        <v>-0.01</v>
      </c>
      <c r="Y1237" s="17">
        <f>ROUND($B1237*Y$1162,2)</f>
        <v>0</v>
      </c>
      <c r="Z1237" s="17">
        <f>ROUND($B1237*Z$1162,2)</f>
        <v>0</v>
      </c>
      <c r="AA1237" s="17">
        <f>ROUND($B1237*AA$1162,2)</f>
        <v>0</v>
      </c>
      <c r="AB1237" s="19">
        <f>SUM(U$1162:AA$1162)+(-V$1162+V1221)</f>
        <v>1.2243E-2</v>
      </c>
      <c r="AC1237" s="67" t="str">
        <f>+F1237</f>
        <v>HL32</v>
      </c>
    </row>
    <row r="1238" spans="1:29" x14ac:dyDescent="0.2">
      <c r="A1238" s="48"/>
      <c r="B1238" s="103">
        <v>-1</v>
      </c>
      <c r="D1238" s="8"/>
      <c r="E1238" s="9"/>
      <c r="F1238" s="36"/>
      <c r="G1238" s="12"/>
      <c r="H1238" s="12"/>
      <c r="J1238" s="12"/>
      <c r="K1238" s="12"/>
      <c r="L1238" s="12"/>
      <c r="M1238" s="12"/>
      <c r="N1238" s="12"/>
      <c r="O1238" s="12"/>
      <c r="P1238" s="12"/>
      <c r="Q1238" s="12"/>
      <c r="R1238" s="38" t="e">
        <f>VLOOKUP((D1239),'Pwr Factor'!$A$1:$B$52,2)</f>
        <v>#N/A</v>
      </c>
      <c r="S1238" s="50">
        <v>0.5</v>
      </c>
      <c r="T1238" s="12"/>
      <c r="U1238" s="12"/>
      <c r="V1238" s="12"/>
      <c r="W1238" s="12"/>
      <c r="X1238" s="12"/>
      <c r="Y1238" s="12"/>
      <c r="Z1238" s="12"/>
      <c r="AA1238" s="12"/>
    </row>
    <row r="1239" spans="1:29" x14ac:dyDescent="0.2">
      <c r="A1239" s="1" t="s">
        <v>139</v>
      </c>
      <c r="B1239" s="103">
        <f>IF(AND('AES Indiana Bill Calc.'!$D$17="HL3",'AES Indiana Bill Calc.'!$D$18="Yes 50%",'AES Indiana Bill Calc.'!$D$20="Yes 2022"),'AES Indiana Bill Calc.'!$D$19,-1)</f>
        <v>-1</v>
      </c>
      <c r="C1239" s="103">
        <f>MAX(E1239,$C$905)</f>
        <v>2000</v>
      </c>
      <c r="D1239" s="103" t="b">
        <f>IF(AND('AES Indiana Bill Calc.'!$D$17="HL3",'AES Indiana Bill Calc.'!$D$18="Yes 50%",'AES Indiana Bill Calc.'!$D$20="Yes 2022"),'AES Indiana Bill Calc.'!$D$22)</f>
        <v>0</v>
      </c>
      <c r="E1239" s="103" t="b">
        <f>IF(AND('AES Indiana Bill Calc.'!$D$17="HL3",'AES Indiana Bill Calc.'!$D$18="Yes 50%",'AES Indiana Bill Calc.'!$D$20="Yes 2022"),'AES Indiana Bill Calc.'!$D$21)</f>
        <v>0</v>
      </c>
      <c r="F1239" s="36" t="s">
        <v>242</v>
      </c>
      <c r="G1239" s="92" t="e">
        <f>SUM(J1239:M1239,R1239:AA1239)</f>
        <v>#N/A</v>
      </c>
      <c r="H1239" s="19" t="e">
        <f>IF(ISBLANK(B1239),0,+#REF!/B1239)</f>
        <v>#REF!</v>
      </c>
      <c r="J1239" s="51">
        <f>IF(ISBLANK(B1239),0,+J$1162)</f>
        <v>500</v>
      </c>
      <c r="K1239" s="17">
        <f>ROUND($B1239*K$1162,2)</f>
        <v>-0.04</v>
      </c>
      <c r="L1239" s="17">
        <f>IF(ISBLANK($C1239),0,IF($C1239&lt;$C$1163,ROUND($C$1163*$L$1162,2),IF($C1239&gt;L$1163,ROUND(L$1163*L$1162,2),ROUND($C1239*L$1162,2))))</f>
        <v>48180</v>
      </c>
      <c r="M1239" s="17">
        <f>IF($C1239&gt;L$1163,ROUND(($C1239-L$1163)*M$1162,2),0)</f>
        <v>0</v>
      </c>
      <c r="N1239" s="17">
        <f>K1239</f>
        <v>-0.04</v>
      </c>
      <c r="O1239" s="17"/>
      <c r="P1239" s="17"/>
      <c r="Q1239" s="17">
        <f>SUM(L1239:M1239)</f>
        <v>48180</v>
      </c>
      <c r="R1239" s="16" t="e">
        <f>ROUND(SUM(K1239:M1239)*(R1238-1),2)</f>
        <v>#N/A</v>
      </c>
      <c r="S1239" s="17">
        <f>ROUND($B1239*S$1162*S1238,2)</f>
        <v>0</v>
      </c>
      <c r="T1239" s="17">
        <f>ROUND($B1239*T$1162,2)</f>
        <v>0</v>
      </c>
      <c r="U1239" s="17">
        <f>ROUND($B1239*U$1162,2)</f>
        <v>0</v>
      </c>
      <c r="V1239" s="8">
        <f>ROUND($B1239*V$1157,2)</f>
        <v>0</v>
      </c>
      <c r="W1239" s="17">
        <f>ROUND($B1239*W$1162,2)</f>
        <v>0</v>
      </c>
      <c r="X1239" s="17">
        <f>ROUND($B1239*X$1162,2)</f>
        <v>-0.01</v>
      </c>
      <c r="Y1239" s="17">
        <f>ROUND($B1239*Y$1162,2)</f>
        <v>0</v>
      </c>
      <c r="Z1239" s="17">
        <f>ROUND($B1239*Z$1162,2)</f>
        <v>0</v>
      </c>
      <c r="AA1239" s="17">
        <f>ROUND($B1239*AA$1162,2)</f>
        <v>0</v>
      </c>
      <c r="AB1239" s="19">
        <f>SUM(U$1162:AA$1162)+(-V$1162+V1223)</f>
        <v>1.2243E-2</v>
      </c>
      <c r="AC1239" s="67" t="str">
        <f>+F1239</f>
        <v>HL32</v>
      </c>
    </row>
    <row r="1240" spans="1:29" x14ac:dyDescent="0.2">
      <c r="A1240" s="9"/>
      <c r="B1240" s="103">
        <v>-1</v>
      </c>
      <c r="D1240" s="8"/>
      <c r="E1240" s="9"/>
      <c r="F1240" s="36"/>
      <c r="G1240" s="12"/>
      <c r="H1240" s="12"/>
      <c r="J1240" s="12"/>
      <c r="K1240" s="12"/>
      <c r="L1240" s="12"/>
      <c r="M1240" s="12"/>
      <c r="N1240" s="12"/>
      <c r="O1240" s="12"/>
      <c r="P1240" s="12"/>
      <c r="Q1240" s="12"/>
      <c r="R1240" s="38" t="e">
        <f>VLOOKUP((D1241),'Pwr Factor'!$A$1:$B$52,2)</f>
        <v>#N/A</v>
      </c>
      <c r="S1240" s="50">
        <v>0.25</v>
      </c>
      <c r="T1240" s="12"/>
      <c r="U1240" s="12"/>
      <c r="V1240" s="12"/>
      <c r="W1240" s="12"/>
      <c r="X1240" s="12"/>
      <c r="Y1240" s="12"/>
      <c r="Z1240" s="12"/>
      <c r="AA1240" s="12"/>
    </row>
    <row r="1241" spans="1:29" x14ac:dyDescent="0.2">
      <c r="A1241" s="1" t="s">
        <v>140</v>
      </c>
      <c r="B1241" s="103">
        <f>IF(AND('AES Indiana Bill Calc.'!$D$17="HL3",'AES Indiana Bill Calc.'!$D$18="Yes 25%",'AES Indiana Bill Calc.'!$D$20="Yes 2022"),'AES Indiana Bill Calc.'!$D$19,-1)</f>
        <v>-1</v>
      </c>
      <c r="C1241" s="103">
        <f>MAX(E1241,$C$905)</f>
        <v>2000</v>
      </c>
      <c r="D1241" s="103" t="b">
        <f>IF(AND('AES Indiana Bill Calc.'!$D$17="HL3",'AES Indiana Bill Calc.'!$D$18="Yes 25%",'AES Indiana Bill Calc.'!$D$20="Yes 2022"),'AES Indiana Bill Calc.'!$D$22)</f>
        <v>0</v>
      </c>
      <c r="E1241" s="103" t="b">
        <f>IF(AND('AES Indiana Bill Calc.'!$D$17="HL3",'AES Indiana Bill Calc.'!$D$18="Yes 25%",'AES Indiana Bill Calc.'!$D$20="Yes 2022"),'AES Indiana Bill Calc.'!$D$21)</f>
        <v>0</v>
      </c>
      <c r="F1241" s="36" t="s">
        <v>242</v>
      </c>
      <c r="G1241" s="92" t="e">
        <f>SUM(J1241:M1241,R1241:AA1241)</f>
        <v>#N/A</v>
      </c>
      <c r="H1241" s="19" t="e">
        <f>IF(ISBLANK(B1241),0,+#REF!/B1241)</f>
        <v>#REF!</v>
      </c>
      <c r="J1241" s="51">
        <f>IF(ISBLANK(B1241),0,+J$1162)</f>
        <v>500</v>
      </c>
      <c r="K1241" s="17">
        <f>ROUND($B1241*K$1162,2)</f>
        <v>-0.04</v>
      </c>
      <c r="L1241" s="17">
        <f>IF(ISBLANK($C1241),0,IF($C1241&lt;$C$1163,ROUND($C$1163*$L$1162,2),IF($C1241&gt;L$1163,ROUND(L$1163*L$1162,2),ROUND($C1241*L$1162,2))))</f>
        <v>48180</v>
      </c>
      <c r="M1241" s="17">
        <f>IF($C1241&gt;L$1163,ROUND(($C1241-L$1163)*M$1162,2),0)</f>
        <v>0</v>
      </c>
      <c r="N1241" s="17">
        <f>K1241</f>
        <v>-0.04</v>
      </c>
      <c r="O1241" s="17"/>
      <c r="P1241" s="17"/>
      <c r="Q1241" s="17">
        <f>SUM(L1241:M1241)</f>
        <v>48180</v>
      </c>
      <c r="R1241" s="16" t="e">
        <f>ROUND(SUM(K1241:M1241)*(R1240-1),2)</f>
        <v>#N/A</v>
      </c>
      <c r="S1241" s="17">
        <f>ROUND($B1241*S$1162*S1240,2)</f>
        <v>0</v>
      </c>
      <c r="T1241" s="17">
        <f>ROUND($B1241*T$1162,2)</f>
        <v>0</v>
      </c>
      <c r="U1241" s="17">
        <f>ROUND($B1241*U$1162,2)</f>
        <v>0</v>
      </c>
      <c r="V1241" s="8">
        <f>ROUND($B1241*V$1157,2)</f>
        <v>0</v>
      </c>
      <c r="W1241" s="17">
        <f>ROUND($B1241*W$1162,2)</f>
        <v>0</v>
      </c>
      <c r="X1241" s="17">
        <f>ROUND($B1241*X$1162,2)</f>
        <v>-0.01</v>
      </c>
      <c r="Y1241" s="17">
        <f>ROUND($B1241*Y$1162,2)</f>
        <v>0</v>
      </c>
      <c r="Z1241" s="17">
        <f>ROUND($B1241*Z$1162,2)</f>
        <v>0</v>
      </c>
      <c r="AA1241" s="17">
        <f>ROUND($B1241*AA$1162,2)</f>
        <v>0</v>
      </c>
      <c r="AB1241" s="19">
        <f>SUM(U$1162:AA$1162)+(-V$1162+V1225)</f>
        <v>1.2243E-2</v>
      </c>
      <c r="AC1241" s="67" t="str">
        <f>+F1241</f>
        <v>HL32</v>
      </c>
    </row>
    <row r="1242" spans="1:29" x14ac:dyDescent="0.2">
      <c r="A1242" s="9"/>
      <c r="B1242" s="103">
        <v>-1</v>
      </c>
      <c r="D1242" s="8"/>
      <c r="E1242" s="9"/>
      <c r="F1242" s="36"/>
      <c r="G1242" s="12"/>
      <c r="H1242" s="12"/>
      <c r="J1242" s="12"/>
      <c r="K1242" s="12"/>
      <c r="L1242" s="12"/>
      <c r="M1242" s="12"/>
      <c r="N1242" s="12"/>
      <c r="O1242" s="12"/>
      <c r="P1242" s="12"/>
      <c r="Q1242" s="12"/>
      <c r="R1242" s="38" t="e">
        <f>VLOOKUP((D1243),'Pwr Factor'!$A$1:$B$52,2)</f>
        <v>#N/A</v>
      </c>
      <c r="S1242" s="50">
        <v>0.1</v>
      </c>
      <c r="T1242" s="12"/>
      <c r="U1242" s="12"/>
      <c r="V1242" s="12"/>
      <c r="W1242" s="12"/>
      <c r="X1242" s="12"/>
      <c r="Y1242" s="12"/>
      <c r="Z1242" s="12"/>
      <c r="AA1242" s="12"/>
    </row>
    <row r="1243" spans="1:29" x14ac:dyDescent="0.2">
      <c r="A1243" s="1" t="s">
        <v>154</v>
      </c>
      <c r="B1243" s="103">
        <f>IF(AND('AES Indiana Bill Calc.'!$D$17="HL3",'AES Indiana Bill Calc.'!$D$18="Yes 10%",'AES Indiana Bill Calc.'!$D$20="Yes 2022"),'AES Indiana Bill Calc.'!$D$19,-1)</f>
        <v>-1</v>
      </c>
      <c r="C1243" s="103">
        <f>MAX(E1243,$C$905)</f>
        <v>2000</v>
      </c>
      <c r="D1243" s="103" t="b">
        <f>IF(AND('AES Indiana Bill Calc.'!$D$17="HL3",'AES Indiana Bill Calc.'!$D$18="Yes 10%",'AES Indiana Bill Calc.'!$D$20="Yes 2022"),'AES Indiana Bill Calc.'!$D$22)</f>
        <v>0</v>
      </c>
      <c r="E1243" s="103" t="b">
        <f>IF(AND('AES Indiana Bill Calc.'!$D$17="HL3",'AES Indiana Bill Calc.'!$D$18="Yes 10%",'AES Indiana Bill Calc.'!$D$20="Yes 2022"),'AES Indiana Bill Calc.'!$D$21)</f>
        <v>0</v>
      </c>
      <c r="F1243" s="36" t="s">
        <v>242</v>
      </c>
      <c r="G1243" s="92" t="e">
        <f>SUM(J1243:M1243,R1243:AA1243)</f>
        <v>#N/A</v>
      </c>
      <c r="H1243" s="19" t="e">
        <f>IF(ISBLANK(B1243),0,+#REF!/B1243)</f>
        <v>#REF!</v>
      </c>
      <c r="J1243" s="51">
        <f>IF(ISBLANK(B1243),0,+J$1162)</f>
        <v>500</v>
      </c>
      <c r="K1243" s="17">
        <f>ROUND($B1243*K$1162,2)</f>
        <v>-0.04</v>
      </c>
      <c r="L1243" s="17">
        <f>IF(ISBLANK($C1243),0,IF($C1243&lt;$C$1163,ROUND($C$1163*$L$1162,2),IF($C1243&gt;L$1163,ROUND(L$1163*L$1162,2),ROUND($C1243*L$1162,2))))</f>
        <v>48180</v>
      </c>
      <c r="M1243" s="17">
        <f>IF($C1243&gt;L$1163,ROUND(($C1243-L$1163)*M$1162,2),0)</f>
        <v>0</v>
      </c>
      <c r="N1243" s="17">
        <f>K1243</f>
        <v>-0.04</v>
      </c>
      <c r="O1243" s="17"/>
      <c r="P1243" s="17"/>
      <c r="Q1243" s="17">
        <f>SUM(L1243:M1243)</f>
        <v>48180</v>
      </c>
      <c r="R1243" s="16" t="e">
        <f>ROUND(SUM(K1243:M1243)*(R1242-1),2)</f>
        <v>#N/A</v>
      </c>
      <c r="S1243" s="17">
        <f>ROUND($B1243*S$1162*S1242,2)</f>
        <v>0</v>
      </c>
      <c r="T1243" s="17">
        <f>ROUND($B1243*T$1162,2)</f>
        <v>0</v>
      </c>
      <c r="U1243" s="17">
        <f>ROUND($B1243*U$1162,2)</f>
        <v>0</v>
      </c>
      <c r="V1243" s="8">
        <f>ROUND($B1243*V$1157,2)</f>
        <v>0</v>
      </c>
      <c r="W1243" s="17">
        <f>ROUND($B1243*W$1162,2)</f>
        <v>0</v>
      </c>
      <c r="X1243" s="17">
        <f>ROUND($B1243*X$1162,2)</f>
        <v>-0.01</v>
      </c>
      <c r="Y1243" s="17">
        <f>ROUND($B1243*Y$1162,2)</f>
        <v>0</v>
      </c>
      <c r="Z1243" s="17">
        <f>ROUND($B1243*Z$1162,2)</f>
        <v>0</v>
      </c>
      <c r="AA1243" s="17">
        <f>ROUND($B1243*AA$1162,2)</f>
        <v>0</v>
      </c>
      <c r="AB1243" s="19">
        <f>SUM(U$1162:AA$1162)+(-V$1162+V1227)</f>
        <v>1.2243E-2</v>
      </c>
      <c r="AC1243" s="67" t="str">
        <f>+F1243</f>
        <v>HL32</v>
      </c>
    </row>
    <row r="1244" spans="1:29" x14ac:dyDescent="0.2">
      <c r="A1244" s="9"/>
      <c r="B1244" s="103">
        <v>-1</v>
      </c>
      <c r="D1244" s="8"/>
      <c r="E1244" s="9"/>
      <c r="F1244" s="36"/>
      <c r="G1244" s="12"/>
      <c r="H1244" s="12"/>
      <c r="J1244" s="12"/>
      <c r="K1244" s="12"/>
      <c r="L1244" s="12"/>
      <c r="M1244" s="12"/>
      <c r="N1244" s="12"/>
      <c r="O1244" s="12"/>
      <c r="P1244" s="12"/>
      <c r="Q1244" s="12"/>
      <c r="R1244" s="38" t="e">
        <f>VLOOKUP((D1245),'Pwr Factor'!$A$1:$B$52,2)</f>
        <v>#N/A</v>
      </c>
      <c r="S1244" s="50">
        <v>0</v>
      </c>
      <c r="T1244" s="12"/>
      <c r="U1244" s="12"/>
      <c r="V1244" s="12"/>
      <c r="W1244" s="12"/>
      <c r="X1244" s="12"/>
      <c r="Y1244" s="12"/>
      <c r="Z1244" s="12"/>
      <c r="AA1244" s="12"/>
    </row>
    <row r="1245" spans="1:29" x14ac:dyDescent="0.2">
      <c r="A1245" s="1" t="s">
        <v>137</v>
      </c>
      <c r="B1245" s="103">
        <f>IF(AND('AES Indiana Bill Calc.'!$D$17="HL3",'AES Indiana Bill Calc.'!$D$18="No",'AES Indiana Bill Calc.'!$D$20="Yes 2022"),'AES Indiana Bill Calc.'!$D$19,-1)</f>
        <v>-1</v>
      </c>
      <c r="C1245" s="103">
        <f>MAX(E1245,$C$905)</f>
        <v>2000</v>
      </c>
      <c r="D1245" s="103" t="b">
        <f>IF(AND('AES Indiana Bill Calc.'!$D$17="HL3",'AES Indiana Bill Calc.'!$D$18="No",'AES Indiana Bill Calc.'!$D$20="Yes 2022"),'AES Indiana Bill Calc.'!$D$22)</f>
        <v>0</v>
      </c>
      <c r="E1245" s="103" t="b">
        <f>IF(AND('AES Indiana Bill Calc.'!$D$17="HL3",'AES Indiana Bill Calc.'!$D$18="No",'AES Indiana Bill Calc.'!$D$20="Yes 2022"),'AES Indiana Bill Calc.'!$D$21)</f>
        <v>0</v>
      </c>
      <c r="F1245" s="36" t="s">
        <v>242</v>
      </c>
      <c r="G1245" s="92" t="e">
        <f>SUM(J1245:M1245,R1245:AA1245)</f>
        <v>#N/A</v>
      </c>
      <c r="H1245" s="19" t="e">
        <f>IF(ISBLANK(B1245),0,+#REF!/B1245)</f>
        <v>#REF!</v>
      </c>
      <c r="J1245" s="51">
        <f>IF(ISBLANK(B1245),0,+J$1162)</f>
        <v>500</v>
      </c>
      <c r="K1245" s="17">
        <f>ROUND($B1245*K$1162,2)</f>
        <v>-0.04</v>
      </c>
      <c r="L1245" s="17">
        <f>IF(ISBLANK($C1245),0,IF($C1245&lt;$C$1163,ROUND($C$1163*$L$1162,2),IF($C1245&gt;L$1163,ROUND(L$1163*L$1162,2),ROUND($C1245*L$1162,2))))</f>
        <v>48180</v>
      </c>
      <c r="M1245" s="17">
        <f>IF($C1245&gt;L$1163,ROUND(($C1245-L$1163)*M$1162,2),0)</f>
        <v>0</v>
      </c>
      <c r="N1245" s="17">
        <f>K1245</f>
        <v>-0.04</v>
      </c>
      <c r="O1245" s="17"/>
      <c r="P1245" s="17"/>
      <c r="Q1245" s="17">
        <f>SUM(L1245:M1245)</f>
        <v>48180</v>
      </c>
      <c r="R1245" s="16" t="e">
        <f>ROUND(SUM(K1245:M1245)*(R1244-1),2)</f>
        <v>#N/A</v>
      </c>
      <c r="S1245" s="17">
        <f>ROUND($B1245*S$1162*S1244,2)</f>
        <v>0</v>
      </c>
      <c r="T1245" s="17">
        <f>ROUND($B1245*T$1162,2)</f>
        <v>0</v>
      </c>
      <c r="U1245" s="17">
        <f>ROUND($B1245*U$1162,2)</f>
        <v>0</v>
      </c>
      <c r="V1245" s="8">
        <f>ROUND($B1245*V$1157,2)</f>
        <v>0</v>
      </c>
      <c r="W1245" s="17">
        <f>ROUND($B1245*W$1162,2)</f>
        <v>0</v>
      </c>
      <c r="X1245" s="17">
        <f>ROUND($B1245*X$1162,2)</f>
        <v>-0.01</v>
      </c>
      <c r="Y1245" s="17">
        <f>ROUND($B1245*Y$1162,2)</f>
        <v>0</v>
      </c>
      <c r="Z1245" s="17">
        <f>ROUND($B1245*Z$1162,2)</f>
        <v>0</v>
      </c>
      <c r="AA1245" s="17">
        <f>ROUND($B1245*AA$1162,2)</f>
        <v>0</v>
      </c>
      <c r="AB1245" s="19">
        <f>SUM(U$1162:AA$1162)+(-V$1162+V1229)</f>
        <v>1.2243E-2</v>
      </c>
      <c r="AC1245" s="67" t="str">
        <f>+F1245</f>
        <v>HL32</v>
      </c>
    </row>
    <row r="1246" spans="1:29" x14ac:dyDescent="0.2">
      <c r="A1246" s="48"/>
      <c r="B1246" s="103">
        <v>-1</v>
      </c>
      <c r="D1246" s="8"/>
      <c r="E1246" s="9"/>
      <c r="F1246" s="36"/>
      <c r="G1246" s="12"/>
      <c r="H1246" s="12"/>
      <c r="J1246" s="12"/>
      <c r="K1246" s="12"/>
      <c r="L1246" s="12"/>
      <c r="M1246" s="12"/>
      <c r="N1246" s="12"/>
      <c r="O1246" s="12"/>
      <c r="P1246" s="12"/>
      <c r="Q1246" s="12"/>
      <c r="R1246" s="38" t="e">
        <f>VLOOKUP((D1247),'Pwr Factor'!$A$1:$B$52,2)</f>
        <v>#N/A</v>
      </c>
      <c r="S1246" s="50">
        <v>1</v>
      </c>
      <c r="T1246" s="12"/>
      <c r="U1246" s="12"/>
      <c r="V1246" s="12"/>
      <c r="W1246" s="12"/>
      <c r="X1246" s="12"/>
      <c r="Y1246" s="12"/>
      <c r="Z1246" s="12"/>
      <c r="AA1246" s="12"/>
    </row>
    <row r="1247" spans="1:29" x14ac:dyDescent="0.2">
      <c r="A1247" s="1" t="s">
        <v>138</v>
      </c>
      <c r="B1247" s="103">
        <f>IF(AND('AES Indiana Bill Calc.'!$D$17="HL3",'AES Indiana Bill Calc.'!$D$18="Yes 100%",'AES Indiana Bill Calc.'!$D$20="Yes 2023"),'AES Indiana Bill Calc.'!$D$19,-1)</f>
        <v>-1</v>
      </c>
      <c r="C1247" s="103">
        <f>MAX(E1247,$C$905)</f>
        <v>2000</v>
      </c>
      <c r="D1247" s="103" t="b">
        <f>IF(AND('AES Indiana Bill Calc.'!$D$17="HL3",'AES Indiana Bill Calc.'!$D$18="Yes 100%",'AES Indiana Bill Calc.'!$D$20="Yes 2023"),'AES Indiana Bill Calc.'!$D$22)</f>
        <v>0</v>
      </c>
      <c r="E1247" s="103" t="b">
        <f>IF(AND('AES Indiana Bill Calc.'!$D$17="HL3",'AES Indiana Bill Calc.'!$D$18="Yes 100%",'AES Indiana Bill Calc.'!$D$20="Yes 2023"),'AES Indiana Bill Calc.'!$D$21)</f>
        <v>0</v>
      </c>
      <c r="F1247" s="36" t="s">
        <v>243</v>
      </c>
      <c r="G1247" s="92" t="e">
        <f>SUM(J1247:M1247,R1247:AA1247)</f>
        <v>#N/A</v>
      </c>
      <c r="H1247" s="19" t="e">
        <f>IF(ISBLANK(B1247),0,+#REF!/B1247)</f>
        <v>#REF!</v>
      </c>
      <c r="J1247" s="51">
        <f>IF(ISBLANK(B1247),0,+J$1162)</f>
        <v>500</v>
      </c>
      <c r="K1247" s="17">
        <f>ROUND($B1247*K$1162,2)</f>
        <v>-0.04</v>
      </c>
      <c r="L1247" s="17">
        <f>IF(ISBLANK($C1247),0,IF($C1247&lt;$C$1163,ROUND($C$1163*$L$1162,2),IF($C1247&gt;L$1163,ROUND(L$1163*L$1162,2),ROUND($C1247*L$1162,2))))</f>
        <v>48180</v>
      </c>
      <c r="M1247" s="17">
        <f>IF($C1247&gt;L$1163,ROUND(($C1247-L$1163)*M$1162,2),0)</f>
        <v>0</v>
      </c>
      <c r="N1247" s="17">
        <f>K1247</f>
        <v>-0.04</v>
      </c>
      <c r="O1247" s="17"/>
      <c r="P1247" s="17"/>
      <c r="Q1247" s="17">
        <f>SUM(L1247:M1247)</f>
        <v>48180</v>
      </c>
      <c r="R1247" s="16" t="e">
        <f>ROUND(SUM(K1247:M1247)*(R1246-1),2)</f>
        <v>#N/A</v>
      </c>
      <c r="S1247" s="17">
        <f>ROUND($B1247*S$1162*S1246,2)</f>
        <v>0</v>
      </c>
      <c r="T1247" s="17">
        <f>ROUND($B1247*T$1162,2)</f>
        <v>0</v>
      </c>
      <c r="U1247" s="17">
        <f>ROUND($B1247*U$1162,2)</f>
        <v>0</v>
      </c>
      <c r="V1247" s="8">
        <f>ROUND($B1247*V$1158,2)</f>
        <v>0</v>
      </c>
      <c r="W1247" s="17">
        <f>ROUND($B1247*W$1162,2)</f>
        <v>0</v>
      </c>
      <c r="X1247" s="17">
        <f>ROUND($B1247*X$1162,2)</f>
        <v>-0.01</v>
      </c>
      <c r="Y1247" s="17">
        <f>ROUND($B1247*Y$1162,2)</f>
        <v>0</v>
      </c>
      <c r="Z1247" s="17">
        <f>ROUND($B1247*Z$1162,2)</f>
        <v>0</v>
      </c>
      <c r="AA1247" s="17">
        <f>ROUND($B1247*AA$1162,2)</f>
        <v>0</v>
      </c>
      <c r="AB1247" s="19">
        <f>SUM(U$1162:AA$1162)+(-V$1162+V1231)</f>
        <v>1.2243E-2</v>
      </c>
      <c r="AC1247" s="67" t="str">
        <f>+F1247</f>
        <v>HL33</v>
      </c>
    </row>
    <row r="1248" spans="1:29" x14ac:dyDescent="0.2">
      <c r="A1248" s="48"/>
      <c r="B1248" s="103">
        <v>-1</v>
      </c>
      <c r="D1248" s="8"/>
      <c r="E1248" s="9"/>
      <c r="F1248" s="36"/>
      <c r="G1248" s="12"/>
      <c r="H1248" s="12"/>
      <c r="J1248" s="12"/>
      <c r="K1248" s="12"/>
      <c r="L1248" s="12"/>
      <c r="M1248" s="12"/>
      <c r="N1248" s="12"/>
      <c r="O1248" s="12"/>
      <c r="P1248" s="12"/>
      <c r="Q1248" s="12"/>
      <c r="R1248" s="38" t="e">
        <f>VLOOKUP((D1249),'Pwr Factor'!$A$1:$B$52,2)</f>
        <v>#N/A</v>
      </c>
      <c r="S1248" s="50">
        <v>0.5</v>
      </c>
      <c r="T1248" s="12"/>
      <c r="U1248" s="12"/>
      <c r="V1248" s="12"/>
      <c r="W1248" s="12"/>
      <c r="X1248" s="12"/>
      <c r="Y1248" s="12"/>
      <c r="Z1248" s="12"/>
      <c r="AA1248" s="12"/>
    </row>
    <row r="1249" spans="1:29" x14ac:dyDescent="0.2">
      <c r="A1249" s="1" t="s">
        <v>139</v>
      </c>
      <c r="B1249" s="103">
        <f>IF(AND('AES Indiana Bill Calc.'!$D$17="HL3",'AES Indiana Bill Calc.'!$D$18="Yes 50%",'AES Indiana Bill Calc.'!$D$20="Yes 2023"),'AES Indiana Bill Calc.'!$D$19,-1)</f>
        <v>-1</v>
      </c>
      <c r="C1249" s="103">
        <f>MAX(E1249,$C$905)</f>
        <v>2000</v>
      </c>
      <c r="D1249" s="103" t="b">
        <f>IF(AND('AES Indiana Bill Calc.'!$D$17="HL3",'AES Indiana Bill Calc.'!$D$18="Yes 50%",'AES Indiana Bill Calc.'!$D$20="Yes 2023"),'AES Indiana Bill Calc.'!$D$22)</f>
        <v>0</v>
      </c>
      <c r="E1249" s="103" t="b">
        <f>IF(AND('AES Indiana Bill Calc.'!$D$17="HL3",'AES Indiana Bill Calc.'!$D$18="Yes 50%",'AES Indiana Bill Calc.'!$D$20="Yes 2023"),'AES Indiana Bill Calc.'!$D$21)</f>
        <v>0</v>
      </c>
      <c r="F1249" s="36" t="s">
        <v>243</v>
      </c>
      <c r="G1249" s="92" t="e">
        <f>SUM(J1249:M1249,R1249:AA1249)</f>
        <v>#N/A</v>
      </c>
      <c r="H1249" s="19" t="e">
        <f>IF(ISBLANK(B1249),0,+#REF!/B1249)</f>
        <v>#REF!</v>
      </c>
      <c r="J1249" s="51">
        <f>IF(ISBLANK(B1249),0,+J$1162)</f>
        <v>500</v>
      </c>
      <c r="K1249" s="17">
        <f>ROUND($B1249*K$1162,2)</f>
        <v>-0.04</v>
      </c>
      <c r="L1249" s="17">
        <f>IF(ISBLANK($C1249),0,IF($C1249&lt;$C$1163,ROUND($C$1163*$L$1162,2),IF($C1249&gt;L$1163,ROUND(L$1163*L$1162,2),ROUND($C1249*L$1162,2))))</f>
        <v>48180</v>
      </c>
      <c r="M1249" s="17">
        <f>IF($C1249&gt;L$1163,ROUND(($C1249-L$1163)*M$1162,2),0)</f>
        <v>0</v>
      </c>
      <c r="N1249" s="17">
        <f>K1249</f>
        <v>-0.04</v>
      </c>
      <c r="O1249" s="17"/>
      <c r="P1249" s="17"/>
      <c r="Q1249" s="17">
        <f>SUM(L1249:M1249)</f>
        <v>48180</v>
      </c>
      <c r="R1249" s="16" t="e">
        <f>ROUND(SUM(K1249:M1249)*(R1248-1),2)</f>
        <v>#N/A</v>
      </c>
      <c r="S1249" s="17">
        <f>ROUND($B1249*S$1162*S1248,2)</f>
        <v>0</v>
      </c>
      <c r="T1249" s="17">
        <f>ROUND($B1249*T$1162,2)</f>
        <v>0</v>
      </c>
      <c r="U1249" s="17">
        <f>ROUND($B1249*U$1162,2)</f>
        <v>0</v>
      </c>
      <c r="V1249" s="8">
        <f>ROUND($B1249*V$1158,2)</f>
        <v>0</v>
      </c>
      <c r="W1249" s="17">
        <f>ROUND($B1249*W$1162,2)</f>
        <v>0</v>
      </c>
      <c r="X1249" s="17">
        <f>ROUND($B1249*X$1162,2)</f>
        <v>-0.01</v>
      </c>
      <c r="Y1249" s="17">
        <f>ROUND($B1249*Y$1162,2)</f>
        <v>0</v>
      </c>
      <c r="Z1249" s="17">
        <f>ROUND($B1249*Z$1162,2)</f>
        <v>0</v>
      </c>
      <c r="AA1249" s="17">
        <f>ROUND($B1249*AA$1162,2)</f>
        <v>0</v>
      </c>
      <c r="AB1249" s="19">
        <f>SUM(U$1162:AA$1162)+(-V$1162+V1233)</f>
        <v>1.2243E-2</v>
      </c>
      <c r="AC1249" s="67" t="str">
        <f>+F1249</f>
        <v>HL33</v>
      </c>
    </row>
    <row r="1250" spans="1:29" x14ac:dyDescent="0.2">
      <c r="A1250" s="9"/>
      <c r="B1250" s="103">
        <v>-1</v>
      </c>
      <c r="D1250" s="8"/>
      <c r="E1250" s="9"/>
      <c r="F1250" s="36"/>
      <c r="G1250" s="12"/>
      <c r="H1250" s="12"/>
      <c r="J1250" s="12"/>
      <c r="K1250" s="12"/>
      <c r="L1250" s="12"/>
      <c r="M1250" s="12"/>
      <c r="N1250" s="12"/>
      <c r="O1250" s="12"/>
      <c r="P1250" s="12"/>
      <c r="Q1250" s="12"/>
      <c r="R1250" s="38" t="e">
        <f>VLOOKUP((D1251),'Pwr Factor'!$A$1:$B$52,2)</f>
        <v>#N/A</v>
      </c>
      <c r="S1250" s="50">
        <v>0.25</v>
      </c>
      <c r="T1250" s="12"/>
      <c r="U1250" s="12"/>
      <c r="V1250" s="12"/>
      <c r="W1250" s="12"/>
      <c r="X1250" s="12"/>
      <c r="Y1250" s="12"/>
      <c r="Z1250" s="12"/>
      <c r="AA1250" s="12"/>
    </row>
    <row r="1251" spans="1:29" x14ac:dyDescent="0.2">
      <c r="A1251" s="1" t="s">
        <v>140</v>
      </c>
      <c r="B1251" s="103">
        <f>IF(AND('AES Indiana Bill Calc.'!$D$17="HL3",'AES Indiana Bill Calc.'!$D$18="Yes 25%",'AES Indiana Bill Calc.'!$D$20="Yes 2023"),'AES Indiana Bill Calc.'!$D$19,-1)</f>
        <v>-1</v>
      </c>
      <c r="C1251" s="103">
        <f>MAX(E1251,$C$905)</f>
        <v>2000</v>
      </c>
      <c r="D1251" s="103" t="b">
        <f>IF(AND('AES Indiana Bill Calc.'!$D$17="HL3",'AES Indiana Bill Calc.'!$D$18="Yes 25%",'AES Indiana Bill Calc.'!$D$20="Yes 2023"),'AES Indiana Bill Calc.'!$D$22)</f>
        <v>0</v>
      </c>
      <c r="E1251" s="103" t="b">
        <f>IF(AND('AES Indiana Bill Calc.'!$D$17="HL3",'AES Indiana Bill Calc.'!$D$18="Yes 25%",'AES Indiana Bill Calc.'!$D$20="Yes 2023"),'AES Indiana Bill Calc.'!$D$21)</f>
        <v>0</v>
      </c>
      <c r="F1251" s="36" t="s">
        <v>243</v>
      </c>
      <c r="G1251" s="92" t="e">
        <f>SUM(J1251:M1251,R1251:AA1251)</f>
        <v>#N/A</v>
      </c>
      <c r="H1251" s="19" t="e">
        <f>IF(ISBLANK(B1251),0,+#REF!/B1251)</f>
        <v>#REF!</v>
      </c>
      <c r="J1251" s="51">
        <f>IF(ISBLANK(B1251),0,+J$1162)</f>
        <v>500</v>
      </c>
      <c r="K1251" s="17">
        <f>ROUND($B1251*K$1162,2)</f>
        <v>-0.04</v>
      </c>
      <c r="L1251" s="17">
        <f>IF(ISBLANK($C1251),0,IF($C1251&lt;$C$1163,ROUND($C$1163*$L$1162,2),IF($C1251&gt;L$1163,ROUND(L$1163*L$1162,2),ROUND($C1251*L$1162,2))))</f>
        <v>48180</v>
      </c>
      <c r="M1251" s="17">
        <f>IF($C1251&gt;L$1163,ROUND(($C1251-L$1163)*M$1162,2),0)</f>
        <v>0</v>
      </c>
      <c r="N1251" s="17">
        <f>K1251</f>
        <v>-0.04</v>
      </c>
      <c r="O1251" s="17"/>
      <c r="P1251" s="17"/>
      <c r="Q1251" s="17">
        <f>SUM(L1251:M1251)</f>
        <v>48180</v>
      </c>
      <c r="R1251" s="16" t="e">
        <f>ROUND(SUM(K1251:M1251)*(R1250-1),2)</f>
        <v>#N/A</v>
      </c>
      <c r="S1251" s="17">
        <f>ROUND($B1251*S$1162*S1250,2)</f>
        <v>0</v>
      </c>
      <c r="T1251" s="17">
        <f>ROUND($B1251*T$1162,2)</f>
        <v>0</v>
      </c>
      <c r="U1251" s="17">
        <f>ROUND($B1251*U$1162,2)</f>
        <v>0</v>
      </c>
      <c r="V1251" s="8">
        <f>ROUND($B1251*V$1158,2)</f>
        <v>0</v>
      </c>
      <c r="W1251" s="17">
        <f>ROUND($B1251*W$1162,2)</f>
        <v>0</v>
      </c>
      <c r="X1251" s="17">
        <f>ROUND($B1251*X$1162,2)</f>
        <v>-0.01</v>
      </c>
      <c r="Y1251" s="17">
        <f>ROUND($B1251*Y$1162,2)</f>
        <v>0</v>
      </c>
      <c r="Z1251" s="17">
        <f>ROUND($B1251*Z$1162,2)</f>
        <v>0</v>
      </c>
      <c r="AA1251" s="17">
        <f>ROUND($B1251*AA$1162,2)</f>
        <v>0</v>
      </c>
      <c r="AB1251" s="19">
        <f>SUM(U$1162:AA$1162)+(-V$1162+V1235)</f>
        <v>1.2243E-2</v>
      </c>
      <c r="AC1251" s="67" t="str">
        <f>+F1251</f>
        <v>HL33</v>
      </c>
    </row>
    <row r="1252" spans="1:29" x14ac:dyDescent="0.2">
      <c r="A1252" s="9"/>
      <c r="B1252" s="103">
        <v>-1</v>
      </c>
      <c r="D1252" s="8"/>
      <c r="E1252" s="9"/>
      <c r="F1252" s="36"/>
      <c r="G1252" s="12"/>
      <c r="H1252" s="12"/>
      <c r="J1252" s="12"/>
      <c r="K1252" s="12"/>
      <c r="L1252" s="12"/>
      <c r="M1252" s="12"/>
      <c r="N1252" s="12"/>
      <c r="O1252" s="12"/>
      <c r="P1252" s="12"/>
      <c r="Q1252" s="12"/>
      <c r="R1252" s="38" t="e">
        <f>VLOOKUP((D1253),'Pwr Factor'!$A$1:$B$52,2)</f>
        <v>#N/A</v>
      </c>
      <c r="S1252" s="50">
        <v>0.1</v>
      </c>
      <c r="T1252" s="12"/>
      <c r="U1252" s="12"/>
      <c r="V1252" s="12"/>
      <c r="W1252" s="12"/>
      <c r="X1252" s="12"/>
      <c r="Y1252" s="12"/>
      <c r="Z1252" s="12"/>
      <c r="AA1252" s="12"/>
    </row>
    <row r="1253" spans="1:29" x14ac:dyDescent="0.2">
      <c r="A1253" s="1" t="s">
        <v>154</v>
      </c>
      <c r="B1253" s="103">
        <f>IF(AND('AES Indiana Bill Calc.'!$D$17="HL3",'AES Indiana Bill Calc.'!$D$18="Yes 10%",'AES Indiana Bill Calc.'!$D$20="Yes 2023"),'AES Indiana Bill Calc.'!$D$19,-1)</f>
        <v>-1</v>
      </c>
      <c r="C1253" s="103">
        <f>MAX(E1253,$C$905)</f>
        <v>2000</v>
      </c>
      <c r="D1253" s="103" t="b">
        <f>IF(AND('AES Indiana Bill Calc.'!$D$17="HL3",'AES Indiana Bill Calc.'!$D$18="Yes 10%",'AES Indiana Bill Calc.'!$D$20="Yes 2023"),'AES Indiana Bill Calc.'!$D$22)</f>
        <v>0</v>
      </c>
      <c r="E1253" s="103" t="b">
        <f>IF(AND('AES Indiana Bill Calc.'!$D$17="HL3",'AES Indiana Bill Calc.'!$D$18="Yes 10%",'AES Indiana Bill Calc.'!$D$20="Yes 2023"),'AES Indiana Bill Calc.'!$D$21)</f>
        <v>0</v>
      </c>
      <c r="F1253" s="36" t="s">
        <v>243</v>
      </c>
      <c r="G1253" s="92" t="e">
        <f>SUM(J1253:M1253,R1253:AA1253)</f>
        <v>#N/A</v>
      </c>
      <c r="H1253" s="19" t="e">
        <f>IF(ISBLANK(B1253),0,+#REF!/B1253)</f>
        <v>#REF!</v>
      </c>
      <c r="J1253" s="51">
        <f>IF(ISBLANK(B1253),0,+J$1162)</f>
        <v>500</v>
      </c>
      <c r="K1253" s="17">
        <f>ROUND($B1253*K$1162,2)</f>
        <v>-0.04</v>
      </c>
      <c r="L1253" s="17">
        <f>IF(ISBLANK($C1253),0,IF($C1253&lt;$C$1163,ROUND($C$1163*$L$1162,2),IF($C1253&gt;L$1163,ROUND(L$1163*L$1162,2),ROUND($C1253*L$1162,2))))</f>
        <v>48180</v>
      </c>
      <c r="M1253" s="17">
        <f>IF($C1253&gt;L$1163,ROUND(($C1253-L$1163)*M$1162,2),0)</f>
        <v>0</v>
      </c>
      <c r="N1253" s="17">
        <f>K1253</f>
        <v>-0.04</v>
      </c>
      <c r="O1253" s="17"/>
      <c r="P1253" s="17"/>
      <c r="Q1253" s="17">
        <f>SUM(L1253:M1253)</f>
        <v>48180</v>
      </c>
      <c r="R1253" s="16" t="e">
        <f>ROUND(SUM(K1253:M1253)*(R1252-1),2)</f>
        <v>#N/A</v>
      </c>
      <c r="S1253" s="17">
        <f>ROUND($B1253*S$1162*S1252,2)</f>
        <v>0</v>
      </c>
      <c r="T1253" s="17">
        <f>ROUND($B1253*T$1162,2)</f>
        <v>0</v>
      </c>
      <c r="U1253" s="17">
        <f>ROUND($B1253*U$1162,2)</f>
        <v>0</v>
      </c>
      <c r="V1253" s="8">
        <f>ROUND($B1253*V$1158,2)</f>
        <v>0</v>
      </c>
      <c r="W1253" s="17">
        <f>ROUND($B1253*W$1162,2)</f>
        <v>0</v>
      </c>
      <c r="X1253" s="17">
        <f>ROUND($B1253*X$1162,2)</f>
        <v>-0.01</v>
      </c>
      <c r="Y1253" s="17">
        <f>ROUND($B1253*Y$1162,2)</f>
        <v>0</v>
      </c>
      <c r="Z1253" s="17">
        <f>ROUND($B1253*Z$1162,2)</f>
        <v>0</v>
      </c>
      <c r="AA1253" s="17">
        <f>ROUND($B1253*AA$1162,2)</f>
        <v>0</v>
      </c>
      <c r="AB1253" s="19">
        <f>SUM(U$1162:AA$1162)+(-V$1162+V1237)</f>
        <v>1.2243E-2</v>
      </c>
      <c r="AC1253" s="67" t="str">
        <f>+F1253</f>
        <v>HL33</v>
      </c>
    </row>
    <row r="1254" spans="1:29" x14ac:dyDescent="0.2">
      <c r="A1254" s="9"/>
      <c r="B1254" s="103">
        <v>-1</v>
      </c>
      <c r="D1254" s="8"/>
      <c r="E1254" s="9"/>
      <c r="F1254" s="36"/>
      <c r="G1254" s="12"/>
      <c r="H1254" s="12"/>
      <c r="J1254" s="12"/>
      <c r="K1254" s="12"/>
      <c r="L1254" s="12"/>
      <c r="M1254" s="12"/>
      <c r="N1254" s="12"/>
      <c r="O1254" s="12"/>
      <c r="P1254" s="12"/>
      <c r="Q1254" s="12"/>
      <c r="R1254" s="38" t="e">
        <f>VLOOKUP((D1255),'Pwr Factor'!$A$1:$B$52,2)</f>
        <v>#N/A</v>
      </c>
      <c r="S1254" s="50">
        <v>0</v>
      </c>
      <c r="T1254" s="12"/>
      <c r="U1254" s="12"/>
      <c r="V1254" s="12"/>
      <c r="W1254" s="12"/>
      <c r="X1254" s="12"/>
      <c r="Y1254" s="12"/>
      <c r="Z1254" s="12"/>
      <c r="AA1254" s="12"/>
    </row>
    <row r="1255" spans="1:29" x14ac:dyDescent="0.2">
      <c r="A1255" s="1" t="s">
        <v>137</v>
      </c>
      <c r="B1255" s="103">
        <f>IF(AND('AES Indiana Bill Calc.'!$D$17="HL3",'AES Indiana Bill Calc.'!$D$18="No",'AES Indiana Bill Calc.'!$D$20="Yes 2023"),'AES Indiana Bill Calc.'!$D$19,-1)</f>
        <v>-1</v>
      </c>
      <c r="C1255" s="103">
        <f>MAX(E1255,$C$905)</f>
        <v>2000</v>
      </c>
      <c r="D1255" s="103" t="b">
        <f>IF(AND('AES Indiana Bill Calc.'!$D$17="HL3",'AES Indiana Bill Calc.'!$D$18="No",'AES Indiana Bill Calc.'!$D$20="Yes 2023"),'AES Indiana Bill Calc.'!$D$22)</f>
        <v>0</v>
      </c>
      <c r="E1255" s="103" t="b">
        <f>IF(AND('AES Indiana Bill Calc.'!$D$17="HL3",'AES Indiana Bill Calc.'!$D$18="No",'AES Indiana Bill Calc.'!$D$20="Yes 2023"),'AES Indiana Bill Calc.'!$D$21)</f>
        <v>0</v>
      </c>
      <c r="F1255" s="36" t="s">
        <v>243</v>
      </c>
      <c r="G1255" s="92" t="e">
        <f>SUM(J1255:M1255,R1255:AA1255)</f>
        <v>#N/A</v>
      </c>
      <c r="H1255" s="19" t="e">
        <f>IF(ISBLANK(B1255),0,+#REF!/B1255)</f>
        <v>#REF!</v>
      </c>
      <c r="J1255" s="51">
        <f>IF(ISBLANK(B1255),0,+J$1162)</f>
        <v>500</v>
      </c>
      <c r="K1255" s="17">
        <f>ROUND($B1255*K$1162,2)</f>
        <v>-0.04</v>
      </c>
      <c r="L1255" s="17">
        <f>IF(ISBLANK($C1255),0,IF($C1255&lt;$C$1163,ROUND($C$1163*$L$1162,2),IF($C1255&gt;L$1163,ROUND(L$1163*L$1162,2),ROUND($C1255*L$1162,2))))</f>
        <v>48180</v>
      </c>
      <c r="M1255" s="17">
        <f>IF($C1255&gt;L$1163,ROUND(($C1255-L$1163)*M$1162,2),0)</f>
        <v>0</v>
      </c>
      <c r="N1255" s="17">
        <f>K1255</f>
        <v>-0.04</v>
      </c>
      <c r="O1255" s="17"/>
      <c r="P1255" s="17"/>
      <c r="Q1255" s="17">
        <f>SUM(L1255:M1255)</f>
        <v>48180</v>
      </c>
      <c r="R1255" s="16" t="e">
        <f>ROUND(SUM(K1255:M1255)*(R1254-1),2)</f>
        <v>#N/A</v>
      </c>
      <c r="S1255" s="17">
        <f>ROUND($B1255*S$1162*S1254,2)</f>
        <v>0</v>
      </c>
      <c r="T1255" s="17">
        <f>ROUND($B1255*T$1162,2)</f>
        <v>0</v>
      </c>
      <c r="U1255" s="17">
        <f>ROUND($B1255*U$1162,2)</f>
        <v>0</v>
      </c>
      <c r="V1255" s="8">
        <f>ROUND($B1255*V$1158,2)</f>
        <v>0</v>
      </c>
      <c r="W1255" s="17">
        <f>ROUND($B1255*W$1162,2)</f>
        <v>0</v>
      </c>
      <c r="X1255" s="17">
        <f>ROUND($B1255*X$1162,2)</f>
        <v>-0.01</v>
      </c>
      <c r="Y1255" s="17">
        <f>ROUND($B1255*Y$1162,2)</f>
        <v>0</v>
      </c>
      <c r="Z1255" s="17">
        <f>ROUND($B1255*Z$1162,2)</f>
        <v>0</v>
      </c>
      <c r="AA1255" s="17">
        <f>ROUND($B1255*AA$1162,2)</f>
        <v>0</v>
      </c>
      <c r="AB1255" s="19">
        <f>SUM(U$1162:AA$1162)+(-V$1162+V1239)</f>
        <v>1.2243E-2</v>
      </c>
      <c r="AC1255" s="67" t="str">
        <f>+F1255</f>
        <v>HL33</v>
      </c>
    </row>
    <row r="1256" spans="1:29" x14ac:dyDescent="0.2">
      <c r="A1256" s="48"/>
      <c r="B1256" s="103">
        <v>-1</v>
      </c>
      <c r="D1256" s="8"/>
      <c r="E1256" s="9"/>
      <c r="F1256" s="36"/>
      <c r="G1256" s="12"/>
      <c r="H1256" s="12"/>
      <c r="J1256" s="12"/>
      <c r="K1256" s="12"/>
      <c r="L1256" s="12"/>
      <c r="M1256" s="12"/>
      <c r="N1256" s="12"/>
      <c r="O1256" s="12"/>
      <c r="P1256" s="12"/>
      <c r="Q1256" s="12"/>
      <c r="R1256" s="38" t="e">
        <f>VLOOKUP((D1257),'Pwr Factor'!$A$1:$B$52,2)</f>
        <v>#N/A</v>
      </c>
      <c r="S1256" s="50">
        <v>1</v>
      </c>
      <c r="T1256" s="12"/>
      <c r="U1256" s="12"/>
      <c r="V1256" s="12"/>
      <c r="W1256" s="12"/>
      <c r="X1256" s="12"/>
      <c r="Y1256" s="12"/>
      <c r="Z1256" s="12"/>
      <c r="AA1256" s="12"/>
    </row>
    <row r="1257" spans="1:29" x14ac:dyDescent="0.2">
      <c r="A1257" s="1" t="s">
        <v>138</v>
      </c>
      <c r="B1257" s="103">
        <f>IF(AND('AES Indiana Bill Calc.'!$D$17="HL3",'AES Indiana Bill Calc.'!$D$18="Yes 100%",'AES Indiana Bill Calc.'!$D$20="Yes 2024"),'AES Indiana Bill Calc.'!$D$19,-1)</f>
        <v>-1</v>
      </c>
      <c r="C1257" s="103">
        <f>MAX(E1257,$C$905)</f>
        <v>2000</v>
      </c>
      <c r="D1257" s="103" t="b">
        <f>IF(AND('AES Indiana Bill Calc.'!$D$17="HL3",'AES Indiana Bill Calc.'!$D$18="Yes 100%",'AES Indiana Bill Calc.'!$D$20="Yes 2024"),'AES Indiana Bill Calc.'!$D$22)</f>
        <v>0</v>
      </c>
      <c r="E1257" s="103" t="b">
        <f>IF(AND('AES Indiana Bill Calc.'!$D$17="HL3",'AES Indiana Bill Calc.'!$D$18="Yes 100%",'AES Indiana Bill Calc.'!$D$20="Yes 2024"),'AES Indiana Bill Calc.'!$D$21)</f>
        <v>0</v>
      </c>
      <c r="F1257" s="36" t="s">
        <v>284</v>
      </c>
      <c r="G1257" s="92" t="e">
        <f>SUM(J1257:M1257,R1257:AA1257)</f>
        <v>#N/A</v>
      </c>
      <c r="H1257" s="19" t="e">
        <f>IF(ISBLANK(B1257),0,+#REF!/B1257)</f>
        <v>#REF!</v>
      </c>
      <c r="J1257" s="51">
        <f>IF(ISBLANK(B1257),0,+J$1162)</f>
        <v>500</v>
      </c>
      <c r="K1257" s="17">
        <f>ROUND($B1257*K$1162,2)</f>
        <v>-0.04</v>
      </c>
      <c r="L1257" s="17">
        <f>IF(ISBLANK($C1257),0,IF($C1257&lt;$C$1163,ROUND($C$1163*$L$1162,2),IF($C1257&gt;L$1163,ROUND(L$1163*L$1162,2),ROUND($C1257*L$1162,2))))</f>
        <v>48180</v>
      </c>
      <c r="M1257" s="17">
        <f>IF($C1257&gt;L$1163,ROUND(($C1257-L$1163)*M$1162,2),0)</f>
        <v>0</v>
      </c>
      <c r="N1257" s="17">
        <f>K1257</f>
        <v>-0.04</v>
      </c>
      <c r="O1257" s="17"/>
      <c r="P1257" s="17"/>
      <c r="Q1257" s="17">
        <f>SUM(L1257:M1257)</f>
        <v>48180</v>
      </c>
      <c r="R1257" s="16" t="e">
        <f>ROUND(SUM(K1257:M1257)*(R1256-1),2)</f>
        <v>#N/A</v>
      </c>
      <c r="S1257" s="17">
        <f>ROUND($B1257*S$1162*S1256,2)</f>
        <v>0</v>
      </c>
      <c r="T1257" s="17">
        <f>ROUND($B1257*T$1162,2)</f>
        <v>0</v>
      </c>
      <c r="U1257" s="17">
        <f>ROUND($B1257*U$1162,2)</f>
        <v>0</v>
      </c>
      <c r="V1257" s="8">
        <f>ROUND($B1257*V$1159,2)</f>
        <v>0</v>
      </c>
      <c r="W1257" s="17">
        <f>ROUND($B1257*W$1162,2)</f>
        <v>0</v>
      </c>
      <c r="X1257" s="17">
        <f>ROUND($B1257*X$1162,2)</f>
        <v>-0.01</v>
      </c>
      <c r="Y1257" s="17">
        <f>ROUND($B1257*Y$1162,2)</f>
        <v>0</v>
      </c>
      <c r="Z1257" s="17">
        <f>ROUND($B1257*Z$1162,2)</f>
        <v>0</v>
      </c>
      <c r="AA1257" s="17">
        <f>ROUND($B1257*AA$1162,2)</f>
        <v>0</v>
      </c>
      <c r="AB1257" s="19">
        <f>SUM(U$1162:AA$1162)+(-V$1162+V1241)</f>
        <v>1.2243E-2</v>
      </c>
      <c r="AC1257" s="67" t="str">
        <f>+F1257</f>
        <v>HL34</v>
      </c>
    </row>
    <row r="1258" spans="1:29" x14ac:dyDescent="0.2">
      <c r="A1258" s="48"/>
      <c r="B1258" s="103">
        <v>-1</v>
      </c>
      <c r="D1258" s="8"/>
      <c r="E1258" s="9"/>
      <c r="F1258" s="36"/>
      <c r="G1258" s="12"/>
      <c r="H1258" s="12"/>
      <c r="J1258" s="12"/>
      <c r="K1258" s="12"/>
      <c r="L1258" s="12"/>
      <c r="M1258" s="12"/>
      <c r="N1258" s="12"/>
      <c r="O1258" s="12"/>
      <c r="P1258" s="12"/>
      <c r="Q1258" s="12"/>
      <c r="R1258" s="38" t="e">
        <f>VLOOKUP((D1259),'Pwr Factor'!$A$1:$B$52,2)</f>
        <v>#N/A</v>
      </c>
      <c r="S1258" s="50">
        <v>0.5</v>
      </c>
      <c r="T1258" s="12"/>
      <c r="U1258" s="12"/>
      <c r="V1258" s="12"/>
      <c r="W1258" s="12"/>
      <c r="X1258" s="12"/>
      <c r="Y1258" s="12"/>
      <c r="Z1258" s="12"/>
      <c r="AA1258" s="12"/>
    </row>
    <row r="1259" spans="1:29" x14ac:dyDescent="0.2">
      <c r="A1259" s="1" t="s">
        <v>139</v>
      </c>
      <c r="B1259" s="103">
        <f>IF(AND('AES Indiana Bill Calc.'!$D$17="HL3",'AES Indiana Bill Calc.'!$D$18="Yes 50%",'AES Indiana Bill Calc.'!$D$20="Yes 2024"),'AES Indiana Bill Calc.'!$D$19,-1)</f>
        <v>-1</v>
      </c>
      <c r="C1259" s="103">
        <f>MAX(E1259,$C$905)</f>
        <v>2000</v>
      </c>
      <c r="D1259" s="103" t="b">
        <f>IF(AND('AES Indiana Bill Calc.'!$D$17="HL3",'AES Indiana Bill Calc.'!$D$18="Yes 50%",'AES Indiana Bill Calc.'!$D$20="Yes 2024"),'AES Indiana Bill Calc.'!$D$22)</f>
        <v>0</v>
      </c>
      <c r="E1259" s="103" t="b">
        <f>IF(AND('AES Indiana Bill Calc.'!$D$17="HL3",'AES Indiana Bill Calc.'!$D$18="Yes 50%",'AES Indiana Bill Calc.'!$D$20="Yes 2024"),'AES Indiana Bill Calc.'!$D$21)</f>
        <v>0</v>
      </c>
      <c r="F1259" s="36" t="s">
        <v>284</v>
      </c>
      <c r="G1259" s="92" t="e">
        <f>SUM(J1259:M1259,R1259:AA1259)</f>
        <v>#N/A</v>
      </c>
      <c r="H1259" s="19" t="e">
        <f>IF(ISBLANK(B1259),0,+#REF!/B1259)</f>
        <v>#REF!</v>
      </c>
      <c r="J1259" s="51">
        <f>IF(ISBLANK(B1259),0,+J$1162)</f>
        <v>500</v>
      </c>
      <c r="K1259" s="17">
        <f>ROUND($B1259*K$1162,2)</f>
        <v>-0.04</v>
      </c>
      <c r="L1259" s="17">
        <f>IF(ISBLANK($C1259),0,IF($C1259&lt;$C$1163,ROUND($C$1163*$L$1162,2),IF($C1259&gt;L$1163,ROUND(L$1163*L$1162,2),ROUND($C1259*L$1162,2))))</f>
        <v>48180</v>
      </c>
      <c r="M1259" s="17">
        <f>IF($C1259&gt;L$1163,ROUND(($C1259-L$1163)*M$1162,2),0)</f>
        <v>0</v>
      </c>
      <c r="N1259" s="17">
        <f>K1259</f>
        <v>-0.04</v>
      </c>
      <c r="O1259" s="17"/>
      <c r="P1259" s="17"/>
      <c r="Q1259" s="17">
        <f>SUM(L1259:M1259)</f>
        <v>48180</v>
      </c>
      <c r="R1259" s="16" t="e">
        <f>ROUND(SUM(K1259:M1259)*(R1258-1),2)</f>
        <v>#N/A</v>
      </c>
      <c r="S1259" s="17">
        <f>ROUND($B1259*S$1162*S1258,2)</f>
        <v>0</v>
      </c>
      <c r="T1259" s="17">
        <f>ROUND($B1259*T$1162,2)</f>
        <v>0</v>
      </c>
      <c r="U1259" s="17">
        <f>ROUND($B1259*U$1162,2)</f>
        <v>0</v>
      </c>
      <c r="V1259" s="8">
        <f>ROUND($B1259*V$1159,2)</f>
        <v>0</v>
      </c>
      <c r="W1259" s="17">
        <f>ROUND($B1259*W$1162,2)</f>
        <v>0</v>
      </c>
      <c r="X1259" s="17">
        <f>ROUND($B1259*X$1162,2)</f>
        <v>-0.01</v>
      </c>
      <c r="Y1259" s="17">
        <f>ROUND($B1259*Y$1162,2)</f>
        <v>0</v>
      </c>
      <c r="Z1259" s="17">
        <f>ROUND($B1259*Z$1162,2)</f>
        <v>0</v>
      </c>
      <c r="AA1259" s="17">
        <f>ROUND($B1259*AA$1162,2)</f>
        <v>0</v>
      </c>
      <c r="AB1259" s="19">
        <f>SUM(U$1162:AA$1162)+(-V$1162+V1243)</f>
        <v>1.2243E-2</v>
      </c>
      <c r="AC1259" s="67" t="str">
        <f>+F1259</f>
        <v>HL34</v>
      </c>
    </row>
    <row r="1260" spans="1:29" x14ac:dyDescent="0.2">
      <c r="A1260" s="9"/>
      <c r="B1260" s="103">
        <v>-1</v>
      </c>
      <c r="D1260" s="8"/>
      <c r="E1260" s="9"/>
      <c r="F1260" s="36"/>
      <c r="G1260" s="12"/>
      <c r="H1260" s="12"/>
      <c r="J1260" s="12"/>
      <c r="K1260" s="12"/>
      <c r="L1260" s="12"/>
      <c r="M1260" s="12"/>
      <c r="N1260" s="12"/>
      <c r="O1260" s="12"/>
      <c r="P1260" s="12"/>
      <c r="Q1260" s="12"/>
      <c r="R1260" s="38" t="e">
        <f>VLOOKUP((D1261),'Pwr Factor'!$A$1:$B$52,2)</f>
        <v>#N/A</v>
      </c>
      <c r="S1260" s="50">
        <v>0.25</v>
      </c>
      <c r="T1260" s="12"/>
      <c r="U1260" s="12"/>
      <c r="V1260" s="12"/>
      <c r="W1260" s="12"/>
      <c r="X1260" s="12"/>
      <c r="Y1260" s="12"/>
      <c r="Z1260" s="12"/>
      <c r="AA1260" s="12"/>
    </row>
    <row r="1261" spans="1:29" x14ac:dyDescent="0.2">
      <c r="A1261" s="1" t="s">
        <v>140</v>
      </c>
      <c r="B1261" s="103">
        <f>IF(AND('AES Indiana Bill Calc.'!$D$17="HL3",'AES Indiana Bill Calc.'!$D$18="Yes 25%",'AES Indiana Bill Calc.'!$D$20="Yes 2024"),'AES Indiana Bill Calc.'!$D$19,-1)</f>
        <v>-1</v>
      </c>
      <c r="C1261" s="103">
        <f>MAX(E1261,$C$905)</f>
        <v>2000</v>
      </c>
      <c r="D1261" s="103" t="b">
        <f>IF(AND('AES Indiana Bill Calc.'!$D$17="HL3",'AES Indiana Bill Calc.'!$D$18="Yes 25%",'AES Indiana Bill Calc.'!$D$20="Yes 2024"),'AES Indiana Bill Calc.'!$D$22)</f>
        <v>0</v>
      </c>
      <c r="E1261" s="103" t="b">
        <f>IF(AND('AES Indiana Bill Calc.'!$D$17="HL3",'AES Indiana Bill Calc.'!$D$18="Yes 25%",'AES Indiana Bill Calc.'!$D$20="Yes 2024"),'AES Indiana Bill Calc.'!$D$21)</f>
        <v>0</v>
      </c>
      <c r="F1261" s="36" t="s">
        <v>284</v>
      </c>
      <c r="G1261" s="92" t="e">
        <f>SUM(J1261:M1261,R1261:AA1261)</f>
        <v>#N/A</v>
      </c>
      <c r="H1261" s="19" t="e">
        <f>IF(ISBLANK(B1261),0,+#REF!/B1261)</f>
        <v>#REF!</v>
      </c>
      <c r="J1261" s="51">
        <f>IF(ISBLANK(B1261),0,+J$1162)</f>
        <v>500</v>
      </c>
      <c r="K1261" s="17">
        <f>ROUND($B1261*K$1162,2)</f>
        <v>-0.04</v>
      </c>
      <c r="L1261" s="17">
        <f>IF(ISBLANK($C1261),0,IF($C1261&lt;$C$1163,ROUND($C$1163*$L$1162,2),IF($C1261&gt;L$1163,ROUND(L$1163*L$1162,2),ROUND($C1261*L$1162,2))))</f>
        <v>48180</v>
      </c>
      <c r="M1261" s="17">
        <f>IF($C1261&gt;L$1163,ROUND(($C1261-L$1163)*M$1162,2),0)</f>
        <v>0</v>
      </c>
      <c r="N1261" s="17">
        <f>K1261</f>
        <v>-0.04</v>
      </c>
      <c r="O1261" s="17"/>
      <c r="P1261" s="17"/>
      <c r="Q1261" s="17">
        <f>SUM(L1261:M1261)</f>
        <v>48180</v>
      </c>
      <c r="R1261" s="16" t="e">
        <f>ROUND(SUM(K1261:M1261)*(R1260-1),2)</f>
        <v>#N/A</v>
      </c>
      <c r="S1261" s="17">
        <f>ROUND($B1261*S$1162*S1260,2)</f>
        <v>0</v>
      </c>
      <c r="T1261" s="17">
        <f>ROUND($B1261*T$1162,2)</f>
        <v>0</v>
      </c>
      <c r="U1261" s="17">
        <f>ROUND($B1261*U$1162,2)</f>
        <v>0</v>
      </c>
      <c r="V1261" s="8">
        <f>ROUND($B1261*V$1159,2)</f>
        <v>0</v>
      </c>
      <c r="W1261" s="17">
        <f>ROUND($B1261*W$1162,2)</f>
        <v>0</v>
      </c>
      <c r="X1261" s="17">
        <f>ROUND($B1261*X$1162,2)</f>
        <v>-0.01</v>
      </c>
      <c r="Y1261" s="17">
        <f>ROUND($B1261*Y$1162,2)</f>
        <v>0</v>
      </c>
      <c r="Z1261" s="17">
        <f>ROUND($B1261*Z$1162,2)</f>
        <v>0</v>
      </c>
      <c r="AA1261" s="17">
        <f>ROUND($B1261*AA$1162,2)</f>
        <v>0</v>
      </c>
      <c r="AB1261" s="19">
        <f>SUM(U$1162:AA$1162)+(-V$1162+V1245)</f>
        <v>1.2243E-2</v>
      </c>
      <c r="AC1261" s="67" t="str">
        <f>+F1261</f>
        <v>HL34</v>
      </c>
    </row>
    <row r="1262" spans="1:29" x14ac:dyDescent="0.2">
      <c r="A1262" s="9"/>
      <c r="B1262" s="103">
        <v>-1</v>
      </c>
      <c r="D1262" s="8"/>
      <c r="E1262" s="9"/>
      <c r="F1262" s="36"/>
      <c r="G1262" s="12"/>
      <c r="H1262" s="12"/>
      <c r="J1262" s="12"/>
      <c r="K1262" s="12"/>
      <c r="L1262" s="12"/>
      <c r="M1262" s="12"/>
      <c r="N1262" s="12"/>
      <c r="O1262" s="12"/>
      <c r="P1262" s="12"/>
      <c r="Q1262" s="12"/>
      <c r="R1262" s="38" t="e">
        <f>VLOOKUP((D1263),'Pwr Factor'!$A$1:$B$52,2)</f>
        <v>#N/A</v>
      </c>
      <c r="S1262" s="50">
        <v>0.1</v>
      </c>
      <c r="T1262" s="12"/>
      <c r="U1262" s="12"/>
      <c r="V1262" s="12"/>
      <c r="W1262" s="12"/>
      <c r="X1262" s="12"/>
      <c r="Y1262" s="12"/>
      <c r="Z1262" s="12"/>
      <c r="AA1262" s="12"/>
    </row>
    <row r="1263" spans="1:29" x14ac:dyDescent="0.2">
      <c r="A1263" s="1" t="s">
        <v>154</v>
      </c>
      <c r="B1263" s="103">
        <f>IF(AND('AES Indiana Bill Calc.'!$D$17="HL3",'AES Indiana Bill Calc.'!$D$18="Yes 10%",'AES Indiana Bill Calc.'!$D$20="Yes 2024"),'AES Indiana Bill Calc.'!$D$19,-1)</f>
        <v>-1</v>
      </c>
      <c r="C1263" s="103">
        <f>MAX(E1263,$C$905)</f>
        <v>2000</v>
      </c>
      <c r="D1263" s="103" t="b">
        <f>IF(AND('AES Indiana Bill Calc.'!$D$17="HL3",'AES Indiana Bill Calc.'!$D$18="Yes 10%",'AES Indiana Bill Calc.'!$D$20="Yes 2024"),'AES Indiana Bill Calc.'!$D$22)</f>
        <v>0</v>
      </c>
      <c r="E1263" s="103" t="b">
        <f>IF(AND('AES Indiana Bill Calc.'!$D$17="HL3",'AES Indiana Bill Calc.'!$D$18="Yes 10%",'AES Indiana Bill Calc.'!$D$20="Yes 2024"),'AES Indiana Bill Calc.'!$D$21)</f>
        <v>0</v>
      </c>
      <c r="F1263" s="36" t="s">
        <v>284</v>
      </c>
      <c r="G1263" s="92" t="e">
        <f>SUM(J1263:M1263,R1263:AA1263)</f>
        <v>#N/A</v>
      </c>
      <c r="H1263" s="19" t="e">
        <f>IF(ISBLANK(B1263),0,+#REF!/B1263)</f>
        <v>#REF!</v>
      </c>
      <c r="J1263" s="51">
        <f>IF(ISBLANK(B1263),0,+J$1162)</f>
        <v>500</v>
      </c>
      <c r="K1263" s="17">
        <f>ROUND($B1263*K$1162,2)</f>
        <v>-0.04</v>
      </c>
      <c r="L1263" s="17">
        <f>IF(ISBLANK($C1263),0,IF($C1263&lt;$C$1163,ROUND($C$1163*$L$1162,2),IF($C1263&gt;L$1163,ROUND(L$1163*L$1162,2),ROUND($C1263*L$1162,2))))</f>
        <v>48180</v>
      </c>
      <c r="M1263" s="17">
        <f>IF($C1263&gt;L$1163,ROUND(($C1263-L$1163)*M$1162,2),0)</f>
        <v>0</v>
      </c>
      <c r="N1263" s="17">
        <f>K1263</f>
        <v>-0.04</v>
      </c>
      <c r="O1263" s="17"/>
      <c r="P1263" s="17"/>
      <c r="Q1263" s="17">
        <f>SUM(L1263:M1263)</f>
        <v>48180</v>
      </c>
      <c r="R1263" s="16" t="e">
        <f>ROUND(SUM(K1263:M1263)*(R1262-1),2)</f>
        <v>#N/A</v>
      </c>
      <c r="S1263" s="17">
        <f>ROUND($B1263*S$1162*S1262,2)</f>
        <v>0</v>
      </c>
      <c r="T1263" s="17">
        <f>ROUND($B1263*T$1162,2)</f>
        <v>0</v>
      </c>
      <c r="U1263" s="17">
        <f>ROUND($B1263*U$1162,2)</f>
        <v>0</v>
      </c>
      <c r="V1263" s="8">
        <f>ROUND($B1263*V$1159,2)</f>
        <v>0</v>
      </c>
      <c r="W1263" s="17">
        <f>ROUND($B1263*W$1162,2)</f>
        <v>0</v>
      </c>
      <c r="X1263" s="17">
        <f>ROUND($B1263*X$1162,2)</f>
        <v>-0.01</v>
      </c>
      <c r="Y1263" s="17">
        <f>ROUND($B1263*Y$1162,2)</f>
        <v>0</v>
      </c>
      <c r="Z1263" s="17">
        <f>ROUND($B1263*Z$1162,2)</f>
        <v>0</v>
      </c>
      <c r="AA1263" s="17">
        <f>ROUND($B1263*AA$1162,2)</f>
        <v>0</v>
      </c>
      <c r="AB1263" s="19">
        <f>SUM(U$1162:AA$1162)+(-V$1162+V1247)</f>
        <v>1.2243E-2</v>
      </c>
      <c r="AC1263" s="67" t="str">
        <f>+F1263</f>
        <v>HL34</v>
      </c>
    </row>
    <row r="1264" spans="1:29" x14ac:dyDescent="0.2">
      <c r="A1264" s="9"/>
      <c r="B1264" s="103">
        <v>-1</v>
      </c>
      <c r="D1264" s="8"/>
      <c r="E1264" s="9"/>
      <c r="F1264" s="36"/>
      <c r="G1264" s="12"/>
      <c r="H1264" s="12"/>
      <c r="J1264" s="12"/>
      <c r="K1264" s="12"/>
      <c r="L1264" s="12"/>
      <c r="M1264" s="12"/>
      <c r="N1264" s="12"/>
      <c r="O1264" s="12"/>
      <c r="P1264" s="12"/>
      <c r="Q1264" s="12"/>
      <c r="R1264" s="38" t="e">
        <f>VLOOKUP((D1265),'Pwr Factor'!$A$1:$B$52,2)</f>
        <v>#N/A</v>
      </c>
      <c r="S1264" s="50">
        <v>0</v>
      </c>
      <c r="T1264" s="12"/>
      <c r="U1264" s="12"/>
      <c r="V1264" s="12"/>
      <c r="W1264" s="12"/>
      <c r="X1264" s="12"/>
      <c r="Y1264" s="12"/>
      <c r="Z1264" s="12"/>
      <c r="AA1264" s="12"/>
    </row>
    <row r="1265" spans="1:29" x14ac:dyDescent="0.2">
      <c r="A1265" s="1" t="s">
        <v>137</v>
      </c>
      <c r="B1265" s="103">
        <f>IF(AND('AES Indiana Bill Calc.'!$D$17="HL3",'AES Indiana Bill Calc.'!$D$18="No",'AES Indiana Bill Calc.'!$D$20="Yes 2024"),'AES Indiana Bill Calc.'!$D$19,-1)</f>
        <v>-1</v>
      </c>
      <c r="C1265" s="103">
        <f>MAX(E1265,$C$905)</f>
        <v>2000</v>
      </c>
      <c r="D1265" s="103" t="b">
        <f>IF(AND('AES Indiana Bill Calc.'!$D$17="HL3",'AES Indiana Bill Calc.'!$D$18="No",'AES Indiana Bill Calc.'!$D$20="Yes 2024"),'AES Indiana Bill Calc.'!$D$22)</f>
        <v>0</v>
      </c>
      <c r="E1265" s="103" t="b">
        <f>IF(AND('AES Indiana Bill Calc.'!$D$17="HL3",'AES Indiana Bill Calc.'!$D$18="No",'AES Indiana Bill Calc.'!$D$20="Yes 2024"),'AES Indiana Bill Calc.'!$D$21)</f>
        <v>0</v>
      </c>
      <c r="F1265" s="36" t="s">
        <v>284</v>
      </c>
      <c r="G1265" s="92" t="e">
        <f>SUM(J1265:M1265,R1265:AA1265)</f>
        <v>#N/A</v>
      </c>
      <c r="H1265" s="19" t="e">
        <f>IF(ISBLANK(B1265),0,+#REF!/B1265)</f>
        <v>#REF!</v>
      </c>
      <c r="J1265" s="51">
        <f>IF(ISBLANK(B1265),0,+J$1162)</f>
        <v>500</v>
      </c>
      <c r="K1265" s="17">
        <f>ROUND($B1265*K$1162,2)</f>
        <v>-0.04</v>
      </c>
      <c r="L1265" s="17">
        <f>IF(ISBLANK($C1265),0,IF($C1265&lt;$C$1163,ROUND($C$1163*$L$1162,2),IF($C1265&gt;L$1163,ROUND(L$1163*L$1162,2),ROUND($C1265*L$1162,2))))</f>
        <v>48180</v>
      </c>
      <c r="M1265" s="17">
        <f>IF($C1265&gt;L$1163,ROUND(($C1265-L$1163)*M$1162,2),0)</f>
        <v>0</v>
      </c>
      <c r="N1265" s="17">
        <f>K1265</f>
        <v>-0.04</v>
      </c>
      <c r="O1265" s="17"/>
      <c r="P1265" s="17"/>
      <c r="Q1265" s="17">
        <f>SUM(L1265:M1265)</f>
        <v>48180</v>
      </c>
      <c r="R1265" s="16" t="e">
        <f>ROUND(SUM(K1265:M1265)*(R1264-1),2)</f>
        <v>#N/A</v>
      </c>
      <c r="S1265" s="17">
        <f>ROUND($B1265*S$1162*S1264,2)</f>
        <v>0</v>
      </c>
      <c r="T1265" s="17">
        <f>ROUND($B1265*T$1162,2)</f>
        <v>0</v>
      </c>
      <c r="U1265" s="17">
        <f>ROUND($B1265*U$1162,2)</f>
        <v>0</v>
      </c>
      <c r="V1265" s="8">
        <f>ROUND($B1265*V$1159,2)</f>
        <v>0</v>
      </c>
      <c r="W1265" s="17">
        <f>ROUND($B1265*W$1162,2)</f>
        <v>0</v>
      </c>
      <c r="X1265" s="17">
        <f>ROUND($B1265*X$1162,2)</f>
        <v>-0.01</v>
      </c>
      <c r="Y1265" s="17">
        <f>ROUND($B1265*Y$1162,2)</f>
        <v>0</v>
      </c>
      <c r="Z1265" s="17">
        <f>ROUND($B1265*Z$1162,2)</f>
        <v>0</v>
      </c>
      <c r="AA1265" s="17">
        <f>ROUND($B1265*AA$1162,2)</f>
        <v>0</v>
      </c>
      <c r="AB1265" s="19">
        <f>SUM(U$1162:AA$1162)+(-V$1162+V1249)</f>
        <v>1.2243E-2</v>
      </c>
      <c r="AC1265" s="67" t="str">
        <f>+F1265</f>
        <v>HL34</v>
      </c>
    </row>
    <row r="1266" spans="1:29" x14ac:dyDescent="0.2">
      <c r="A1266" s="48"/>
      <c r="B1266" s="103">
        <v>-1</v>
      </c>
      <c r="D1266" s="8"/>
      <c r="E1266" s="9"/>
      <c r="F1266" s="36"/>
      <c r="G1266" s="12"/>
      <c r="H1266" s="12"/>
      <c r="J1266" s="12"/>
      <c r="K1266" s="12"/>
      <c r="L1266" s="12"/>
      <c r="M1266" s="12"/>
      <c r="N1266" s="12"/>
      <c r="O1266" s="12"/>
      <c r="P1266" s="12"/>
      <c r="Q1266" s="12"/>
      <c r="R1266" s="38" t="e">
        <f>VLOOKUP((D1267),'Pwr Factor'!$A$1:$B$52,2)</f>
        <v>#N/A</v>
      </c>
      <c r="S1266" s="50">
        <v>1</v>
      </c>
      <c r="T1266" s="12"/>
      <c r="U1266" s="12"/>
      <c r="V1266" s="12"/>
      <c r="W1266" s="12"/>
      <c r="X1266" s="12"/>
      <c r="Y1266" s="12"/>
      <c r="Z1266" s="12"/>
      <c r="AA1266" s="12"/>
    </row>
    <row r="1267" spans="1:29" x14ac:dyDescent="0.2">
      <c r="A1267" s="1" t="s">
        <v>138</v>
      </c>
      <c r="B1267" s="103">
        <f>IF(AND('AES Indiana Bill Calc.'!$D$17="HL3",'AES Indiana Bill Calc.'!$D$18="Yes 100%",'AES Indiana Bill Calc.'!$D$20="Yes 2025"),'AES Indiana Bill Calc.'!$D$19,-1)</f>
        <v>-1</v>
      </c>
      <c r="C1267" s="103">
        <f>MAX(E1267,$C$905)</f>
        <v>2000</v>
      </c>
      <c r="D1267" s="103" t="b">
        <f>IF(AND('AES Indiana Bill Calc.'!$D$17="HL3",'AES Indiana Bill Calc.'!$D$18="Yes 100%",'AES Indiana Bill Calc.'!$D$20="Yes 2025"),'AES Indiana Bill Calc.'!$D$22)</f>
        <v>0</v>
      </c>
      <c r="E1267" s="103" t="b">
        <f>IF(AND('AES Indiana Bill Calc.'!$D$17="HL3",'AES Indiana Bill Calc.'!$D$18="Yes 100%",'AES Indiana Bill Calc.'!$D$20="Yes 2025"),'AES Indiana Bill Calc.'!$D$21)</f>
        <v>0</v>
      </c>
      <c r="F1267" s="36" t="s">
        <v>323</v>
      </c>
      <c r="G1267" s="92" t="e">
        <f>SUM(J1267:M1267,R1267:AA1267)</f>
        <v>#N/A</v>
      </c>
      <c r="H1267" s="19" t="e">
        <f>IF(ISBLANK(B1267),0,+#REF!/B1267)</f>
        <v>#REF!</v>
      </c>
      <c r="J1267" s="51">
        <f>IF(ISBLANK(B1267),0,+J$1162)</f>
        <v>500</v>
      </c>
      <c r="K1267" s="17">
        <f>ROUND($B1267*K$1162,2)</f>
        <v>-0.04</v>
      </c>
      <c r="L1267" s="17">
        <f>IF(ISBLANK($C1267),0,IF($C1267&lt;$C$1163,ROUND($C$1163*$L$1162,2),IF($C1267&gt;L$1163,ROUND(L$1163*L$1162,2),ROUND($C1267*L$1162,2))))</f>
        <v>48180</v>
      </c>
      <c r="M1267" s="17">
        <f>IF($C1267&gt;L$1163,ROUND(($C1267-L$1163)*M$1162,2),0)</f>
        <v>0</v>
      </c>
      <c r="N1267" s="17">
        <f>K1267</f>
        <v>-0.04</v>
      </c>
      <c r="O1267" s="17"/>
      <c r="P1267" s="17"/>
      <c r="Q1267" s="17">
        <f>SUM(L1267:M1267)</f>
        <v>48180</v>
      </c>
      <c r="R1267" s="16" t="e">
        <f>ROUND(SUM(K1267:M1267)*(R1266-1),2)</f>
        <v>#N/A</v>
      </c>
      <c r="S1267" s="17">
        <f>ROUND($B1267*S$1162*S1266,2)</f>
        <v>0</v>
      </c>
      <c r="T1267" s="17">
        <f>ROUND($B1267*T$1162,2)</f>
        <v>0</v>
      </c>
      <c r="U1267" s="17">
        <f>ROUND($B1267*U$1162,2)</f>
        <v>0</v>
      </c>
      <c r="V1267" s="8">
        <f>ROUND($B1267*V$1160,2)</f>
        <v>-0.01</v>
      </c>
      <c r="W1267" s="17">
        <f>ROUND($B1267*W$1162,2)</f>
        <v>0</v>
      </c>
      <c r="X1267" s="17">
        <f>ROUND($B1267*X$1162,2)</f>
        <v>-0.01</v>
      </c>
      <c r="Y1267" s="17">
        <f>ROUND($B1267*Y$1162,2)</f>
        <v>0</v>
      </c>
      <c r="Z1267" s="17">
        <f>ROUND($B1267*Z$1162,2)</f>
        <v>0</v>
      </c>
      <c r="AA1267" s="17">
        <f>ROUND($B1267*AA$1162,2)</f>
        <v>0</v>
      </c>
      <c r="AB1267" s="19">
        <f>SUM(U$1162:AA$1162)+(-V$1162+V1251)</f>
        <v>1.2243E-2</v>
      </c>
      <c r="AC1267" s="67" t="str">
        <f>+F1267</f>
        <v>HL35</v>
      </c>
    </row>
    <row r="1268" spans="1:29" x14ac:dyDescent="0.2">
      <c r="A1268" s="48"/>
      <c r="B1268" s="103">
        <v>-1</v>
      </c>
      <c r="D1268" s="8"/>
      <c r="E1268" s="9"/>
      <c r="F1268" s="36"/>
      <c r="G1268" s="12"/>
      <c r="H1268" s="12"/>
      <c r="J1268" s="12"/>
      <c r="K1268" s="12"/>
      <c r="L1268" s="12"/>
      <c r="M1268" s="12"/>
      <c r="N1268" s="12"/>
      <c r="O1268" s="12"/>
      <c r="P1268" s="12"/>
      <c r="Q1268" s="12"/>
      <c r="R1268" s="38" t="e">
        <f>VLOOKUP((D1269),'Pwr Factor'!$A$1:$B$52,2)</f>
        <v>#N/A</v>
      </c>
      <c r="S1268" s="50">
        <v>0.5</v>
      </c>
      <c r="T1268" s="12"/>
      <c r="U1268" s="12"/>
      <c r="V1268" s="12"/>
      <c r="W1268" s="12"/>
      <c r="X1268" s="12"/>
      <c r="Y1268" s="12"/>
      <c r="Z1268" s="12"/>
      <c r="AA1268" s="12"/>
    </row>
    <row r="1269" spans="1:29" x14ac:dyDescent="0.2">
      <c r="A1269" s="1" t="s">
        <v>139</v>
      </c>
      <c r="B1269" s="103">
        <f>IF(AND('AES Indiana Bill Calc.'!$D$17="HL3",'AES Indiana Bill Calc.'!$D$18="Yes 50%",'AES Indiana Bill Calc.'!$D$20="Yes 2025"),'AES Indiana Bill Calc.'!$D$19,-1)</f>
        <v>-1</v>
      </c>
      <c r="C1269" s="103">
        <f>MAX(E1269,$C$905)</f>
        <v>2000</v>
      </c>
      <c r="D1269" s="103" t="b">
        <f>IF(AND('AES Indiana Bill Calc.'!$D$17="HL3",'AES Indiana Bill Calc.'!$D$18="Yes 50%",'AES Indiana Bill Calc.'!$D$20="Yes 2025"),'AES Indiana Bill Calc.'!$D$22)</f>
        <v>0</v>
      </c>
      <c r="E1269" s="103" t="b">
        <f>IF(AND('AES Indiana Bill Calc.'!$D$17="HL3",'AES Indiana Bill Calc.'!$D$18="Yes 50%",'AES Indiana Bill Calc.'!$D$20="Yes 2025"),'AES Indiana Bill Calc.'!$D$21)</f>
        <v>0</v>
      </c>
      <c r="F1269" s="36" t="s">
        <v>323</v>
      </c>
      <c r="G1269" s="92" t="e">
        <f>SUM(J1269:M1269,R1269:AA1269)</f>
        <v>#N/A</v>
      </c>
      <c r="H1269" s="19" t="e">
        <f>IF(ISBLANK(B1269),0,+#REF!/B1269)</f>
        <v>#REF!</v>
      </c>
      <c r="J1269" s="51">
        <f>IF(ISBLANK(B1269),0,+J$1162)</f>
        <v>500</v>
      </c>
      <c r="K1269" s="17">
        <f>ROUND($B1269*K$1162,2)</f>
        <v>-0.04</v>
      </c>
      <c r="L1269" s="17">
        <f>IF(ISBLANK($C1269),0,IF($C1269&lt;$C$1163,ROUND($C$1163*$L$1162,2),IF($C1269&gt;L$1163,ROUND(L$1163*L$1162,2),ROUND($C1269*L$1162,2))))</f>
        <v>48180</v>
      </c>
      <c r="M1269" s="17">
        <f>IF($C1269&gt;L$1163,ROUND(($C1269-L$1163)*M$1162,2),0)</f>
        <v>0</v>
      </c>
      <c r="N1269" s="17">
        <f>K1269</f>
        <v>-0.04</v>
      </c>
      <c r="O1269" s="17"/>
      <c r="P1269" s="17"/>
      <c r="Q1269" s="17">
        <f>SUM(L1269:M1269)</f>
        <v>48180</v>
      </c>
      <c r="R1269" s="16" t="e">
        <f>ROUND(SUM(K1269:M1269)*(R1268-1),2)</f>
        <v>#N/A</v>
      </c>
      <c r="S1269" s="17">
        <f>ROUND($B1269*S$1162*S1268,2)</f>
        <v>0</v>
      </c>
      <c r="T1269" s="17">
        <f>ROUND($B1269*T$1162,2)</f>
        <v>0</v>
      </c>
      <c r="U1269" s="17">
        <f>ROUND($B1269*U$1162,2)</f>
        <v>0</v>
      </c>
      <c r="V1269" s="8">
        <f>ROUND($B1269*V$1160,2)</f>
        <v>-0.01</v>
      </c>
      <c r="W1269" s="17">
        <f>ROUND($B1269*W$1162,2)</f>
        <v>0</v>
      </c>
      <c r="X1269" s="17">
        <f>ROUND($B1269*X$1162,2)</f>
        <v>-0.01</v>
      </c>
      <c r="Y1269" s="17">
        <f>ROUND($B1269*Y$1162,2)</f>
        <v>0</v>
      </c>
      <c r="Z1269" s="17">
        <f>ROUND($B1269*Z$1162,2)</f>
        <v>0</v>
      </c>
      <c r="AA1269" s="17">
        <f>ROUND($B1269*AA$1162,2)</f>
        <v>0</v>
      </c>
      <c r="AB1269" s="19">
        <f>SUM(U$1162:AA$1162)+(-V$1162+V1253)</f>
        <v>1.2243E-2</v>
      </c>
      <c r="AC1269" s="67" t="str">
        <f>+F1269</f>
        <v>HL35</v>
      </c>
    </row>
    <row r="1270" spans="1:29" x14ac:dyDescent="0.2">
      <c r="A1270" s="9"/>
      <c r="B1270" s="103">
        <v>-1</v>
      </c>
      <c r="D1270" s="8"/>
      <c r="E1270" s="9"/>
      <c r="F1270" s="36"/>
      <c r="G1270" s="12"/>
      <c r="H1270" s="12"/>
      <c r="J1270" s="12"/>
      <c r="K1270" s="12"/>
      <c r="L1270" s="12"/>
      <c r="M1270" s="12"/>
      <c r="N1270" s="12"/>
      <c r="O1270" s="12"/>
      <c r="P1270" s="12"/>
      <c r="Q1270" s="12"/>
      <c r="R1270" s="38" t="e">
        <f>VLOOKUP((D1271),'Pwr Factor'!$A$1:$B$52,2)</f>
        <v>#N/A</v>
      </c>
      <c r="S1270" s="50">
        <v>0.25</v>
      </c>
      <c r="T1270" s="12"/>
      <c r="U1270" s="12"/>
      <c r="V1270" s="12"/>
      <c r="W1270" s="12"/>
      <c r="X1270" s="12"/>
      <c r="Y1270" s="12"/>
      <c r="Z1270" s="12"/>
      <c r="AA1270" s="12"/>
    </row>
    <row r="1271" spans="1:29" x14ac:dyDescent="0.2">
      <c r="A1271" s="1" t="s">
        <v>140</v>
      </c>
      <c r="B1271" s="103">
        <f>IF(AND('AES Indiana Bill Calc.'!$D$17="HL3",'AES Indiana Bill Calc.'!$D$18="Yes 25%",'AES Indiana Bill Calc.'!$D$20="Yes 2025"),'AES Indiana Bill Calc.'!$D$19,-1)</f>
        <v>-1</v>
      </c>
      <c r="C1271" s="103">
        <f>MAX(E1271,$C$905)</f>
        <v>2000</v>
      </c>
      <c r="D1271" s="103" t="b">
        <f>IF(AND('AES Indiana Bill Calc.'!$D$17="HL3",'AES Indiana Bill Calc.'!$D$18="Yes 25%",'AES Indiana Bill Calc.'!$D$20="Yes 2025"),'AES Indiana Bill Calc.'!$D$22)</f>
        <v>0</v>
      </c>
      <c r="E1271" s="103" t="b">
        <f>IF(AND('AES Indiana Bill Calc.'!$D$17="HL3",'AES Indiana Bill Calc.'!$D$18="Yes 25%",'AES Indiana Bill Calc.'!$D$20="Yes 2025"),'AES Indiana Bill Calc.'!$D$21)</f>
        <v>0</v>
      </c>
      <c r="F1271" s="36" t="s">
        <v>323</v>
      </c>
      <c r="G1271" s="92" t="e">
        <f>SUM(J1271:M1271,R1271:AA1271)</f>
        <v>#N/A</v>
      </c>
      <c r="H1271" s="19" t="e">
        <f>IF(ISBLANK(B1271),0,+#REF!/B1271)</f>
        <v>#REF!</v>
      </c>
      <c r="J1271" s="51">
        <f>IF(ISBLANK(B1271),0,+J$1162)</f>
        <v>500</v>
      </c>
      <c r="K1271" s="17">
        <f>ROUND($B1271*K$1162,2)</f>
        <v>-0.04</v>
      </c>
      <c r="L1271" s="17">
        <f>IF(ISBLANK($C1271),0,IF($C1271&lt;$C$1163,ROUND($C$1163*$L$1162,2),IF($C1271&gt;L$1163,ROUND(L$1163*L$1162,2),ROUND($C1271*L$1162,2))))</f>
        <v>48180</v>
      </c>
      <c r="M1271" s="17">
        <f>IF($C1271&gt;L$1163,ROUND(($C1271-L$1163)*M$1162,2),0)</f>
        <v>0</v>
      </c>
      <c r="N1271" s="17">
        <f>K1271</f>
        <v>-0.04</v>
      </c>
      <c r="O1271" s="17"/>
      <c r="P1271" s="17"/>
      <c r="Q1271" s="17">
        <f>SUM(L1271:M1271)</f>
        <v>48180</v>
      </c>
      <c r="R1271" s="16" t="e">
        <f>ROUND(SUM(K1271:M1271)*(R1270-1),2)</f>
        <v>#N/A</v>
      </c>
      <c r="S1271" s="17">
        <f>ROUND($B1271*S$1162*S1270,2)</f>
        <v>0</v>
      </c>
      <c r="T1271" s="17">
        <f>ROUND($B1271*T$1162,2)</f>
        <v>0</v>
      </c>
      <c r="U1271" s="17">
        <f>ROUND($B1271*U$1162,2)</f>
        <v>0</v>
      </c>
      <c r="V1271" s="8">
        <f>ROUND($B1271*V$1160,2)</f>
        <v>-0.01</v>
      </c>
      <c r="W1271" s="17">
        <f>ROUND($B1271*W$1162,2)</f>
        <v>0</v>
      </c>
      <c r="X1271" s="17">
        <f>ROUND($B1271*X$1162,2)</f>
        <v>-0.01</v>
      </c>
      <c r="Y1271" s="17">
        <f>ROUND($B1271*Y$1162,2)</f>
        <v>0</v>
      </c>
      <c r="Z1271" s="17">
        <f>ROUND($B1271*Z$1162,2)</f>
        <v>0</v>
      </c>
      <c r="AA1271" s="17">
        <f>ROUND($B1271*AA$1162,2)</f>
        <v>0</v>
      </c>
      <c r="AB1271" s="19">
        <f>SUM(U$1162:AA$1162)+(-V$1162+V1255)</f>
        <v>1.2243E-2</v>
      </c>
      <c r="AC1271" s="67" t="str">
        <f>+F1271</f>
        <v>HL35</v>
      </c>
    </row>
    <row r="1272" spans="1:29" x14ac:dyDescent="0.2">
      <c r="A1272" s="9"/>
      <c r="B1272" s="103">
        <v>-1</v>
      </c>
      <c r="D1272" s="8"/>
      <c r="E1272" s="9"/>
      <c r="F1272" s="36"/>
      <c r="G1272" s="12"/>
      <c r="H1272" s="12"/>
      <c r="J1272" s="12"/>
      <c r="K1272" s="12"/>
      <c r="L1272" s="12"/>
      <c r="M1272" s="12"/>
      <c r="N1272" s="12"/>
      <c r="O1272" s="12"/>
      <c r="P1272" s="12"/>
      <c r="Q1272" s="12"/>
      <c r="R1272" s="38" t="e">
        <f>VLOOKUP((D1273),'Pwr Factor'!$A$1:$B$52,2)</f>
        <v>#N/A</v>
      </c>
      <c r="S1272" s="50">
        <v>0.1</v>
      </c>
      <c r="T1272" s="12"/>
      <c r="U1272" s="12"/>
      <c r="V1272" s="12"/>
      <c r="W1272" s="12"/>
      <c r="X1272" s="12"/>
      <c r="Y1272" s="12"/>
      <c r="Z1272" s="12"/>
      <c r="AA1272" s="12"/>
    </row>
    <row r="1273" spans="1:29" x14ac:dyDescent="0.2">
      <c r="A1273" s="1" t="s">
        <v>154</v>
      </c>
      <c r="B1273" s="103">
        <f>IF(AND('AES Indiana Bill Calc.'!$D$17="HL3",'AES Indiana Bill Calc.'!$D$18="Yes 10%",'AES Indiana Bill Calc.'!$D$20="Yes 2025"),'AES Indiana Bill Calc.'!$D$19,-1)</f>
        <v>-1</v>
      </c>
      <c r="C1273" s="103">
        <f>MAX(E1273,$C$905)</f>
        <v>2000</v>
      </c>
      <c r="D1273" s="103" t="b">
        <f>IF(AND('AES Indiana Bill Calc.'!$D$17="HL3",'AES Indiana Bill Calc.'!$D$18="Yes 10%",'AES Indiana Bill Calc.'!$D$20="Yes 2025"),'AES Indiana Bill Calc.'!$D$22)</f>
        <v>0</v>
      </c>
      <c r="E1273" s="103" t="b">
        <f>IF(AND('AES Indiana Bill Calc.'!$D$17="HL3",'AES Indiana Bill Calc.'!$D$18="Yes 10%",'AES Indiana Bill Calc.'!$D$20="Yes 2025"),'AES Indiana Bill Calc.'!$D$21)</f>
        <v>0</v>
      </c>
      <c r="F1273" s="36" t="s">
        <v>323</v>
      </c>
      <c r="G1273" s="92" t="e">
        <f>SUM(J1273:M1273,R1273:AA1273)</f>
        <v>#N/A</v>
      </c>
      <c r="H1273" s="19" t="e">
        <f>IF(ISBLANK(B1273),0,+#REF!/B1273)</f>
        <v>#REF!</v>
      </c>
      <c r="J1273" s="51">
        <f>IF(ISBLANK(B1273),0,+J$1162)</f>
        <v>500</v>
      </c>
      <c r="K1273" s="17">
        <f>ROUND($B1273*K$1162,2)</f>
        <v>-0.04</v>
      </c>
      <c r="L1273" s="17">
        <f>IF(ISBLANK($C1273),0,IF($C1273&lt;$C$1163,ROUND($C$1163*$L$1162,2),IF($C1273&gt;L$1163,ROUND(L$1163*L$1162,2),ROUND($C1273*L$1162,2))))</f>
        <v>48180</v>
      </c>
      <c r="M1273" s="17">
        <f>IF($C1273&gt;L$1163,ROUND(($C1273-L$1163)*M$1162,2),0)</f>
        <v>0</v>
      </c>
      <c r="N1273" s="17">
        <f>K1273</f>
        <v>-0.04</v>
      </c>
      <c r="O1273" s="17"/>
      <c r="P1273" s="17"/>
      <c r="Q1273" s="17">
        <f>SUM(L1273:M1273)</f>
        <v>48180</v>
      </c>
      <c r="R1273" s="16" t="e">
        <f>ROUND(SUM(K1273:M1273)*(R1272-1),2)</f>
        <v>#N/A</v>
      </c>
      <c r="S1273" s="17">
        <f>ROUND($B1273*S$1162*S1272,2)</f>
        <v>0</v>
      </c>
      <c r="T1273" s="17">
        <f>ROUND($B1273*T$1162,2)</f>
        <v>0</v>
      </c>
      <c r="U1273" s="17">
        <f>ROUND($B1273*U$1162,2)</f>
        <v>0</v>
      </c>
      <c r="V1273" s="8">
        <f>ROUND($B1273*V$1160,2)</f>
        <v>-0.01</v>
      </c>
      <c r="W1273" s="17">
        <f>ROUND($B1273*W$1162,2)</f>
        <v>0</v>
      </c>
      <c r="X1273" s="17">
        <f>ROUND($B1273*X$1162,2)</f>
        <v>-0.01</v>
      </c>
      <c r="Y1273" s="17">
        <f>ROUND($B1273*Y$1162,2)</f>
        <v>0</v>
      </c>
      <c r="Z1273" s="17">
        <f>ROUND($B1273*Z$1162,2)</f>
        <v>0</v>
      </c>
      <c r="AA1273" s="17">
        <f>ROUND($B1273*AA$1162,2)</f>
        <v>0</v>
      </c>
      <c r="AB1273" s="19">
        <f>SUM(U$1162:AA$1162)+(-V$1162+V1257)</f>
        <v>1.2243E-2</v>
      </c>
      <c r="AC1273" s="67" t="str">
        <f>+F1273</f>
        <v>HL35</v>
      </c>
    </row>
    <row r="1274" spans="1:29" x14ac:dyDescent="0.2">
      <c r="A1274" s="9"/>
      <c r="B1274" s="103">
        <v>-1</v>
      </c>
      <c r="D1274" s="8"/>
      <c r="E1274" s="9"/>
      <c r="F1274" s="36"/>
      <c r="G1274" s="12"/>
      <c r="H1274" s="12"/>
      <c r="J1274" s="12"/>
      <c r="K1274" s="12"/>
      <c r="L1274" s="12"/>
      <c r="M1274" s="12"/>
      <c r="N1274" s="12"/>
      <c r="O1274" s="12"/>
      <c r="P1274" s="12"/>
      <c r="Q1274" s="12"/>
      <c r="R1274" s="38" t="e">
        <f>VLOOKUP((D1275),'Pwr Factor'!$A$1:$B$52,2)</f>
        <v>#N/A</v>
      </c>
      <c r="S1274" s="50">
        <v>0</v>
      </c>
      <c r="T1274" s="12"/>
      <c r="U1274" s="12"/>
      <c r="V1274" s="12"/>
      <c r="W1274" s="12"/>
      <c r="X1274" s="12"/>
      <c r="Y1274" s="12"/>
      <c r="Z1274" s="12"/>
      <c r="AA1274" s="12"/>
    </row>
    <row r="1275" spans="1:29" x14ac:dyDescent="0.2">
      <c r="A1275" s="1" t="s">
        <v>137</v>
      </c>
      <c r="B1275" s="103">
        <f>IF(AND('AES Indiana Bill Calc.'!$D$17="HL3",'AES Indiana Bill Calc.'!$D$18="No",'AES Indiana Bill Calc.'!$D$20="Yes 2025"),'AES Indiana Bill Calc.'!$D$19,-1)</f>
        <v>-1</v>
      </c>
      <c r="C1275" s="103">
        <f>MAX(E1275,$C$905)</f>
        <v>2000</v>
      </c>
      <c r="D1275" s="103" t="b">
        <f>IF(AND('AES Indiana Bill Calc.'!$D$17="HL3",'AES Indiana Bill Calc.'!$D$18="No",'AES Indiana Bill Calc.'!$D$20="Yes 2025"),'AES Indiana Bill Calc.'!$D$22)</f>
        <v>0</v>
      </c>
      <c r="E1275" s="103" t="b">
        <f>IF(AND('AES Indiana Bill Calc.'!$D$17="HL3",'AES Indiana Bill Calc.'!$D$18="No",'AES Indiana Bill Calc.'!$D$20="Yes 2025"),'AES Indiana Bill Calc.'!$D$21)</f>
        <v>0</v>
      </c>
      <c r="F1275" s="36" t="s">
        <v>323</v>
      </c>
      <c r="G1275" s="92" t="e">
        <f>SUM(J1275:M1275,R1275:AA1275)</f>
        <v>#N/A</v>
      </c>
      <c r="H1275" s="19" t="e">
        <f>IF(ISBLANK(B1275),0,+#REF!/B1275)</f>
        <v>#REF!</v>
      </c>
      <c r="J1275" s="51">
        <f>IF(ISBLANK(B1275),0,+J$1162)</f>
        <v>500</v>
      </c>
      <c r="K1275" s="17">
        <f>ROUND($B1275*K$1162,2)</f>
        <v>-0.04</v>
      </c>
      <c r="L1275" s="17">
        <f>IF(ISBLANK($C1275),0,IF($C1275&lt;$C$1163,ROUND($C$1163*$L$1162,2),IF($C1275&gt;L$1163,ROUND(L$1163*L$1162,2),ROUND($C1275*L$1162,2))))</f>
        <v>48180</v>
      </c>
      <c r="M1275" s="17">
        <f>IF($C1275&gt;L$1163,ROUND(($C1275-L$1163)*M$1162,2),0)</f>
        <v>0</v>
      </c>
      <c r="N1275" s="17">
        <f>K1275</f>
        <v>-0.04</v>
      </c>
      <c r="O1275" s="17"/>
      <c r="P1275" s="17"/>
      <c r="Q1275" s="17">
        <f>SUM(L1275:M1275)</f>
        <v>48180</v>
      </c>
      <c r="R1275" s="16" t="e">
        <f>ROUND(SUM(K1275:M1275)*(R1274-1),2)</f>
        <v>#N/A</v>
      </c>
      <c r="S1275" s="17">
        <f>ROUND($B1275*S$1162*S1274,2)</f>
        <v>0</v>
      </c>
      <c r="T1275" s="17">
        <f>ROUND($B1275*T$1162,2)</f>
        <v>0</v>
      </c>
      <c r="U1275" s="17">
        <f>ROUND($B1275*U$1162,2)</f>
        <v>0</v>
      </c>
      <c r="V1275" s="8">
        <f>ROUND($B1275*V$1160,2)</f>
        <v>-0.01</v>
      </c>
      <c r="W1275" s="17">
        <f>ROUND($B1275*W$1162,2)</f>
        <v>0</v>
      </c>
      <c r="X1275" s="17">
        <f>ROUND($B1275*X$1162,2)</f>
        <v>-0.01</v>
      </c>
      <c r="Y1275" s="17">
        <f>ROUND($B1275*Y$1162,2)</f>
        <v>0</v>
      </c>
      <c r="Z1275" s="17">
        <f>ROUND($B1275*Z$1162,2)</f>
        <v>0</v>
      </c>
      <c r="AA1275" s="17">
        <f>ROUND($B1275*AA$1162,2)</f>
        <v>0</v>
      </c>
      <c r="AB1275" s="19">
        <f>SUM(U$1162:AA$1162)+(-V$1162+V1259)</f>
        <v>1.2243E-2</v>
      </c>
      <c r="AC1275" s="67" t="str">
        <f>+F1275</f>
        <v>HL35</v>
      </c>
    </row>
    <row r="1276" spans="1:29" x14ac:dyDescent="0.2">
      <c r="A1276" s="48"/>
      <c r="B1276" s="103">
        <v>-1</v>
      </c>
      <c r="D1276" s="8"/>
      <c r="E1276" s="9"/>
      <c r="F1276" s="36"/>
      <c r="G1276" s="12"/>
      <c r="H1276" s="12"/>
      <c r="J1276" s="12"/>
      <c r="K1276" s="12"/>
      <c r="L1276" s="12"/>
      <c r="M1276" s="12"/>
      <c r="N1276" s="12"/>
      <c r="O1276" s="12"/>
      <c r="P1276" s="12"/>
      <c r="Q1276" s="12"/>
      <c r="R1276" s="38" t="e">
        <f>VLOOKUP((D1277),'Pwr Factor'!$A$1:$B$52,2)</f>
        <v>#N/A</v>
      </c>
      <c r="S1276" s="50">
        <v>1</v>
      </c>
      <c r="T1276" s="12"/>
      <c r="U1276" s="12"/>
      <c r="V1276" s="12"/>
      <c r="W1276" s="12"/>
      <c r="X1276" s="12"/>
      <c r="Y1276" s="12"/>
      <c r="Z1276" s="12"/>
      <c r="AA1276" s="12"/>
    </row>
    <row r="1277" spans="1:29" x14ac:dyDescent="0.2">
      <c r="A1277" s="1" t="s">
        <v>138</v>
      </c>
      <c r="B1277" s="103">
        <f>IF(AND('AES Indiana Bill Calc.'!$D$17="HL3",'AES Indiana Bill Calc.'!$D$18="Yes 100%",'AES Indiana Bill Calc.'!$D$20="Yes 2026"),'AES Indiana Bill Calc.'!$D$19,-1)</f>
        <v>-1</v>
      </c>
      <c r="C1277" s="103">
        <f>MAX(E1277,$C$905)</f>
        <v>2000</v>
      </c>
      <c r="D1277" s="103" t="b">
        <f>IF(AND('AES Indiana Bill Calc.'!$D$17="HL3",'AES Indiana Bill Calc.'!$D$18="Yes 100%",'AES Indiana Bill Calc.'!$D$20="Yes 2025"),'AES Indiana Bill Calc.'!$D$22)</f>
        <v>0</v>
      </c>
      <c r="E1277" s="103" t="b">
        <f>IF(AND('AES Indiana Bill Calc.'!$D$17="HL3",'AES Indiana Bill Calc.'!$D$18="Yes 100%",'AES Indiana Bill Calc.'!$D$20="Yes 2025"),'AES Indiana Bill Calc.'!$D$21)</f>
        <v>0</v>
      </c>
      <c r="F1277" s="36" t="s">
        <v>396</v>
      </c>
      <c r="G1277" s="92" t="e">
        <f>SUM(J1277:M1277,R1277:AA1277)</f>
        <v>#N/A</v>
      </c>
      <c r="H1277" s="19" t="e">
        <f>IF(ISBLANK(B1277),0,+#REF!/B1277)</f>
        <v>#REF!</v>
      </c>
      <c r="J1277" s="51">
        <f>IF(ISBLANK(B1277),0,+J$1162)</f>
        <v>500</v>
      </c>
      <c r="K1277" s="17">
        <f>ROUND($B1277*K$1162,2)</f>
        <v>-0.04</v>
      </c>
      <c r="L1277" s="17">
        <f>IF(ISBLANK($C1277),0,IF($C1277&lt;$C$1163,ROUND($C$1163*$L$1162,2),IF($C1277&gt;L$1163,ROUND(L$1163*L$1162,2),ROUND($C1277*L$1162,2))))</f>
        <v>48180</v>
      </c>
      <c r="M1277" s="17">
        <f>IF($C1277&gt;L$1163,ROUND(($C1277-L$1163)*M$1162,2),0)</f>
        <v>0</v>
      </c>
      <c r="N1277" s="17">
        <f>K1277</f>
        <v>-0.04</v>
      </c>
      <c r="O1277" s="17"/>
      <c r="P1277" s="17"/>
      <c r="Q1277" s="17">
        <f>SUM(L1277:M1277)</f>
        <v>48180</v>
      </c>
      <c r="R1277" s="16" t="e">
        <f>ROUND(SUM(K1277:M1277)*(R1276-1),2)</f>
        <v>#N/A</v>
      </c>
      <c r="S1277" s="17">
        <f>ROUND($B1277*S$1162*S1276,2)</f>
        <v>0</v>
      </c>
      <c r="T1277" s="17">
        <f>ROUND($B1277*T$1162,2)</f>
        <v>0</v>
      </c>
      <c r="U1277" s="17">
        <f>ROUND($B1277*U$1162,2)</f>
        <v>0</v>
      </c>
      <c r="V1277" s="8">
        <f>ROUND($B1277*V$1161,2)</f>
        <v>-0.01</v>
      </c>
      <c r="W1277" s="17">
        <f>ROUND($B1277*W$1162,2)</f>
        <v>0</v>
      </c>
      <c r="X1277" s="17">
        <f>ROUND($B1277*X$1162,2)</f>
        <v>-0.01</v>
      </c>
      <c r="Y1277" s="17">
        <f>ROUND($B1277*Y$1162,2)</f>
        <v>0</v>
      </c>
      <c r="Z1277" s="17">
        <f>ROUND($B1277*Z$1162,2)</f>
        <v>0</v>
      </c>
      <c r="AA1277" s="17">
        <f>ROUND($B1277*AA$1162,2)</f>
        <v>0</v>
      </c>
      <c r="AB1277" s="19">
        <f>SUM(U$1162:AA$1162)+(-V$1162+V1261)</f>
        <v>1.2243E-2</v>
      </c>
      <c r="AC1277" s="67" t="str">
        <f>+F1277</f>
        <v>HL36</v>
      </c>
    </row>
    <row r="1278" spans="1:29" x14ac:dyDescent="0.2">
      <c r="A1278" s="48"/>
      <c r="B1278" s="103">
        <v>-1</v>
      </c>
      <c r="D1278" s="8"/>
      <c r="E1278" s="9"/>
      <c r="F1278" s="36"/>
      <c r="G1278" s="12"/>
      <c r="H1278" s="12"/>
      <c r="J1278" s="12"/>
      <c r="K1278" s="12"/>
      <c r="L1278" s="12"/>
      <c r="M1278" s="12"/>
      <c r="N1278" s="12"/>
      <c r="O1278" s="12"/>
      <c r="P1278" s="12"/>
      <c r="Q1278" s="12"/>
      <c r="R1278" s="38" t="e">
        <f>VLOOKUP((D1279),'Pwr Factor'!$A$1:$B$52,2)</f>
        <v>#N/A</v>
      </c>
      <c r="S1278" s="50">
        <v>0.5</v>
      </c>
      <c r="T1278" s="12"/>
      <c r="U1278" s="12"/>
      <c r="V1278" s="12"/>
      <c r="W1278" s="12"/>
      <c r="X1278" s="12"/>
      <c r="Y1278" s="12"/>
      <c r="Z1278" s="12"/>
      <c r="AA1278" s="12"/>
    </row>
    <row r="1279" spans="1:29" x14ac:dyDescent="0.2">
      <c r="A1279" s="1" t="s">
        <v>139</v>
      </c>
      <c r="B1279" s="103">
        <f>IF(AND('AES Indiana Bill Calc.'!$D$17="HL3",'AES Indiana Bill Calc.'!$D$18="Yes 50%",'AES Indiana Bill Calc.'!$D$20="Yes 2026"),'AES Indiana Bill Calc.'!$D$19,-1)</f>
        <v>-1</v>
      </c>
      <c r="C1279" s="103">
        <f>MAX(E1279,$C$905)</f>
        <v>2000</v>
      </c>
      <c r="D1279" s="103" t="b">
        <f>IF(AND('AES Indiana Bill Calc.'!$D$17="HL3",'AES Indiana Bill Calc.'!$D$18="Yes 50%",'AES Indiana Bill Calc.'!$D$20="Yes 2025"),'AES Indiana Bill Calc.'!$D$22)</f>
        <v>0</v>
      </c>
      <c r="E1279" s="103" t="b">
        <f>IF(AND('AES Indiana Bill Calc.'!$D$17="HL3",'AES Indiana Bill Calc.'!$D$18="Yes 50%",'AES Indiana Bill Calc.'!$D$20="Yes 2025"),'AES Indiana Bill Calc.'!$D$21)</f>
        <v>0</v>
      </c>
      <c r="F1279" s="36" t="s">
        <v>396</v>
      </c>
      <c r="G1279" s="92" t="e">
        <f>SUM(J1279:M1279,R1279:AA1279)</f>
        <v>#N/A</v>
      </c>
      <c r="H1279" s="19" t="e">
        <f>IF(ISBLANK(B1279),0,+#REF!/B1279)</f>
        <v>#REF!</v>
      </c>
      <c r="J1279" s="51">
        <f>IF(ISBLANK(B1279),0,+J$1162)</f>
        <v>500</v>
      </c>
      <c r="K1279" s="17">
        <f>ROUND($B1279*K$1162,2)</f>
        <v>-0.04</v>
      </c>
      <c r="L1279" s="17">
        <f>IF(ISBLANK($C1279),0,IF($C1279&lt;$C$1163,ROUND($C$1163*$L$1162,2),IF($C1279&gt;L$1163,ROUND(L$1163*L$1162,2),ROUND($C1279*L$1162,2))))</f>
        <v>48180</v>
      </c>
      <c r="M1279" s="17">
        <f>IF($C1279&gt;L$1163,ROUND(($C1279-L$1163)*M$1162,2),0)</f>
        <v>0</v>
      </c>
      <c r="N1279" s="17">
        <f>K1279</f>
        <v>-0.04</v>
      </c>
      <c r="O1279" s="17"/>
      <c r="P1279" s="17"/>
      <c r="Q1279" s="17">
        <f>SUM(L1279:M1279)</f>
        <v>48180</v>
      </c>
      <c r="R1279" s="16" t="e">
        <f>ROUND(SUM(K1279:M1279)*(R1278-1),2)</f>
        <v>#N/A</v>
      </c>
      <c r="S1279" s="17">
        <f>ROUND($B1279*S$1162*S1278,2)</f>
        <v>0</v>
      </c>
      <c r="T1279" s="17">
        <f>ROUND($B1279*T$1162,2)</f>
        <v>0</v>
      </c>
      <c r="U1279" s="17">
        <f>ROUND($B1279*U$1162,2)</f>
        <v>0</v>
      </c>
      <c r="V1279" s="8">
        <f>ROUND($B1279*V$1161,2)</f>
        <v>-0.01</v>
      </c>
      <c r="W1279" s="17">
        <f>ROUND($B1279*W$1162,2)</f>
        <v>0</v>
      </c>
      <c r="X1279" s="17">
        <f>ROUND($B1279*X$1162,2)</f>
        <v>-0.01</v>
      </c>
      <c r="Y1279" s="17">
        <f>ROUND($B1279*Y$1162,2)</f>
        <v>0</v>
      </c>
      <c r="Z1279" s="17">
        <f>ROUND($B1279*Z$1162,2)</f>
        <v>0</v>
      </c>
      <c r="AA1279" s="17">
        <f>ROUND($B1279*AA$1162,2)</f>
        <v>0</v>
      </c>
      <c r="AB1279" s="19">
        <f>SUM(U$1162:AA$1162)+(-V$1162+V1263)</f>
        <v>1.2243E-2</v>
      </c>
      <c r="AC1279" s="67" t="str">
        <f>+F1279</f>
        <v>HL36</v>
      </c>
    </row>
    <row r="1280" spans="1:29" x14ac:dyDescent="0.2">
      <c r="A1280" s="9"/>
      <c r="B1280" s="103">
        <v>-1</v>
      </c>
      <c r="D1280" s="8"/>
      <c r="E1280" s="9"/>
      <c r="F1280" s="36"/>
      <c r="G1280" s="12"/>
      <c r="H1280" s="12"/>
      <c r="J1280" s="12"/>
      <c r="K1280" s="12"/>
      <c r="L1280" s="12"/>
      <c r="M1280" s="12"/>
      <c r="N1280" s="12"/>
      <c r="O1280" s="12"/>
      <c r="P1280" s="12"/>
      <c r="Q1280" s="12"/>
      <c r="R1280" s="38" t="e">
        <f>VLOOKUP((D1281),'Pwr Factor'!$A$1:$B$52,2)</f>
        <v>#N/A</v>
      </c>
      <c r="S1280" s="50">
        <v>0.25</v>
      </c>
      <c r="T1280" s="12"/>
      <c r="U1280" s="12"/>
      <c r="V1280" s="12"/>
      <c r="W1280" s="12"/>
      <c r="X1280" s="12"/>
      <c r="Y1280" s="12"/>
      <c r="Z1280" s="12"/>
      <c r="AA1280" s="12"/>
    </row>
    <row r="1281" spans="1:29" x14ac:dyDescent="0.2">
      <c r="A1281" s="1" t="s">
        <v>140</v>
      </c>
      <c r="B1281" s="103">
        <f>IF(AND('AES Indiana Bill Calc.'!$D$17="HL3",'AES Indiana Bill Calc.'!$D$18="Yes 25%",'AES Indiana Bill Calc.'!$D$20="Yes 2026"),'AES Indiana Bill Calc.'!$D$19,-1)</f>
        <v>-1</v>
      </c>
      <c r="C1281" s="103">
        <f>MAX(E1281,$C$905)</f>
        <v>2000</v>
      </c>
      <c r="D1281" s="103" t="b">
        <f>IF(AND('AES Indiana Bill Calc.'!$D$17="HL3",'AES Indiana Bill Calc.'!$D$18="Yes 25%",'AES Indiana Bill Calc.'!$D$20="Yes 2025"),'AES Indiana Bill Calc.'!$D$22)</f>
        <v>0</v>
      </c>
      <c r="E1281" s="103" t="b">
        <f>IF(AND('AES Indiana Bill Calc.'!$D$17="HL3",'AES Indiana Bill Calc.'!$D$18="Yes 25%",'AES Indiana Bill Calc.'!$D$20="Yes 2025"),'AES Indiana Bill Calc.'!$D$21)</f>
        <v>0</v>
      </c>
      <c r="F1281" s="36" t="s">
        <v>396</v>
      </c>
      <c r="G1281" s="92" t="e">
        <f>SUM(J1281:M1281,R1281:AA1281)</f>
        <v>#N/A</v>
      </c>
      <c r="H1281" s="19" t="e">
        <f>IF(ISBLANK(B1281),0,+#REF!/B1281)</f>
        <v>#REF!</v>
      </c>
      <c r="J1281" s="51">
        <f>IF(ISBLANK(B1281),0,+J$1162)</f>
        <v>500</v>
      </c>
      <c r="K1281" s="17">
        <f>ROUND($B1281*K$1162,2)</f>
        <v>-0.04</v>
      </c>
      <c r="L1281" s="17">
        <f>IF(ISBLANK($C1281),0,IF($C1281&lt;$C$1163,ROUND($C$1163*$L$1162,2),IF($C1281&gt;L$1163,ROUND(L$1163*L$1162,2),ROUND($C1281*L$1162,2))))</f>
        <v>48180</v>
      </c>
      <c r="M1281" s="17">
        <f>IF($C1281&gt;L$1163,ROUND(($C1281-L$1163)*M$1162,2),0)</f>
        <v>0</v>
      </c>
      <c r="N1281" s="17">
        <f>K1281</f>
        <v>-0.04</v>
      </c>
      <c r="O1281" s="17"/>
      <c r="P1281" s="17"/>
      <c r="Q1281" s="17">
        <f>SUM(L1281:M1281)</f>
        <v>48180</v>
      </c>
      <c r="R1281" s="16" t="e">
        <f>ROUND(SUM(K1281:M1281)*(R1280-1),2)</f>
        <v>#N/A</v>
      </c>
      <c r="S1281" s="17">
        <f>ROUND($B1281*S$1162*S1280,2)</f>
        <v>0</v>
      </c>
      <c r="T1281" s="17">
        <f>ROUND($B1281*T$1162,2)</f>
        <v>0</v>
      </c>
      <c r="U1281" s="17">
        <f>ROUND($B1281*U$1162,2)</f>
        <v>0</v>
      </c>
      <c r="V1281" s="8">
        <f>ROUND($B1281*V$1161,2)</f>
        <v>-0.01</v>
      </c>
      <c r="W1281" s="17">
        <f>ROUND($B1281*W$1162,2)</f>
        <v>0</v>
      </c>
      <c r="X1281" s="17">
        <f>ROUND($B1281*X$1162,2)</f>
        <v>-0.01</v>
      </c>
      <c r="Y1281" s="17">
        <f>ROUND($B1281*Y$1162,2)</f>
        <v>0</v>
      </c>
      <c r="Z1281" s="17">
        <f>ROUND($B1281*Z$1162,2)</f>
        <v>0</v>
      </c>
      <c r="AA1281" s="17">
        <f>ROUND($B1281*AA$1162,2)</f>
        <v>0</v>
      </c>
      <c r="AB1281" s="19">
        <f>SUM(U$1162:AA$1162)+(-V$1162+V1265)</f>
        <v>1.2243E-2</v>
      </c>
      <c r="AC1281" s="67" t="str">
        <f>+F1281</f>
        <v>HL36</v>
      </c>
    </row>
    <row r="1282" spans="1:29" x14ac:dyDescent="0.2">
      <c r="A1282" s="9"/>
      <c r="B1282" s="103">
        <v>-1</v>
      </c>
      <c r="D1282" s="8"/>
      <c r="E1282" s="9"/>
      <c r="F1282" s="36"/>
      <c r="G1282" s="12"/>
      <c r="H1282" s="12"/>
      <c r="J1282" s="12"/>
      <c r="K1282" s="12"/>
      <c r="L1282" s="12"/>
      <c r="M1282" s="12"/>
      <c r="N1282" s="12"/>
      <c r="O1282" s="12"/>
      <c r="P1282" s="12"/>
      <c r="Q1282" s="12"/>
      <c r="R1282" s="38" t="e">
        <f>VLOOKUP((D1283),'Pwr Factor'!$A$1:$B$52,2)</f>
        <v>#N/A</v>
      </c>
      <c r="S1282" s="50">
        <v>0.1</v>
      </c>
      <c r="T1282" s="12"/>
      <c r="U1282" s="12"/>
      <c r="V1282" s="12"/>
      <c r="W1282" s="12"/>
      <c r="X1282" s="12"/>
      <c r="Y1282" s="12"/>
      <c r="Z1282" s="12"/>
      <c r="AA1282" s="12"/>
    </row>
    <row r="1283" spans="1:29" x14ac:dyDescent="0.2">
      <c r="A1283" s="1" t="s">
        <v>154</v>
      </c>
      <c r="B1283" s="103">
        <f>IF(AND('AES Indiana Bill Calc.'!$D$17="HL3",'AES Indiana Bill Calc.'!$D$18="Yes 10%",'AES Indiana Bill Calc.'!$D$20="Yes 2026"),'AES Indiana Bill Calc.'!$D$19,-1)</f>
        <v>-1</v>
      </c>
      <c r="C1283" s="103">
        <f>MAX(E1283,$C$905)</f>
        <v>2000</v>
      </c>
      <c r="D1283" s="103" t="b">
        <f>IF(AND('AES Indiana Bill Calc.'!$D$17="HL3",'AES Indiana Bill Calc.'!$D$18="Yes 10%",'AES Indiana Bill Calc.'!$D$20="Yes 2025"),'AES Indiana Bill Calc.'!$D$22)</f>
        <v>0</v>
      </c>
      <c r="E1283" s="103" t="b">
        <f>IF(AND('AES Indiana Bill Calc.'!$D$17="HL3",'AES Indiana Bill Calc.'!$D$18="Yes 10%",'AES Indiana Bill Calc.'!$D$20="Yes 2025"),'AES Indiana Bill Calc.'!$D$21)</f>
        <v>0</v>
      </c>
      <c r="F1283" s="36" t="s">
        <v>396</v>
      </c>
      <c r="G1283" s="92" t="e">
        <f>SUM(J1283:M1283,R1283:AA1283)</f>
        <v>#N/A</v>
      </c>
      <c r="H1283" s="19" t="e">
        <f>IF(ISBLANK(B1283),0,+#REF!/B1283)</f>
        <v>#REF!</v>
      </c>
      <c r="J1283" s="51">
        <f>IF(ISBLANK(B1283),0,+J$1162)</f>
        <v>500</v>
      </c>
      <c r="K1283" s="17">
        <f>ROUND($B1283*K$1162,2)</f>
        <v>-0.04</v>
      </c>
      <c r="L1283" s="17">
        <f>IF(ISBLANK($C1283),0,IF($C1283&lt;$C$1163,ROUND($C$1163*$L$1162,2),IF($C1283&gt;L$1163,ROUND(L$1163*L$1162,2),ROUND($C1283*L$1162,2))))</f>
        <v>48180</v>
      </c>
      <c r="M1283" s="17">
        <f>IF($C1283&gt;L$1163,ROUND(($C1283-L$1163)*M$1162,2),0)</f>
        <v>0</v>
      </c>
      <c r="N1283" s="17">
        <f>K1283</f>
        <v>-0.04</v>
      </c>
      <c r="O1283" s="17"/>
      <c r="P1283" s="17"/>
      <c r="Q1283" s="17">
        <f>SUM(L1283:M1283)</f>
        <v>48180</v>
      </c>
      <c r="R1283" s="16" t="e">
        <f>ROUND(SUM(K1283:M1283)*(R1282-1),2)</f>
        <v>#N/A</v>
      </c>
      <c r="S1283" s="17">
        <f>ROUND($B1283*S$1162*S1282,2)</f>
        <v>0</v>
      </c>
      <c r="T1283" s="17">
        <f>ROUND($B1283*T$1162,2)</f>
        <v>0</v>
      </c>
      <c r="U1283" s="17">
        <f>ROUND($B1283*U$1162,2)</f>
        <v>0</v>
      </c>
      <c r="V1283" s="8">
        <f>ROUND($B1283*V$1161,2)</f>
        <v>-0.01</v>
      </c>
      <c r="W1283" s="17">
        <f>ROUND($B1283*W$1162,2)</f>
        <v>0</v>
      </c>
      <c r="X1283" s="17">
        <f>ROUND($B1283*X$1162,2)</f>
        <v>-0.01</v>
      </c>
      <c r="Y1283" s="17">
        <f>ROUND($B1283*Y$1162,2)</f>
        <v>0</v>
      </c>
      <c r="Z1283" s="17">
        <f>ROUND($B1283*Z$1162,2)</f>
        <v>0</v>
      </c>
      <c r="AA1283" s="17">
        <f>ROUND($B1283*AA$1162,2)</f>
        <v>0</v>
      </c>
      <c r="AB1283" s="19">
        <f>SUM(U$1162:AA$1162)+(-V$1162+V1267)</f>
        <v>2.2429999999999985E-3</v>
      </c>
      <c r="AC1283" s="67" t="str">
        <f>+F1283</f>
        <v>HL36</v>
      </c>
    </row>
    <row r="1284" spans="1:29" x14ac:dyDescent="0.2">
      <c r="A1284" s="9"/>
      <c r="B1284" s="103">
        <v>-1</v>
      </c>
      <c r="D1284" s="8"/>
      <c r="E1284" s="9"/>
      <c r="F1284" s="36"/>
      <c r="G1284" s="12"/>
      <c r="H1284" s="12"/>
      <c r="J1284" s="12"/>
      <c r="K1284" s="12"/>
      <c r="L1284" s="12"/>
      <c r="M1284" s="12"/>
      <c r="N1284" s="12"/>
      <c r="O1284" s="12"/>
      <c r="P1284" s="12"/>
      <c r="Q1284" s="12"/>
      <c r="R1284" s="38" t="e">
        <f>VLOOKUP((D1285),'Pwr Factor'!$A$1:$B$52,2)</f>
        <v>#N/A</v>
      </c>
      <c r="S1284" s="50">
        <v>0</v>
      </c>
      <c r="T1284" s="12"/>
      <c r="U1284" s="12"/>
      <c r="V1284" s="12"/>
      <c r="W1284" s="12"/>
      <c r="X1284" s="12"/>
      <c r="Y1284" s="12"/>
      <c r="Z1284" s="12"/>
      <c r="AA1284" s="12"/>
    </row>
    <row r="1285" spans="1:29" x14ac:dyDescent="0.2">
      <c r="A1285" s="1" t="s">
        <v>137</v>
      </c>
      <c r="B1285" s="103">
        <f>IF(AND('AES Indiana Bill Calc.'!$D$17="HL3",'AES Indiana Bill Calc.'!$D$18="No",'AES Indiana Bill Calc.'!$D$20="Yes 2026"),'AES Indiana Bill Calc.'!$D$19,-1)</f>
        <v>-1</v>
      </c>
      <c r="C1285" s="103">
        <f>MAX(E1285,$C$905)</f>
        <v>2000</v>
      </c>
      <c r="D1285" s="103" t="b">
        <f>IF(AND('AES Indiana Bill Calc.'!$D$17="HL3",'AES Indiana Bill Calc.'!$D$18="No",'AES Indiana Bill Calc.'!$D$20="Yes 2025"),'AES Indiana Bill Calc.'!$D$22)</f>
        <v>0</v>
      </c>
      <c r="E1285" s="103" t="b">
        <f>IF(AND('AES Indiana Bill Calc.'!$D$17="HL3",'AES Indiana Bill Calc.'!$D$18="No",'AES Indiana Bill Calc.'!$D$20="Yes 2025"),'AES Indiana Bill Calc.'!$D$21)</f>
        <v>0</v>
      </c>
      <c r="F1285" s="36" t="s">
        <v>396</v>
      </c>
      <c r="G1285" s="92" t="e">
        <f>SUM(J1285:M1285,R1285:AA1285)</f>
        <v>#N/A</v>
      </c>
      <c r="H1285" s="19" t="e">
        <f>IF(ISBLANK(B1285),0,+#REF!/B1285)</f>
        <v>#REF!</v>
      </c>
      <c r="J1285" s="51">
        <f>IF(ISBLANK(B1285),0,+J$1162)</f>
        <v>500</v>
      </c>
      <c r="K1285" s="17">
        <f>ROUND($B1285*K$1162,2)</f>
        <v>-0.04</v>
      </c>
      <c r="L1285" s="17">
        <f>IF(ISBLANK($C1285),0,IF($C1285&lt;$C$1163,ROUND($C$1163*$L$1162,2),IF($C1285&gt;L$1163,ROUND(L$1163*L$1162,2),ROUND($C1285*L$1162,2))))</f>
        <v>48180</v>
      </c>
      <c r="M1285" s="17">
        <f>IF($C1285&gt;L$1163,ROUND(($C1285-L$1163)*M$1162,2),0)</f>
        <v>0</v>
      </c>
      <c r="N1285" s="17">
        <f>K1285</f>
        <v>-0.04</v>
      </c>
      <c r="O1285" s="17"/>
      <c r="P1285" s="17"/>
      <c r="Q1285" s="17">
        <f>SUM(L1285:M1285)</f>
        <v>48180</v>
      </c>
      <c r="R1285" s="16" t="e">
        <f>ROUND(SUM(K1285:M1285)*(R1284-1),2)</f>
        <v>#N/A</v>
      </c>
      <c r="S1285" s="17">
        <f>ROUND($B1285*S$1162*S1284,2)</f>
        <v>0</v>
      </c>
      <c r="T1285" s="17">
        <f>ROUND($B1285*T$1162,2)</f>
        <v>0</v>
      </c>
      <c r="U1285" s="17">
        <f>ROUND($B1285*U$1162,2)</f>
        <v>0</v>
      </c>
      <c r="V1285" s="8">
        <f>ROUND($B1285*V$1161,2)</f>
        <v>-0.01</v>
      </c>
      <c r="W1285" s="17">
        <f>ROUND($B1285*W$1162,2)</f>
        <v>0</v>
      </c>
      <c r="X1285" s="17">
        <f>ROUND($B1285*X$1162,2)</f>
        <v>-0.01</v>
      </c>
      <c r="Y1285" s="17">
        <f>ROUND($B1285*Y$1162,2)</f>
        <v>0</v>
      </c>
      <c r="Z1285" s="17">
        <f>ROUND($B1285*Z$1162,2)</f>
        <v>0</v>
      </c>
      <c r="AA1285" s="17">
        <f>ROUND($B1285*AA$1162,2)</f>
        <v>0</v>
      </c>
      <c r="AB1285" s="19">
        <f>SUM(U$1162:AA$1162)+(-V$1162+V1269)</f>
        <v>2.2429999999999985E-3</v>
      </c>
      <c r="AC1285" s="67" t="str">
        <f>+F1285</f>
        <v>HL36</v>
      </c>
    </row>
    <row r="1286" spans="1:29" s="163" customFormat="1" x14ac:dyDescent="0.2">
      <c r="A1286" s="1"/>
      <c r="B1286" s="103">
        <v>-1</v>
      </c>
      <c r="C1286" s="103"/>
      <c r="D1286" s="103"/>
      <c r="E1286" s="103"/>
      <c r="F1286" s="169"/>
      <c r="G1286" s="92"/>
      <c r="H1286" s="166"/>
      <c r="J1286" s="51"/>
      <c r="K1286" s="17"/>
      <c r="L1286" s="17"/>
      <c r="M1286" s="17"/>
      <c r="N1286" s="17"/>
      <c r="O1286" s="17"/>
      <c r="P1286" s="17"/>
      <c r="Q1286" s="17"/>
      <c r="R1286" s="16"/>
      <c r="S1286" s="17"/>
      <c r="T1286" s="17"/>
      <c r="U1286" s="17"/>
      <c r="V1286" s="8"/>
      <c r="W1286" s="17"/>
      <c r="X1286" s="17"/>
      <c r="Y1286" s="17"/>
      <c r="Z1286" s="17"/>
      <c r="AA1286" s="17"/>
      <c r="AB1286" s="166"/>
      <c r="AC1286" s="67"/>
    </row>
    <row r="1287" spans="1:29" x14ac:dyDescent="0.2">
      <c r="B1287" s="103">
        <v>-1</v>
      </c>
      <c r="C1287" s="9"/>
      <c r="D1287" s="8"/>
      <c r="S1287" s="6"/>
      <c r="T1287" s="6"/>
      <c r="U1287" s="6"/>
      <c r="V1287" s="27" t="s">
        <v>244</v>
      </c>
      <c r="W1287" s="6"/>
      <c r="AB1287" s="19"/>
    </row>
    <row r="1288" spans="1:29" x14ac:dyDescent="0.2">
      <c r="B1288" s="103">
        <v>-1</v>
      </c>
      <c r="C1288" s="9"/>
      <c r="D1288" s="8"/>
      <c r="F1288" s="70"/>
      <c r="G1288" s="70"/>
      <c r="H1288" s="70"/>
      <c r="I1288" s="70"/>
      <c r="J1288" s="157">
        <v>508.21</v>
      </c>
      <c r="K1288" s="158">
        <v>6.021E-2</v>
      </c>
      <c r="L1288" s="157">
        <v>15.06</v>
      </c>
      <c r="M1288" s="157">
        <v>15.06</v>
      </c>
      <c r="N1288" s="72"/>
      <c r="O1288" s="72"/>
      <c r="P1288" s="72"/>
      <c r="Q1288" s="72"/>
      <c r="R1288" s="5"/>
      <c r="S1288" s="27">
        <f>S1162</f>
        <v>1.8E-3</v>
      </c>
      <c r="T1288" s="27">
        <f>T1162</f>
        <v>2.3900000000000001E-4</v>
      </c>
      <c r="U1288" s="19">
        <f>$S$34</f>
        <v>1.6930000000000001E-3</v>
      </c>
      <c r="V1288" s="27">
        <f>$T$16</f>
        <v>0</v>
      </c>
      <c r="W1288" s="27">
        <v>0</v>
      </c>
      <c r="X1288" s="27">
        <f>+X1162</f>
        <v>7.084E-3</v>
      </c>
      <c r="Y1288" s="27">
        <f>+Y1162</f>
        <v>-2.5599999999999999E-4</v>
      </c>
      <c r="Z1288" s="27">
        <f>+Z1162</f>
        <v>3.1589999999999999E-3</v>
      </c>
      <c r="AA1288" s="27">
        <f>+AA1162</f>
        <v>5.6300000000000002E-4</v>
      </c>
      <c r="AB1288" s="19">
        <f>SUM(V1288:Z1288)</f>
        <v>9.9869999999999994E-3</v>
      </c>
    </row>
    <row r="1289" spans="1:29" x14ac:dyDescent="0.2">
      <c r="A1289" s="1"/>
      <c r="B1289" s="103">
        <v>-1</v>
      </c>
      <c r="C1289" s="9"/>
      <c r="D1289" s="8"/>
      <c r="F1289" s="70"/>
      <c r="G1289" s="70"/>
      <c r="H1289" s="70"/>
      <c r="I1289" s="70"/>
      <c r="J1289" s="70"/>
      <c r="K1289" s="70"/>
      <c r="L1289" s="73">
        <v>4000</v>
      </c>
      <c r="M1289" s="70"/>
      <c r="N1289" s="70"/>
      <c r="O1289" s="70"/>
      <c r="P1289" s="70"/>
      <c r="Q1289" s="70"/>
    </row>
    <row r="1290" spans="1:29" x14ac:dyDescent="0.2">
      <c r="B1290" s="103">
        <v>-1</v>
      </c>
      <c r="C1290" s="9"/>
      <c r="D1290" s="8"/>
      <c r="F1290" s="12"/>
      <c r="J1290" s="12" t="s">
        <v>127</v>
      </c>
      <c r="K1290" s="12" t="s">
        <v>187</v>
      </c>
      <c r="L1290" s="254" t="s">
        <v>30</v>
      </c>
      <c r="M1290" s="254"/>
      <c r="N1290" s="12"/>
      <c r="O1290" s="12"/>
      <c r="P1290" s="12"/>
      <c r="Q1290" s="140" t="s">
        <v>163</v>
      </c>
      <c r="R1290" s="12" t="s">
        <v>186</v>
      </c>
      <c r="S1290" s="12">
        <v>21</v>
      </c>
      <c r="T1290" s="12">
        <v>6</v>
      </c>
      <c r="U1290" s="12">
        <v>3</v>
      </c>
      <c r="V1290" s="12">
        <v>22</v>
      </c>
      <c r="W1290" s="12">
        <v>13</v>
      </c>
      <c r="X1290" s="12">
        <v>20</v>
      </c>
      <c r="Y1290" s="12">
        <v>24</v>
      </c>
      <c r="Z1290" s="12">
        <v>25</v>
      </c>
      <c r="AA1290" s="12">
        <v>26</v>
      </c>
    </row>
    <row r="1291" spans="1:29" x14ac:dyDescent="0.2">
      <c r="A1291" s="13"/>
      <c r="B1291" s="103">
        <v>-1</v>
      </c>
      <c r="C1291" s="99" t="s">
        <v>199</v>
      </c>
      <c r="D1291" s="100" t="s">
        <v>200</v>
      </c>
      <c r="E1291" s="130" t="s">
        <v>189</v>
      </c>
      <c r="F1291" s="13" t="s">
        <v>131</v>
      </c>
      <c r="G1291" s="13" t="s">
        <v>132</v>
      </c>
      <c r="H1291" s="13" t="s">
        <v>133</v>
      </c>
      <c r="J1291" s="13" t="s">
        <v>134</v>
      </c>
      <c r="K1291" s="13" t="s">
        <v>134</v>
      </c>
      <c r="L1291" s="13" t="s">
        <v>222</v>
      </c>
      <c r="M1291" s="13" t="s">
        <v>223</v>
      </c>
      <c r="N1291" s="140" t="s">
        <v>128</v>
      </c>
      <c r="O1291" s="13"/>
      <c r="P1291" s="13"/>
      <c r="Q1291" s="13"/>
      <c r="R1291" s="13" t="s">
        <v>191</v>
      </c>
      <c r="S1291" s="13" t="s">
        <v>96</v>
      </c>
      <c r="T1291" s="13" t="s">
        <v>36</v>
      </c>
      <c r="U1291" s="136" t="s">
        <v>38</v>
      </c>
      <c r="V1291" s="13" t="s">
        <v>97</v>
      </c>
      <c r="W1291" s="13" t="s">
        <v>98</v>
      </c>
      <c r="X1291" s="13" t="s">
        <v>99</v>
      </c>
      <c r="Y1291" s="136" t="s">
        <v>44</v>
      </c>
      <c r="Z1291" s="136" t="s">
        <v>46</v>
      </c>
      <c r="AA1291" s="136" t="s">
        <v>48</v>
      </c>
      <c r="AB1291" s="66" t="s">
        <v>100</v>
      </c>
    </row>
    <row r="1292" spans="1:29" x14ac:dyDescent="0.2">
      <c r="B1292" s="103">
        <v>-1</v>
      </c>
      <c r="C1292" s="9"/>
      <c r="D1292" s="8"/>
      <c r="F1292" s="36"/>
      <c r="G1292" s="17"/>
      <c r="H1292" s="19"/>
      <c r="J1292" s="8"/>
      <c r="K1292" s="17"/>
      <c r="L1292" s="17"/>
      <c r="M1292" s="17"/>
      <c r="N1292" s="17"/>
      <c r="O1292" s="17"/>
      <c r="P1292" s="17"/>
      <c r="Q1292" s="17"/>
      <c r="R1292" s="38" t="e">
        <f>VLOOKUP((D1293),'Pwr Factor'!$A$1:$B$52,2)</f>
        <v>#N/A</v>
      </c>
      <c r="S1292" s="50">
        <v>1</v>
      </c>
      <c r="T1292" s="17"/>
      <c r="U1292" s="17"/>
      <c r="V1292" s="17"/>
      <c r="W1292" s="17"/>
      <c r="X1292" s="17"/>
      <c r="Y1292" s="17"/>
      <c r="Z1292" s="17"/>
      <c r="AA1292" s="17"/>
    </row>
    <row r="1293" spans="1:29" x14ac:dyDescent="0.2">
      <c r="A1293" s="1" t="s">
        <v>138</v>
      </c>
      <c r="B1293" s="103">
        <f>IF(AND('AES Indiana Bill Calc.'!$D$17="HL4",'AES Indiana Bill Calc.'!$D$18="Yes 100%",'AES Indiana Bill Calc.'!$D$20="No"),'AES Indiana Bill Calc.'!$D$19,-1)</f>
        <v>-1</v>
      </c>
      <c r="C1293" s="103">
        <f>MAX(E1293,$C$905)</f>
        <v>2000</v>
      </c>
      <c r="D1293" s="103" t="b">
        <f>IF(AND('AES Indiana Bill Calc.'!$D$17="HL4",'AES Indiana Bill Calc.'!$D$18="Yes 100%",'AES Indiana Bill Calc.'!$D$20="No"),'AES Indiana Bill Calc.'!$D$22)</f>
        <v>0</v>
      </c>
      <c r="E1293" s="103" t="b">
        <f>IF(AND('AES Indiana Bill Calc.'!$D$17="HL4",'AES Indiana Bill Calc.'!$D$18="Yes 100%",'AES Indiana Bill Calc.'!$D$20="No"),'AES Indiana Bill Calc.'!$D$21)</f>
        <v>0</v>
      </c>
      <c r="F1293" s="36" t="s">
        <v>71</v>
      </c>
      <c r="G1293" s="92" t="e">
        <f>SUM(J1293:M1293,R1293:AA1293)</f>
        <v>#N/A</v>
      </c>
      <c r="H1293" s="19" t="e">
        <f>IF(ISBLANK(B1293),0,+#REF!/B1293)</f>
        <v>#REF!</v>
      </c>
      <c r="J1293" s="51">
        <f>IF(ISBLANK(B1293),0,+J$1162)</f>
        <v>500</v>
      </c>
      <c r="K1293" s="17">
        <f>ROUND($B1293*K$1288,2)</f>
        <v>-0.06</v>
      </c>
      <c r="L1293" s="17">
        <f>IF(ISBLANK($C1293),0,IF($C1293&lt;$C$1163,ROUND($C$1163*$L$1288,2),IF($C1293&gt;L$1289,ROUND(L$1289*L$1288,2),ROUND($C1293*L$1288,2))))</f>
        <v>30120</v>
      </c>
      <c r="M1293" s="17">
        <f>IF($C1293&gt;L$1037,ROUND(($C1293-L$1037)*M$1036,2),0)</f>
        <v>0</v>
      </c>
      <c r="N1293" s="17">
        <f>K1293</f>
        <v>-0.06</v>
      </c>
      <c r="O1293" s="17"/>
      <c r="P1293" s="17"/>
      <c r="Q1293" s="17">
        <f>SUM(L1293:M1293)</f>
        <v>30120</v>
      </c>
      <c r="R1293" s="16" t="e">
        <f>ROUND(SUM(K1293:M1293)*(R1292-1),2)</f>
        <v>#N/A</v>
      </c>
      <c r="S1293" s="17">
        <f>ROUND($B1293*S$1162*S1292,2)</f>
        <v>0</v>
      </c>
      <c r="T1293" s="17">
        <f>ROUND($B1293*T$1288,2)</f>
        <v>0</v>
      </c>
      <c r="U1293" s="17">
        <f>ROUND($B1293*U$1288,2)</f>
        <v>0</v>
      </c>
      <c r="V1293" s="17">
        <f>ROUND($B1293*V$1162,2)</f>
        <v>-0.02</v>
      </c>
      <c r="W1293" s="17">
        <f>ROUND($B1293*W$1288,2)</f>
        <v>0</v>
      </c>
      <c r="X1293" s="17">
        <f>ROUND($B1293*X$1288,2)</f>
        <v>-0.01</v>
      </c>
      <c r="Y1293" s="17">
        <f>ROUND($B1293*Y$1288,2)</f>
        <v>0</v>
      </c>
      <c r="Z1293" s="17">
        <f>ROUND($B1293*Z$1288,2)</f>
        <v>0</v>
      </c>
      <c r="AA1293" s="17">
        <f>ROUND($B1293*AA$1288,2)</f>
        <v>0</v>
      </c>
      <c r="AB1293" s="19">
        <f>SUM(V1215:AA1215)</f>
        <v>-0.01</v>
      </c>
      <c r="AC1293" s="67" t="str">
        <f>+F1293</f>
        <v>HL4</v>
      </c>
    </row>
    <row r="1294" spans="1:29" x14ac:dyDescent="0.2">
      <c r="A1294" s="48"/>
      <c r="B1294" s="103">
        <v>-1</v>
      </c>
      <c r="D1294" s="8"/>
      <c r="E1294" s="9"/>
      <c r="F1294" s="36"/>
      <c r="G1294" s="17"/>
      <c r="H1294" s="19"/>
      <c r="J1294" s="8"/>
      <c r="K1294" s="17"/>
      <c r="L1294" s="17"/>
      <c r="M1294" s="17"/>
      <c r="N1294" s="17"/>
      <c r="O1294" s="17"/>
      <c r="P1294" s="17"/>
      <c r="Q1294" s="17"/>
      <c r="R1294" s="38" t="e">
        <f>VLOOKUP((D1295),'Pwr Factor'!$A$1:$B$52,2)</f>
        <v>#N/A</v>
      </c>
      <c r="S1294" s="50">
        <v>0.5</v>
      </c>
      <c r="T1294" s="17"/>
      <c r="U1294" s="17"/>
      <c r="V1294" s="17"/>
      <c r="W1294" s="17"/>
      <c r="X1294" s="17"/>
      <c r="Y1294" s="17"/>
      <c r="Z1294" s="17"/>
      <c r="AA1294" s="17"/>
    </row>
    <row r="1295" spans="1:29" x14ac:dyDescent="0.2">
      <c r="A1295" s="1" t="s">
        <v>139</v>
      </c>
      <c r="B1295" s="103">
        <f>IF(AND('AES Indiana Bill Calc.'!$D$17="HL4",'AES Indiana Bill Calc.'!$D$18="Yes 50%",'AES Indiana Bill Calc.'!$D$20="No"),'AES Indiana Bill Calc.'!$D$19,-1)</f>
        <v>-1</v>
      </c>
      <c r="C1295" s="103">
        <f>MAX(E1295,$C$905)</f>
        <v>2000</v>
      </c>
      <c r="D1295" s="103" t="b">
        <f>IF(AND('AES Indiana Bill Calc.'!$D$17="HL4",'AES Indiana Bill Calc.'!$D$18="Yes 50%",'AES Indiana Bill Calc.'!$D$20="No"),'AES Indiana Bill Calc.'!$D$22)</f>
        <v>0</v>
      </c>
      <c r="E1295" s="103" t="b">
        <f>IF(AND('AES Indiana Bill Calc.'!$D$17="HL4",'AES Indiana Bill Calc.'!$D$18="Yes 50%",'AES Indiana Bill Calc.'!$D$20="No"),'AES Indiana Bill Calc.'!$D$21)</f>
        <v>0</v>
      </c>
      <c r="F1295" s="36" t="s">
        <v>71</v>
      </c>
      <c r="G1295" s="92" t="e">
        <f>SUM(J1295:M1295,R1295:AA1295)</f>
        <v>#N/A</v>
      </c>
      <c r="H1295" s="19" t="e">
        <f>IF(ISBLANK(B1295),0,+#REF!/B1295)</f>
        <v>#REF!</v>
      </c>
      <c r="J1295" s="51">
        <f>IF(ISBLANK(B1295),0,+J$1162)</f>
        <v>500</v>
      </c>
      <c r="K1295" s="17">
        <f>ROUND($B1295*K$1288,2)</f>
        <v>-0.06</v>
      </c>
      <c r="L1295" s="17">
        <f>IF(ISBLANK($C1295),0,IF($C1295&lt;$C$1163,ROUND($C$1163*$L$1288,2),IF($C1295&gt;L$1289,ROUND(L$1289*L$1288,2),ROUND($C1295*L$1288,2))))</f>
        <v>30120</v>
      </c>
      <c r="M1295" s="17">
        <f>IF($C1295&gt;L$1037,ROUND(($C1295-L$1037)*M$1036,2),0)</f>
        <v>0</v>
      </c>
      <c r="N1295" s="17">
        <f>K1295</f>
        <v>-0.06</v>
      </c>
      <c r="O1295" s="17"/>
      <c r="P1295" s="17"/>
      <c r="Q1295" s="17">
        <f>SUM(L1295:M1295)</f>
        <v>30120</v>
      </c>
      <c r="R1295" s="16" t="e">
        <f>ROUND(SUM(K1295:M1295)*(R1294-1),2)</f>
        <v>#N/A</v>
      </c>
      <c r="S1295" s="17">
        <f>ROUND($B1295*S$1162*S1294,2)</f>
        <v>0</v>
      </c>
      <c r="T1295" s="17">
        <f>ROUND($B1295*T$1288,2)</f>
        <v>0</v>
      </c>
      <c r="U1295" s="17">
        <f>ROUND($B1295*U$1288,2)</f>
        <v>0</v>
      </c>
      <c r="V1295" s="17">
        <f>ROUND($B1295*V$1162,2)</f>
        <v>-0.02</v>
      </c>
      <c r="W1295" s="17">
        <f>ROUND($B1295*W$1288,2)</f>
        <v>0</v>
      </c>
      <c r="X1295" s="17">
        <f>ROUND($B1295*X$1288,2)</f>
        <v>-0.01</v>
      </c>
      <c r="Y1295" s="17">
        <f>ROUND($B1295*Y$1288,2)</f>
        <v>0</v>
      </c>
      <c r="Z1295" s="17">
        <f>ROUND($B1295*Z$1288,2)</f>
        <v>0</v>
      </c>
      <c r="AA1295" s="17">
        <f>ROUND($B1295*AA$1288,2)</f>
        <v>0</v>
      </c>
      <c r="AB1295" s="19">
        <f>SUM(V1217:AA1217)</f>
        <v>-0.01</v>
      </c>
      <c r="AC1295" s="67" t="str">
        <f>+F1295</f>
        <v>HL4</v>
      </c>
    </row>
    <row r="1296" spans="1:29" x14ac:dyDescent="0.2">
      <c r="A1296" s="9"/>
      <c r="B1296" s="103">
        <v>-1</v>
      </c>
      <c r="D1296" s="8"/>
      <c r="E1296" s="9"/>
      <c r="F1296" s="36"/>
      <c r="G1296" s="17"/>
      <c r="H1296" s="19"/>
      <c r="J1296" s="8"/>
      <c r="K1296" s="17"/>
      <c r="L1296" s="17"/>
      <c r="M1296" s="17"/>
      <c r="N1296" s="17"/>
      <c r="O1296" s="17"/>
      <c r="P1296" s="17"/>
      <c r="Q1296" s="17"/>
      <c r="R1296" s="38" t="e">
        <f>VLOOKUP((D1297),'Pwr Factor'!$A$1:$B$52,2)</f>
        <v>#N/A</v>
      </c>
      <c r="S1296" s="50">
        <v>0.25</v>
      </c>
      <c r="T1296" s="17"/>
      <c r="U1296" s="17"/>
      <c r="V1296" s="17"/>
      <c r="W1296" s="17"/>
      <c r="X1296" s="17"/>
      <c r="Y1296" s="17"/>
      <c r="Z1296" s="17"/>
      <c r="AA1296" s="17"/>
    </row>
    <row r="1297" spans="1:29" x14ac:dyDescent="0.2">
      <c r="A1297" s="1" t="s">
        <v>140</v>
      </c>
      <c r="B1297" s="103">
        <f>IF(AND('AES Indiana Bill Calc.'!$D$17="HL4",'AES Indiana Bill Calc.'!$D$18="Yes 25%",'AES Indiana Bill Calc.'!$D$20="No"),'AES Indiana Bill Calc.'!$D$19,-1)</f>
        <v>-1</v>
      </c>
      <c r="C1297" s="103">
        <f>MAX(E1297,$C$905)</f>
        <v>2000</v>
      </c>
      <c r="D1297" s="103" t="b">
        <f>IF(AND('AES Indiana Bill Calc.'!$D$17="HL4",'AES Indiana Bill Calc.'!$D$18="Yes 25%",'AES Indiana Bill Calc.'!$D$20="No"),'AES Indiana Bill Calc.'!$D$22)</f>
        <v>0</v>
      </c>
      <c r="E1297" s="103" t="b">
        <f>IF(AND('AES Indiana Bill Calc.'!$D$17="HL4",'AES Indiana Bill Calc.'!$D$18="Yes 25%",'AES Indiana Bill Calc.'!$D$20="No"),'AES Indiana Bill Calc.'!$D$21)</f>
        <v>0</v>
      </c>
      <c r="F1297" s="36" t="s">
        <v>71</v>
      </c>
      <c r="G1297" s="92" t="e">
        <f>SUM(J1297:M1297,R1297:AA1297)</f>
        <v>#N/A</v>
      </c>
      <c r="H1297" s="19" t="e">
        <f>IF(ISBLANK(B1297),0,+#REF!/B1297)</f>
        <v>#REF!</v>
      </c>
      <c r="J1297" s="51">
        <f>IF(ISBLANK(B1297),0,+J$1162)</f>
        <v>500</v>
      </c>
      <c r="K1297" s="17">
        <f>ROUND($B1297*K$1288,2)</f>
        <v>-0.06</v>
      </c>
      <c r="L1297" s="17">
        <f>IF(ISBLANK($C1297),0,IF($C1297&lt;$C$1163,ROUND($C$1163*$L$1288,2),IF($C1297&gt;L$1289,ROUND(L$1289*L$1288,2),ROUND($C1297*L$1288,2))))</f>
        <v>30120</v>
      </c>
      <c r="M1297" s="17">
        <f>IF($C1297&gt;L$1037,ROUND(($C1297-L$1037)*M$1036,2),0)</f>
        <v>0</v>
      </c>
      <c r="N1297" s="17">
        <f>K1297</f>
        <v>-0.06</v>
      </c>
      <c r="O1297" s="17"/>
      <c r="P1297" s="17"/>
      <c r="Q1297" s="17">
        <f>SUM(L1297:M1297)</f>
        <v>30120</v>
      </c>
      <c r="R1297" s="16" t="e">
        <f>ROUND(SUM(K1297:M1297)*(R1296-1),2)</f>
        <v>#N/A</v>
      </c>
      <c r="S1297" s="17">
        <f>ROUND($B1297*S$1162*S1296,2)</f>
        <v>0</v>
      </c>
      <c r="T1297" s="17">
        <f>ROUND($B1297*T$1288,2)</f>
        <v>0</v>
      </c>
      <c r="U1297" s="17">
        <f>ROUND($B1297*U$1288,2)</f>
        <v>0</v>
      </c>
      <c r="V1297" s="17">
        <f>ROUND($B1297*V$1162,2)</f>
        <v>-0.02</v>
      </c>
      <c r="W1297" s="17">
        <f>ROUND($B1297*W$1288,2)</f>
        <v>0</v>
      </c>
      <c r="X1297" s="17">
        <f>ROUND($B1297*X$1288,2)</f>
        <v>-0.01</v>
      </c>
      <c r="Y1297" s="17">
        <f>ROUND($B1297*Y$1288,2)</f>
        <v>0</v>
      </c>
      <c r="Z1297" s="17">
        <f>ROUND($B1297*Z$1288,2)</f>
        <v>0</v>
      </c>
      <c r="AA1297" s="17">
        <f>ROUND($B1297*AA$1288,2)</f>
        <v>0</v>
      </c>
      <c r="AB1297" s="19">
        <f>SUM(V1219:AA1219)</f>
        <v>-0.01</v>
      </c>
      <c r="AC1297" s="67" t="str">
        <f>+F1297</f>
        <v>HL4</v>
      </c>
    </row>
    <row r="1298" spans="1:29" x14ac:dyDescent="0.2">
      <c r="A1298" s="9"/>
      <c r="B1298" s="103">
        <v>-1</v>
      </c>
      <c r="D1298" s="8"/>
      <c r="E1298" s="9"/>
      <c r="F1298" s="36"/>
      <c r="G1298" s="17"/>
      <c r="H1298" s="19"/>
      <c r="J1298" s="8"/>
      <c r="K1298" s="17"/>
      <c r="L1298" s="17"/>
      <c r="M1298" s="17"/>
      <c r="N1298" s="17"/>
      <c r="O1298" s="17"/>
      <c r="P1298" s="17"/>
      <c r="Q1298" s="17"/>
      <c r="R1298" s="38" t="e">
        <f>VLOOKUP((D1299),'Pwr Factor'!$A$1:$B$52,2)</f>
        <v>#N/A</v>
      </c>
      <c r="S1298" s="50">
        <v>0.1</v>
      </c>
      <c r="T1298" s="17"/>
      <c r="U1298" s="17"/>
      <c r="V1298" s="17"/>
      <c r="W1298" s="17"/>
      <c r="X1298" s="17"/>
      <c r="Y1298" s="17"/>
      <c r="Z1298" s="17"/>
      <c r="AA1298" s="17"/>
    </row>
    <row r="1299" spans="1:29" x14ac:dyDescent="0.2">
      <c r="A1299" s="1" t="s">
        <v>154</v>
      </c>
      <c r="B1299" s="103">
        <f>IF(AND('AES Indiana Bill Calc.'!$D$17="HL4",'AES Indiana Bill Calc.'!$D$18="Yes 10%",'AES Indiana Bill Calc.'!$D$20="No"),'AES Indiana Bill Calc.'!$D$19,-1)</f>
        <v>-1</v>
      </c>
      <c r="C1299" s="103">
        <f>MAX(E1299,$C$905)</f>
        <v>2000</v>
      </c>
      <c r="D1299" s="103" t="b">
        <f>IF(AND('AES Indiana Bill Calc.'!$D$17="HL4",'AES Indiana Bill Calc.'!$D$18="Yes 10%",'AES Indiana Bill Calc.'!$D$20="No"),'AES Indiana Bill Calc.'!$D$22)</f>
        <v>0</v>
      </c>
      <c r="E1299" s="103" t="b">
        <f>IF(AND('AES Indiana Bill Calc.'!$D$17="HL4",'AES Indiana Bill Calc.'!$D$18="Yes 10%",'AES Indiana Bill Calc.'!$D$20="No"),'AES Indiana Bill Calc.'!$D$21)</f>
        <v>0</v>
      </c>
      <c r="F1299" s="36" t="s">
        <v>71</v>
      </c>
      <c r="G1299" s="92" t="e">
        <f>SUM(J1299:M1299,R1299:AA1299)</f>
        <v>#N/A</v>
      </c>
      <c r="H1299" s="19" t="e">
        <f>IF(ISBLANK(B1299),0,+#REF!/B1299)</f>
        <v>#REF!</v>
      </c>
      <c r="J1299" s="51">
        <f>IF(ISBLANK(B1299),0,+J$1162)</f>
        <v>500</v>
      </c>
      <c r="K1299" s="17">
        <f>ROUND($B1299*K$1288,2)</f>
        <v>-0.06</v>
      </c>
      <c r="L1299" s="17">
        <f>IF(ISBLANK($C1299),0,IF($C1299&lt;$C$1163,ROUND($C$1163*$L$1288,2),IF($C1299&gt;L$1289,ROUND(L$1289*L$1288,2),ROUND($C1299*L$1288,2))))</f>
        <v>30120</v>
      </c>
      <c r="M1299" s="17">
        <f>IF($C1299&gt;L$1037,ROUND(($C1299-L$1037)*M$1036,2),0)</f>
        <v>0</v>
      </c>
      <c r="N1299" s="17">
        <f>K1299</f>
        <v>-0.06</v>
      </c>
      <c r="O1299" s="17"/>
      <c r="P1299" s="17"/>
      <c r="Q1299" s="17">
        <f>SUM(L1299:M1299)</f>
        <v>30120</v>
      </c>
      <c r="R1299" s="16" t="e">
        <f>ROUND(SUM(K1299:M1299)*(R1298-1),2)</f>
        <v>#N/A</v>
      </c>
      <c r="S1299" s="17">
        <f>ROUND($B1299*S$1162*S1298,2)</f>
        <v>0</v>
      </c>
      <c r="T1299" s="17">
        <f>ROUND($B1299*T$1288,2)</f>
        <v>0</v>
      </c>
      <c r="U1299" s="17">
        <f>ROUND($B1299*U$1288,2)</f>
        <v>0</v>
      </c>
      <c r="V1299" s="17">
        <f>ROUND($B1299*V$1162,2)</f>
        <v>-0.02</v>
      </c>
      <c r="W1299" s="17">
        <f>ROUND($B1299*W$1288,2)</f>
        <v>0</v>
      </c>
      <c r="X1299" s="17">
        <f>ROUND($B1299*X$1288,2)</f>
        <v>-0.01</v>
      </c>
      <c r="Y1299" s="17">
        <f>ROUND($B1299*Y$1288,2)</f>
        <v>0</v>
      </c>
      <c r="Z1299" s="17">
        <f>ROUND($B1299*Z$1288,2)</f>
        <v>0</v>
      </c>
      <c r="AA1299" s="17">
        <f>ROUND($B1299*AA$1288,2)</f>
        <v>0</v>
      </c>
      <c r="AB1299" s="19">
        <f>SUM(V1221:AA1221)</f>
        <v>-0.01</v>
      </c>
      <c r="AC1299" s="67" t="str">
        <f>+F1299</f>
        <v>HL4</v>
      </c>
    </row>
    <row r="1300" spans="1:29" x14ac:dyDescent="0.2">
      <c r="A1300" s="9"/>
      <c r="B1300" s="103">
        <v>-1</v>
      </c>
      <c r="D1300" s="8"/>
      <c r="E1300" s="9"/>
      <c r="F1300" s="36"/>
      <c r="G1300" s="17"/>
      <c r="H1300" s="19"/>
      <c r="J1300" s="8"/>
      <c r="K1300" s="17"/>
      <c r="L1300" s="17"/>
      <c r="M1300" s="17"/>
      <c r="N1300" s="17"/>
      <c r="O1300" s="17"/>
      <c r="P1300" s="17"/>
      <c r="Q1300" s="17"/>
      <c r="R1300" s="38" t="e">
        <f>VLOOKUP((D1301),'Pwr Factor'!$A$1:$B$52,2)</f>
        <v>#N/A</v>
      </c>
      <c r="S1300" s="50">
        <v>0</v>
      </c>
      <c r="T1300" s="17"/>
      <c r="U1300" s="17"/>
      <c r="V1300" s="17"/>
      <c r="W1300" s="17"/>
      <c r="X1300" s="17"/>
      <c r="Y1300" s="17"/>
      <c r="Z1300" s="17"/>
      <c r="AA1300" s="17"/>
    </row>
    <row r="1301" spans="1:29" x14ac:dyDescent="0.2">
      <c r="A1301" s="1" t="s">
        <v>137</v>
      </c>
      <c r="B1301" s="103">
        <f>IF(AND('AES Indiana Bill Calc.'!$D$17="HL4",'AES Indiana Bill Calc.'!$D$18="No",'AES Indiana Bill Calc.'!$D$20="No"),'AES Indiana Bill Calc.'!$D$19,-1)</f>
        <v>-1</v>
      </c>
      <c r="C1301" s="103">
        <f>MAX(E1301,$C$905)</f>
        <v>2000</v>
      </c>
      <c r="D1301" s="103" t="b">
        <f>IF(AND('AES Indiana Bill Calc.'!$D$17="HL4",'AES Indiana Bill Calc.'!$D$18="No",'AES Indiana Bill Calc.'!$D$20="No"),'AES Indiana Bill Calc.'!$D$22)</f>
        <v>0</v>
      </c>
      <c r="E1301" s="103" t="b">
        <f>IF(AND('AES Indiana Bill Calc.'!$D$17="HL4",'AES Indiana Bill Calc.'!$D$18="No",'AES Indiana Bill Calc.'!$D$20="No"),'AES Indiana Bill Calc.'!$D$21)</f>
        <v>0</v>
      </c>
      <c r="F1301" s="36" t="s">
        <v>71</v>
      </c>
      <c r="G1301" s="92" t="e">
        <f>SUM(J1301:M1301,R1301:AA1301)</f>
        <v>#N/A</v>
      </c>
      <c r="H1301" s="19" t="e">
        <f>IF(ISBLANK(B1301),0,+#REF!/B1301)</f>
        <v>#REF!</v>
      </c>
      <c r="J1301" s="51">
        <f>IF(ISBLANK(B1301),0,+J$1162)</f>
        <v>500</v>
      </c>
      <c r="K1301" s="17">
        <f>ROUND($B1301*K$1288,2)</f>
        <v>-0.06</v>
      </c>
      <c r="L1301" s="17">
        <f>IF(ISBLANK($C1301),0,IF($C1301&lt;$C$1163,ROUND($C$1163*$L$1288,2),IF($C1301&gt;L$1289,ROUND(L$1289*L$1288,2),ROUND($C1301*L$1288,2))))</f>
        <v>30120</v>
      </c>
      <c r="M1301" s="17">
        <f>IF($C1301&gt;L$1037,ROUND(($C1301-L$1037)*M$1036,2),0)</f>
        <v>0</v>
      </c>
      <c r="N1301" s="17">
        <f>K1301</f>
        <v>-0.06</v>
      </c>
      <c r="O1301" s="17"/>
      <c r="P1301" s="17"/>
      <c r="Q1301" s="17">
        <f>SUM(L1301:M1301)</f>
        <v>30120</v>
      </c>
      <c r="R1301" s="16" t="e">
        <f>ROUND(SUM(K1301:M1301)*(R1300-1),2)</f>
        <v>#N/A</v>
      </c>
      <c r="S1301" s="17">
        <f>ROUND($B1301*S$1162*S1300,2)</f>
        <v>0</v>
      </c>
      <c r="T1301" s="17">
        <f>ROUND($B1301*T$1288,2)</f>
        <v>0</v>
      </c>
      <c r="U1301" s="17">
        <f>ROUND($B1301*U$1288,2)</f>
        <v>0</v>
      </c>
      <c r="V1301" s="17">
        <f>ROUND($B1301*V$1162,2)</f>
        <v>-0.02</v>
      </c>
      <c r="W1301" s="17">
        <f>ROUND($B1301*W$1288,2)</f>
        <v>0</v>
      </c>
      <c r="X1301" s="17">
        <f>ROUND($B1301*X$1288,2)</f>
        <v>-0.01</v>
      </c>
      <c r="Y1301" s="17">
        <f>ROUND($B1301*Y$1288,2)</f>
        <v>0</v>
      </c>
      <c r="Z1301" s="17">
        <f>ROUND($B1301*Z$1288,2)</f>
        <v>0</v>
      </c>
      <c r="AA1301" s="17">
        <f>ROUND($B1301*AA$1288,2)</f>
        <v>0</v>
      </c>
      <c r="AB1301" s="19">
        <f>SUM(V1223:AA1223)</f>
        <v>-0.01</v>
      </c>
      <c r="AC1301" s="67" t="str">
        <f>+F1301</f>
        <v>HL4</v>
      </c>
    </row>
    <row r="1302" spans="1:29" x14ac:dyDescent="0.2">
      <c r="B1302" s="103">
        <v>-1</v>
      </c>
      <c r="D1302" s="8"/>
      <c r="E1302" s="9"/>
      <c r="F1302" s="36"/>
      <c r="G1302" s="17"/>
      <c r="H1302" s="19"/>
      <c r="J1302" s="8"/>
      <c r="K1302" s="17"/>
      <c r="L1302" s="17"/>
      <c r="M1302" s="17"/>
      <c r="N1302" s="17"/>
      <c r="O1302" s="17"/>
      <c r="P1302" s="17"/>
      <c r="Q1302" s="17"/>
      <c r="R1302" s="38" t="e">
        <f>VLOOKUP((D1303),'Pwr Factor'!$A$1:$B$52,2)</f>
        <v>#N/A</v>
      </c>
      <c r="S1302" s="50">
        <v>1</v>
      </c>
      <c r="T1302" s="17"/>
      <c r="U1302" s="17"/>
      <c r="V1302" s="17"/>
      <c r="W1302" s="17"/>
      <c r="X1302" s="17"/>
      <c r="Y1302" s="17"/>
      <c r="Z1302" s="17"/>
      <c r="AA1302" s="17"/>
    </row>
    <row r="1303" spans="1:29" x14ac:dyDescent="0.2">
      <c r="A1303" s="1" t="s">
        <v>138</v>
      </c>
      <c r="B1303" s="103">
        <f>IF(AND('AES Indiana Bill Calc.'!$D$17="HL4",'AES Indiana Bill Calc.'!$D$18="Yes 100%",'AES Indiana Bill Calc.'!$D$20="Yes Before 2018"),'AES Indiana Bill Calc.'!$D$19,-1)</f>
        <v>-1</v>
      </c>
      <c r="C1303" s="103">
        <f>MAX(E1303,$C$905)</f>
        <v>2000</v>
      </c>
      <c r="D1303" s="103" t="b">
        <f>IF(AND('AES Indiana Bill Calc.'!$D$17="HL4",'AES Indiana Bill Calc.'!$D$18="Yes 100%",'AES Indiana Bill Calc.'!$D$20="Yes Before 2018"),'AES Indiana Bill Calc.'!$D$22)</f>
        <v>0</v>
      </c>
      <c r="E1303" s="103" t="b">
        <f>IF(AND('AES Indiana Bill Calc.'!$D$17="HL4",'AES Indiana Bill Calc.'!$D$18="Yes 100%",'AES Indiana Bill Calc.'!$D$20="Yes Before 2018"),'AES Indiana Bill Calc.'!$D$21)</f>
        <v>0</v>
      </c>
      <c r="F1303" s="36" t="s">
        <v>245</v>
      </c>
      <c r="G1303" s="92" t="e">
        <f>SUM(J1303:M1303,R1303:AA1303)</f>
        <v>#N/A</v>
      </c>
      <c r="H1303" s="19" t="e">
        <f>IF(ISBLANK(B1303),0,+#REF!/B1303)</f>
        <v>#REF!</v>
      </c>
      <c r="J1303" s="51">
        <f>IF(ISBLANK(B1303),0,+J$1162)</f>
        <v>500</v>
      </c>
      <c r="K1303" s="17">
        <f>ROUND($B1303*K$1288,2)</f>
        <v>-0.06</v>
      </c>
      <c r="L1303" s="17">
        <f>IF(ISBLANK($C1303),0,IF($C1303&lt;$C$1163,ROUND($C$1163*$L$1288,2),IF($C1303&gt;L$1289,ROUND(L$1289*L$1288,2),ROUND($C1303*L$1288,2))))</f>
        <v>30120</v>
      </c>
      <c r="M1303" s="17">
        <f>IF($C1303&gt;L$1037,ROUND(($C1303-L$1037)*M$1036,2),0)</f>
        <v>0</v>
      </c>
      <c r="N1303" s="17">
        <f>K1303</f>
        <v>-0.06</v>
      </c>
      <c r="O1303" s="17"/>
      <c r="P1303" s="17"/>
      <c r="Q1303" s="17">
        <f>SUM(L1303:M1303)</f>
        <v>30120</v>
      </c>
      <c r="R1303" s="16" t="e">
        <f>ROUND(SUM(K1303:M1303)*(R1302-1),2)</f>
        <v>#N/A</v>
      </c>
      <c r="S1303" s="17">
        <f>ROUND($B1303*S$1162*S1302,2)</f>
        <v>0</v>
      </c>
      <c r="T1303" s="17">
        <f>ROUND($B1303*T$1288,2)</f>
        <v>0</v>
      </c>
      <c r="U1303" s="17">
        <f>ROUND($B1303*U$1288,2)</f>
        <v>0</v>
      </c>
      <c r="V1303" s="17">
        <f>ROUND($B1303*V$1152,2)</f>
        <v>0</v>
      </c>
      <c r="W1303" s="17">
        <f>ROUND($B1303*W$1288,2)</f>
        <v>0</v>
      </c>
      <c r="X1303" s="17">
        <f>ROUND($B1303*X$1288,2)</f>
        <v>-0.01</v>
      </c>
      <c r="Y1303" s="17">
        <f>ROUND($B1303*Y$1288,2)</f>
        <v>0</v>
      </c>
      <c r="Z1303" s="17">
        <f>ROUND($B1303*Z$1288,2)</f>
        <v>0</v>
      </c>
      <c r="AA1303" s="17">
        <f>ROUND($B1303*AA$1288,2)</f>
        <v>0</v>
      </c>
      <c r="AB1303" s="19">
        <f>SUM(V1225:AA1225)</f>
        <v>-0.01</v>
      </c>
      <c r="AC1303" s="67" t="str">
        <f>+F1303</f>
        <v>HL47</v>
      </c>
    </row>
    <row r="1304" spans="1:29" x14ac:dyDescent="0.2">
      <c r="A1304" s="48"/>
      <c r="B1304" s="103">
        <v>-1</v>
      </c>
      <c r="D1304" s="8"/>
      <c r="E1304" s="9"/>
      <c r="F1304" s="36"/>
      <c r="G1304" s="17"/>
      <c r="H1304" s="19"/>
      <c r="J1304" s="8"/>
      <c r="K1304" s="17"/>
      <c r="L1304" s="17"/>
      <c r="M1304" s="17"/>
      <c r="N1304" s="17"/>
      <c r="O1304" s="17"/>
      <c r="P1304" s="17"/>
      <c r="Q1304" s="17"/>
      <c r="R1304" s="38" t="e">
        <f>VLOOKUP((D1305),'Pwr Factor'!$A$1:$B$52,2)</f>
        <v>#N/A</v>
      </c>
      <c r="S1304" s="50">
        <v>0.5</v>
      </c>
      <c r="T1304" s="17"/>
      <c r="U1304" s="17"/>
      <c r="V1304" s="17"/>
      <c r="W1304" s="17"/>
      <c r="X1304" s="17"/>
      <c r="Y1304" s="17"/>
      <c r="Z1304" s="17"/>
      <c r="AA1304" s="17"/>
    </row>
    <row r="1305" spans="1:29" x14ac:dyDescent="0.2">
      <c r="A1305" s="1" t="s">
        <v>139</v>
      </c>
      <c r="B1305" s="103">
        <f>IF(AND('AES Indiana Bill Calc.'!$D$17="HL4",'AES Indiana Bill Calc.'!$D$18="Yes 50%",'AES Indiana Bill Calc.'!$D$20="Yes Before 2018"),'AES Indiana Bill Calc.'!$D$19,-1)</f>
        <v>-1</v>
      </c>
      <c r="C1305" s="103">
        <f>MAX(E1305,$C$905)</f>
        <v>2000</v>
      </c>
      <c r="D1305" s="103" t="b">
        <f>IF(AND('AES Indiana Bill Calc.'!$D$17="HL4",'AES Indiana Bill Calc.'!$D$18="Yes 50%",'AES Indiana Bill Calc.'!$D$20="Yes Before 2018"),'AES Indiana Bill Calc.'!$D$22)</f>
        <v>0</v>
      </c>
      <c r="E1305" s="103" t="b">
        <f>IF(AND('AES Indiana Bill Calc.'!$D$17="HL4",'AES Indiana Bill Calc.'!$D$18="Yes 50%",'AES Indiana Bill Calc.'!$D$20="Yes Before 2018"),'AES Indiana Bill Calc.'!$D$21)</f>
        <v>0</v>
      </c>
      <c r="F1305" s="36" t="s">
        <v>245</v>
      </c>
      <c r="G1305" s="92" t="e">
        <f>SUM(J1305:M1305,R1305:AA1305)</f>
        <v>#N/A</v>
      </c>
      <c r="H1305" s="19" t="e">
        <f>IF(ISBLANK(B1305),0,+#REF!/B1305)</f>
        <v>#REF!</v>
      </c>
      <c r="J1305" s="51">
        <f>IF(ISBLANK(B1305),0,+J$1162)</f>
        <v>500</v>
      </c>
      <c r="K1305" s="17">
        <f>ROUND($B1305*K$1288,2)</f>
        <v>-0.06</v>
      </c>
      <c r="L1305" s="17">
        <f>IF(ISBLANK($C1305),0,IF($C1305&lt;$C$1163,ROUND($C$1163*$L$1288,2),IF($C1305&gt;L$1289,ROUND(L$1289*L$1288,2),ROUND($C1305*L$1288,2))))</f>
        <v>30120</v>
      </c>
      <c r="M1305" s="17">
        <f>IF($C1305&gt;L$1037,ROUND(($C1305-L$1037)*M$1036,2),0)</f>
        <v>0</v>
      </c>
      <c r="N1305" s="17">
        <f>K1305</f>
        <v>-0.06</v>
      </c>
      <c r="O1305" s="17"/>
      <c r="P1305" s="17"/>
      <c r="Q1305" s="17">
        <f>SUM(L1305:M1305)</f>
        <v>30120</v>
      </c>
      <c r="R1305" s="16" t="e">
        <f>ROUND(SUM(K1305:M1305)*(R1304-1),2)</f>
        <v>#N/A</v>
      </c>
      <c r="S1305" s="17">
        <f>ROUND($B1305*S$1162*S1304,2)</f>
        <v>0</v>
      </c>
      <c r="T1305" s="17">
        <f>ROUND($B1305*T$1288,2)</f>
        <v>0</v>
      </c>
      <c r="U1305" s="17">
        <f>ROUND($B1305*U$1288,2)</f>
        <v>0</v>
      </c>
      <c r="V1305" s="17">
        <f>ROUND($B1305*V$1152,2)</f>
        <v>0</v>
      </c>
      <c r="W1305" s="17">
        <f>ROUND($B1305*W$1288,2)</f>
        <v>0</v>
      </c>
      <c r="X1305" s="17">
        <f>ROUND($B1305*X$1288,2)</f>
        <v>-0.01</v>
      </c>
      <c r="Y1305" s="17">
        <f>ROUND($B1305*Y$1288,2)</f>
        <v>0</v>
      </c>
      <c r="Z1305" s="17">
        <f>ROUND($B1305*Z$1288,2)</f>
        <v>0</v>
      </c>
      <c r="AA1305" s="17">
        <f>ROUND($B1305*AA$1288,2)</f>
        <v>0</v>
      </c>
      <c r="AB1305" s="19">
        <f>SUM(V1227:AA1227)</f>
        <v>-0.01</v>
      </c>
      <c r="AC1305" s="67" t="str">
        <f>+F1305</f>
        <v>HL47</v>
      </c>
    </row>
    <row r="1306" spans="1:29" x14ac:dyDescent="0.2">
      <c r="A1306" s="9"/>
      <c r="B1306" s="103">
        <v>-1</v>
      </c>
      <c r="D1306" s="8"/>
      <c r="E1306" s="9"/>
      <c r="F1306" s="36"/>
      <c r="G1306" s="17"/>
      <c r="H1306" s="19"/>
      <c r="J1306" s="8"/>
      <c r="K1306" s="17"/>
      <c r="L1306" s="17"/>
      <c r="M1306" s="17"/>
      <c r="N1306" s="17"/>
      <c r="O1306" s="17"/>
      <c r="P1306" s="17"/>
      <c r="Q1306" s="17"/>
      <c r="R1306" s="38" t="e">
        <f>VLOOKUP((D1307),'Pwr Factor'!$A$1:$B$52,2)</f>
        <v>#N/A</v>
      </c>
      <c r="S1306" s="50">
        <v>0.25</v>
      </c>
      <c r="T1306" s="17"/>
      <c r="U1306" s="17"/>
      <c r="V1306" s="17"/>
      <c r="W1306" s="17"/>
      <c r="X1306" s="17"/>
      <c r="Y1306" s="17"/>
      <c r="Z1306" s="17"/>
      <c r="AA1306" s="17"/>
    </row>
    <row r="1307" spans="1:29" x14ac:dyDescent="0.2">
      <c r="A1307" s="1" t="s">
        <v>140</v>
      </c>
      <c r="B1307" s="103">
        <f>IF(AND('AES Indiana Bill Calc.'!$D$17="HL4",'AES Indiana Bill Calc.'!$D$18="Yes 25%",'AES Indiana Bill Calc.'!$D$20="Yes Before 2018"),'AES Indiana Bill Calc.'!$D$19,-1)</f>
        <v>-1</v>
      </c>
      <c r="C1307" s="103">
        <f>MAX(E1307,$C$905)</f>
        <v>2000</v>
      </c>
      <c r="D1307" s="103" t="b">
        <f>IF(AND('AES Indiana Bill Calc.'!$D$17="HL4",'AES Indiana Bill Calc.'!$D$18="Yes 25%",'AES Indiana Bill Calc.'!$D$20="Yes Before 2018"),'AES Indiana Bill Calc.'!$D$22)</f>
        <v>0</v>
      </c>
      <c r="E1307" s="103" t="b">
        <f>IF(AND('AES Indiana Bill Calc.'!$D$17="HL4",'AES Indiana Bill Calc.'!$D$18="Yes 25%",'AES Indiana Bill Calc.'!$D$20="Yes Before 2018"),'AES Indiana Bill Calc.'!$D$21)</f>
        <v>0</v>
      </c>
      <c r="F1307" s="36" t="s">
        <v>245</v>
      </c>
      <c r="G1307" s="92" t="e">
        <f>SUM(J1307:M1307,R1307:AA1307)</f>
        <v>#N/A</v>
      </c>
      <c r="H1307" s="19" t="e">
        <f>IF(ISBLANK(B1307),0,+#REF!/B1307)</f>
        <v>#REF!</v>
      </c>
      <c r="J1307" s="51">
        <f>IF(ISBLANK(B1307),0,+J$1162)</f>
        <v>500</v>
      </c>
      <c r="K1307" s="17">
        <f>ROUND($B1307*K$1288,2)</f>
        <v>-0.06</v>
      </c>
      <c r="L1307" s="17">
        <f>IF(ISBLANK($C1307),0,IF($C1307&lt;$C$1163,ROUND($C$1163*$L$1288,2),IF($C1307&gt;L$1289,ROUND(L$1289*L$1288,2),ROUND($C1307*L$1288,2))))</f>
        <v>30120</v>
      </c>
      <c r="M1307" s="17">
        <f>IF($C1307&gt;L$1037,ROUND(($C1307-L$1037)*M$1036,2),0)</f>
        <v>0</v>
      </c>
      <c r="N1307" s="17">
        <f>K1307</f>
        <v>-0.06</v>
      </c>
      <c r="O1307" s="17"/>
      <c r="P1307" s="17"/>
      <c r="Q1307" s="17">
        <f>SUM(L1307:M1307)</f>
        <v>30120</v>
      </c>
      <c r="R1307" s="16" t="e">
        <f>ROUND(SUM(K1307:M1307)*(R1306-1),2)</f>
        <v>#N/A</v>
      </c>
      <c r="S1307" s="17">
        <f>ROUND($B1307*S$1162*S1306,2)</f>
        <v>0</v>
      </c>
      <c r="T1307" s="17">
        <f>ROUND($B1307*T$1288,2)</f>
        <v>0</v>
      </c>
      <c r="U1307" s="17">
        <f>ROUND($B1307*U$1288,2)</f>
        <v>0</v>
      </c>
      <c r="V1307" s="17">
        <f>ROUND($B1307*V$1152,2)</f>
        <v>0</v>
      </c>
      <c r="W1307" s="17">
        <f>ROUND($B1307*W$1288,2)</f>
        <v>0</v>
      </c>
      <c r="X1307" s="17">
        <f>ROUND($B1307*X$1288,2)</f>
        <v>-0.01</v>
      </c>
      <c r="Y1307" s="17">
        <f>ROUND($B1307*Y$1288,2)</f>
        <v>0</v>
      </c>
      <c r="Z1307" s="17">
        <f>ROUND($B1307*Z$1288,2)</f>
        <v>0</v>
      </c>
      <c r="AA1307" s="17">
        <f>ROUND($B1307*AA$1288,2)</f>
        <v>0</v>
      </c>
      <c r="AB1307" s="19">
        <f>SUM(V1229:AA1229)</f>
        <v>-0.01</v>
      </c>
      <c r="AC1307" s="67" t="str">
        <f>+F1307</f>
        <v>HL47</v>
      </c>
    </row>
    <row r="1308" spans="1:29" x14ac:dyDescent="0.2">
      <c r="A1308" s="9"/>
      <c r="B1308" s="103">
        <v>-1</v>
      </c>
      <c r="D1308" s="8"/>
      <c r="E1308" s="9"/>
      <c r="F1308" s="36"/>
      <c r="G1308" s="17"/>
      <c r="H1308" s="19"/>
      <c r="J1308" s="8"/>
      <c r="K1308" s="17"/>
      <c r="L1308" s="17"/>
      <c r="M1308" s="17"/>
      <c r="N1308" s="17"/>
      <c r="O1308" s="17"/>
      <c r="P1308" s="17"/>
      <c r="Q1308" s="17"/>
      <c r="R1308" s="38" t="e">
        <f>VLOOKUP((D1309),'Pwr Factor'!$A$1:$B$52,2)</f>
        <v>#N/A</v>
      </c>
      <c r="S1308" s="50">
        <v>0.1</v>
      </c>
      <c r="T1308" s="17"/>
      <c r="U1308" s="17"/>
      <c r="V1308" s="17"/>
      <c r="W1308" s="17"/>
      <c r="X1308" s="17"/>
      <c r="Y1308" s="17"/>
      <c r="Z1308" s="17"/>
      <c r="AA1308" s="17"/>
    </row>
    <row r="1309" spans="1:29" x14ac:dyDescent="0.2">
      <c r="A1309" s="1" t="s">
        <v>154</v>
      </c>
      <c r="B1309" s="103">
        <f>IF(AND('AES Indiana Bill Calc.'!$D$17="HL4",'AES Indiana Bill Calc.'!$D$18="Yes 10%",'AES Indiana Bill Calc.'!$D$20="Yes Before 2018"),'AES Indiana Bill Calc.'!$D$19,-1)</f>
        <v>-1</v>
      </c>
      <c r="C1309" s="103">
        <f>MAX(E1309,$C$905)</f>
        <v>2000</v>
      </c>
      <c r="D1309" s="103" t="b">
        <f>IF(AND('AES Indiana Bill Calc.'!$D$17="HL4",'AES Indiana Bill Calc.'!$D$18="Yes 10%",'AES Indiana Bill Calc.'!$D$20="Yes Before 2018"),'AES Indiana Bill Calc.'!$D$22)</f>
        <v>0</v>
      </c>
      <c r="E1309" s="103" t="b">
        <f>IF(AND('AES Indiana Bill Calc.'!$D$17="HL4",'AES Indiana Bill Calc.'!$D$18="Yes 10%",'AES Indiana Bill Calc.'!$D$20="Yes Before 2018"),'AES Indiana Bill Calc.'!$D$21)</f>
        <v>0</v>
      </c>
      <c r="F1309" s="36" t="s">
        <v>245</v>
      </c>
      <c r="G1309" s="92" t="e">
        <f>SUM(J1309:M1309,R1309:AA1309)</f>
        <v>#N/A</v>
      </c>
      <c r="H1309" s="19" t="e">
        <f>IF(ISBLANK(B1309),0,+#REF!/B1309)</f>
        <v>#REF!</v>
      </c>
      <c r="J1309" s="51">
        <f>IF(ISBLANK(B1309),0,+J$1162)</f>
        <v>500</v>
      </c>
      <c r="K1309" s="17">
        <f>ROUND($B1309*K$1288,2)</f>
        <v>-0.06</v>
      </c>
      <c r="L1309" s="17">
        <f>IF(ISBLANK($C1309),0,IF($C1309&lt;$C$1163,ROUND($C$1163*$L$1288,2),IF($C1309&gt;L$1289,ROUND(L$1289*L$1288,2),ROUND($C1309*L$1288,2))))</f>
        <v>30120</v>
      </c>
      <c r="M1309" s="17">
        <f>IF($C1309&gt;L$1037,ROUND(($C1309-L$1037)*M$1036,2),0)</f>
        <v>0</v>
      </c>
      <c r="N1309" s="17">
        <f>K1309</f>
        <v>-0.06</v>
      </c>
      <c r="O1309" s="17"/>
      <c r="P1309" s="17"/>
      <c r="Q1309" s="17">
        <f>SUM(L1309:M1309)</f>
        <v>30120</v>
      </c>
      <c r="R1309" s="16" t="e">
        <f>ROUND(SUM(K1309:M1309)*(R1308-1),2)</f>
        <v>#N/A</v>
      </c>
      <c r="S1309" s="17">
        <f>ROUND($B1309*S$1162*S1308,2)</f>
        <v>0</v>
      </c>
      <c r="T1309" s="17">
        <f>ROUND($B1309*T$1288,2)</f>
        <v>0</v>
      </c>
      <c r="U1309" s="17">
        <f>ROUND($B1309*U$1288,2)</f>
        <v>0</v>
      </c>
      <c r="V1309" s="17">
        <f>ROUND($B1309*V$1152,2)</f>
        <v>0</v>
      </c>
      <c r="W1309" s="17">
        <f>ROUND($B1309*W$1288,2)</f>
        <v>0</v>
      </c>
      <c r="X1309" s="17">
        <f>ROUND($B1309*X$1288,2)</f>
        <v>-0.01</v>
      </c>
      <c r="Y1309" s="17">
        <f>ROUND($B1309*Y$1288,2)</f>
        <v>0</v>
      </c>
      <c r="Z1309" s="17">
        <f>ROUND($B1309*Z$1288,2)</f>
        <v>0</v>
      </c>
      <c r="AA1309" s="17">
        <f>ROUND($B1309*AA$1288,2)</f>
        <v>0</v>
      </c>
      <c r="AB1309" s="19">
        <f>SUM(V1231:AA1231)</f>
        <v>-0.01</v>
      </c>
      <c r="AC1309" s="67" t="str">
        <f>+F1309</f>
        <v>HL47</v>
      </c>
    </row>
    <row r="1310" spans="1:29" x14ac:dyDescent="0.2">
      <c r="A1310" s="9"/>
      <c r="B1310" s="103">
        <v>-1</v>
      </c>
      <c r="D1310" s="8"/>
      <c r="E1310" s="9"/>
      <c r="F1310" s="36"/>
      <c r="G1310" s="17"/>
      <c r="H1310" s="19"/>
      <c r="J1310" s="8"/>
      <c r="K1310" s="17"/>
      <c r="L1310" s="17"/>
      <c r="M1310" s="17"/>
      <c r="N1310" s="17"/>
      <c r="O1310" s="17"/>
      <c r="P1310" s="17"/>
      <c r="Q1310" s="17"/>
      <c r="R1310" s="38" t="e">
        <f>VLOOKUP((D1311),'Pwr Factor'!$A$1:$B$52,2)</f>
        <v>#N/A</v>
      </c>
      <c r="S1310" s="50">
        <v>0</v>
      </c>
      <c r="T1310" s="17"/>
      <c r="U1310" s="17"/>
      <c r="V1310" s="17"/>
      <c r="W1310" s="17"/>
      <c r="X1310" s="17"/>
      <c r="Y1310" s="17"/>
      <c r="Z1310" s="17"/>
      <c r="AA1310" s="17"/>
    </row>
    <row r="1311" spans="1:29" x14ac:dyDescent="0.2">
      <c r="A1311" s="1" t="s">
        <v>137</v>
      </c>
      <c r="B1311" s="103">
        <f>IF(AND('AES Indiana Bill Calc.'!$D$17="HL4",'AES Indiana Bill Calc.'!$D$18="No",'AES Indiana Bill Calc.'!$D$20="Yes Before 2018"),'AES Indiana Bill Calc.'!$D$19,-1)</f>
        <v>-1</v>
      </c>
      <c r="C1311" s="103">
        <f>MAX(E1311,$C$905)</f>
        <v>2000</v>
      </c>
      <c r="D1311" s="103" t="b">
        <f>IF(AND('AES Indiana Bill Calc.'!$D$17="HL4",'AES Indiana Bill Calc.'!$D$18="No",'AES Indiana Bill Calc.'!$D$20="Yes Before 2018"),'AES Indiana Bill Calc.'!$D$22)</f>
        <v>0</v>
      </c>
      <c r="E1311" s="103" t="b">
        <f>IF(AND('AES Indiana Bill Calc.'!$D$17="HL4",'AES Indiana Bill Calc.'!$D$18="No",'AES Indiana Bill Calc.'!$D$20="Yes Before 2018"),'AES Indiana Bill Calc.'!$D$21)</f>
        <v>0</v>
      </c>
      <c r="F1311" s="36" t="s">
        <v>245</v>
      </c>
      <c r="G1311" s="92" t="e">
        <f>SUM(J1311:M1311,R1311:AA1311)</f>
        <v>#N/A</v>
      </c>
      <c r="H1311" s="19" t="e">
        <f>IF(ISBLANK(B1311),0,+#REF!/B1311)</f>
        <v>#REF!</v>
      </c>
      <c r="J1311" s="51">
        <f>IF(ISBLANK(B1311),0,+J$1162)</f>
        <v>500</v>
      </c>
      <c r="K1311" s="17">
        <f>ROUND($B1311*K$1288,2)</f>
        <v>-0.06</v>
      </c>
      <c r="L1311" s="17">
        <f>IF(ISBLANK($C1311),0,IF($C1311&lt;$C$1163,ROUND($C$1163*$L$1288,2),IF($C1311&gt;L$1289,ROUND(L$1289*L$1288,2),ROUND($C1311*L$1288,2))))</f>
        <v>30120</v>
      </c>
      <c r="M1311" s="17">
        <f>IF($C1311&gt;L$1037,ROUND(($C1311-L$1037)*M$1036,2),0)</f>
        <v>0</v>
      </c>
      <c r="N1311" s="17">
        <f>K1311</f>
        <v>-0.06</v>
      </c>
      <c r="O1311" s="17"/>
      <c r="P1311" s="17"/>
      <c r="Q1311" s="17">
        <f>SUM(L1311:M1311)</f>
        <v>30120</v>
      </c>
      <c r="R1311" s="16" t="e">
        <f>ROUND(SUM(K1311:M1311)*(R1310-1),2)</f>
        <v>#N/A</v>
      </c>
      <c r="S1311" s="17">
        <f>ROUND($B1311*S$1162*S1310,2)</f>
        <v>0</v>
      </c>
      <c r="T1311" s="17">
        <f>ROUND($B1311*T$1288,2)</f>
        <v>0</v>
      </c>
      <c r="U1311" s="17">
        <f>ROUND($B1311*U$1288,2)</f>
        <v>0</v>
      </c>
      <c r="V1311" s="17">
        <f>ROUND($B1311*V$1152,2)</f>
        <v>0</v>
      </c>
      <c r="W1311" s="17">
        <f>ROUND($B1311*W$1288,2)</f>
        <v>0</v>
      </c>
      <c r="X1311" s="17">
        <f>ROUND($B1311*X$1288,2)</f>
        <v>-0.01</v>
      </c>
      <c r="Y1311" s="17">
        <f>ROUND($B1311*Y$1288,2)</f>
        <v>0</v>
      </c>
      <c r="Z1311" s="17">
        <f>ROUND($B1311*Z$1288,2)</f>
        <v>0</v>
      </c>
      <c r="AA1311" s="17">
        <f>ROUND($B1311*AA$1288,2)</f>
        <v>0</v>
      </c>
      <c r="AB1311" s="19">
        <f>SUM(V1233:AA1233)</f>
        <v>-0.01</v>
      </c>
      <c r="AC1311" s="67" t="str">
        <f>+F1311</f>
        <v>HL47</v>
      </c>
    </row>
    <row r="1312" spans="1:29" x14ac:dyDescent="0.2">
      <c r="B1312" s="103">
        <v>-1</v>
      </c>
      <c r="D1312" s="8"/>
      <c r="E1312" s="9"/>
      <c r="F1312" s="36"/>
      <c r="G1312" s="17"/>
      <c r="H1312" s="19"/>
      <c r="J1312" s="8"/>
      <c r="K1312" s="17"/>
      <c r="L1312" s="17"/>
      <c r="M1312" s="17"/>
      <c r="N1312" s="17"/>
      <c r="O1312" s="17"/>
      <c r="P1312" s="17"/>
      <c r="Q1312" s="17"/>
      <c r="R1312" s="38" t="e">
        <f>VLOOKUP((D1313),'Pwr Factor'!$A$1:$B$52,2)</f>
        <v>#N/A</v>
      </c>
      <c r="S1312" s="50">
        <v>1</v>
      </c>
      <c r="T1312" s="17"/>
      <c r="U1312" s="17"/>
      <c r="V1312" s="17"/>
      <c r="W1312" s="17"/>
      <c r="X1312" s="17"/>
      <c r="Y1312" s="17"/>
      <c r="Z1312" s="17"/>
      <c r="AA1312" s="17"/>
    </row>
    <row r="1313" spans="1:29" x14ac:dyDescent="0.2">
      <c r="A1313" s="1" t="s">
        <v>138</v>
      </c>
      <c r="B1313" s="103">
        <f>IF(AND('AES Indiana Bill Calc.'!$D$17="HL4",'AES Indiana Bill Calc.'!$D$18="Yes 100%",'AES Indiana Bill Calc.'!$D$20="Yes 2018"),'AES Indiana Bill Calc.'!$D$19,-1)</f>
        <v>-1</v>
      </c>
      <c r="C1313" s="103">
        <f>MAX(E1313,$C$905)</f>
        <v>2000</v>
      </c>
      <c r="D1313" s="103" t="b">
        <f>IF(AND('AES Indiana Bill Calc.'!$D$17="HL4",'AES Indiana Bill Calc.'!$D$18="Yes 100%",'AES Indiana Bill Calc.'!$D$20="Yes 2018"),'AES Indiana Bill Calc.'!$D$22)</f>
        <v>0</v>
      </c>
      <c r="E1313" s="103" t="b">
        <f>IF(AND('AES Indiana Bill Calc.'!$D$17="HL4",'AES Indiana Bill Calc.'!$D$18="Yes 100%",'AES Indiana Bill Calc.'!$D$20="Yes 2018"),'AES Indiana Bill Calc.'!$D$21)</f>
        <v>0</v>
      </c>
      <c r="F1313" s="36" t="s">
        <v>246</v>
      </c>
      <c r="G1313" s="92" t="e">
        <f>SUM(J1313:M1313,R1313:AA1313)</f>
        <v>#N/A</v>
      </c>
      <c r="H1313" s="19" t="e">
        <f>IF(ISBLANK(B1313),0,+#REF!/B1313)</f>
        <v>#REF!</v>
      </c>
      <c r="J1313" s="51">
        <f>IF(ISBLANK(B1313),0,+J$1162)</f>
        <v>500</v>
      </c>
      <c r="K1313" s="17">
        <f>ROUND($B1313*K$1288,2)</f>
        <v>-0.06</v>
      </c>
      <c r="L1313" s="17">
        <f>IF(ISBLANK($C1313),0,IF($C1313&lt;$C$1163,ROUND($C$1163*$L$1288,2),IF($C1313&gt;L$1289,ROUND(L$1289*L$1288,2),ROUND($C1313*L$1288,2))))</f>
        <v>30120</v>
      </c>
      <c r="M1313" s="17">
        <f>IF($C1313&gt;L$1037,ROUND(($C1313-L$1037)*M$1036,2),0)</f>
        <v>0</v>
      </c>
      <c r="N1313" s="17">
        <f>K1313</f>
        <v>-0.06</v>
      </c>
      <c r="O1313" s="17"/>
      <c r="P1313" s="17"/>
      <c r="Q1313" s="17">
        <f>SUM(L1313:M1313)</f>
        <v>30120</v>
      </c>
      <c r="R1313" s="16" t="e">
        <f>ROUND(SUM(K1313:M1313)*(R1312-1),2)</f>
        <v>#N/A</v>
      </c>
      <c r="S1313" s="17">
        <f>ROUND($B1313*S$1162*S1312,2)</f>
        <v>0</v>
      </c>
      <c r="T1313" s="17">
        <f>ROUND($B1313*T$1288,2)</f>
        <v>0</v>
      </c>
      <c r="U1313" s="17">
        <f>ROUND($B1313*U$1288,2)</f>
        <v>0</v>
      </c>
      <c r="V1313" s="17">
        <f>ROUND($B1313*V$1153,2)</f>
        <v>0</v>
      </c>
      <c r="W1313" s="17">
        <f>ROUND($B1313*W$1288,2)</f>
        <v>0</v>
      </c>
      <c r="X1313" s="17">
        <f>ROUND($B1313*X$1288,2)</f>
        <v>-0.01</v>
      </c>
      <c r="Y1313" s="17">
        <f>ROUND($B1313*Y$1288,2)</f>
        <v>0</v>
      </c>
      <c r="Z1313" s="17">
        <f>ROUND($B1313*Z$1288,2)</f>
        <v>0</v>
      </c>
      <c r="AA1313" s="17">
        <f>ROUND($B1313*AA$1288,2)</f>
        <v>0</v>
      </c>
      <c r="AB1313" s="19">
        <f>SUM(V1235:AA1235)</f>
        <v>-0.01</v>
      </c>
      <c r="AC1313" s="67" t="str">
        <f>+F1313</f>
        <v>HL48</v>
      </c>
    </row>
    <row r="1314" spans="1:29" x14ac:dyDescent="0.2">
      <c r="A1314" s="48"/>
      <c r="B1314" s="103">
        <v>-1</v>
      </c>
      <c r="D1314" s="8"/>
      <c r="E1314" s="9"/>
      <c r="F1314" s="36"/>
      <c r="G1314" s="17"/>
      <c r="H1314" s="19"/>
      <c r="J1314" s="8"/>
      <c r="K1314" s="17"/>
      <c r="L1314" s="17"/>
      <c r="M1314" s="17"/>
      <c r="N1314" s="17"/>
      <c r="O1314" s="17"/>
      <c r="P1314" s="17"/>
      <c r="Q1314" s="17"/>
      <c r="R1314" s="38" t="e">
        <f>VLOOKUP((D1315),'Pwr Factor'!$A$1:$B$52,2)</f>
        <v>#N/A</v>
      </c>
      <c r="S1314" s="50">
        <v>0.5</v>
      </c>
      <c r="T1314" s="17"/>
      <c r="U1314" s="17"/>
      <c r="V1314" s="17"/>
      <c r="W1314" s="17"/>
      <c r="X1314" s="17"/>
      <c r="Y1314" s="17"/>
      <c r="Z1314" s="17"/>
      <c r="AA1314" s="17"/>
    </row>
    <row r="1315" spans="1:29" x14ac:dyDescent="0.2">
      <c r="A1315" s="1" t="s">
        <v>139</v>
      </c>
      <c r="B1315" s="103">
        <f>IF(AND('AES Indiana Bill Calc.'!$D$17="HL4",'AES Indiana Bill Calc.'!$D$18="Yes 50%",'AES Indiana Bill Calc.'!$D$20="Yes 2018"),'AES Indiana Bill Calc.'!$D$19,-1)</f>
        <v>-1</v>
      </c>
      <c r="C1315" s="103">
        <f>MAX(E1315,$C$905)</f>
        <v>2000</v>
      </c>
      <c r="D1315" s="103" t="b">
        <f>IF(AND('AES Indiana Bill Calc.'!$D$17="HL4",'AES Indiana Bill Calc.'!$D$18="Yes 50%",'AES Indiana Bill Calc.'!$D$20="Yes 2018"),'AES Indiana Bill Calc.'!$D$22)</f>
        <v>0</v>
      </c>
      <c r="E1315" s="103" t="b">
        <f>IF(AND('AES Indiana Bill Calc.'!$D$17="HL4",'AES Indiana Bill Calc.'!$D$18="Yes 50%",'AES Indiana Bill Calc.'!$D$20="Yes 2018"),'AES Indiana Bill Calc.'!$D$21)</f>
        <v>0</v>
      </c>
      <c r="F1315" s="36" t="s">
        <v>246</v>
      </c>
      <c r="G1315" s="92" t="e">
        <f>SUM(J1315:M1315,R1315:AA1315)</f>
        <v>#N/A</v>
      </c>
      <c r="H1315" s="19" t="e">
        <f>IF(ISBLANK(B1315),0,+#REF!/B1315)</f>
        <v>#REF!</v>
      </c>
      <c r="J1315" s="51">
        <f>IF(ISBLANK(B1315),0,+J$1162)</f>
        <v>500</v>
      </c>
      <c r="K1315" s="17">
        <f>ROUND($B1315*K$1288,2)</f>
        <v>-0.06</v>
      </c>
      <c r="L1315" s="17">
        <f>IF(ISBLANK($C1315),0,IF($C1315&lt;$C$1163,ROUND($C$1163*$L$1288,2),IF($C1315&gt;L$1289,ROUND(L$1289*L$1288,2),ROUND($C1315*L$1288,2))))</f>
        <v>30120</v>
      </c>
      <c r="M1315" s="17">
        <f>IF($C1315&gt;L$1037,ROUND(($C1315-L$1037)*M$1036,2),0)</f>
        <v>0</v>
      </c>
      <c r="N1315" s="17">
        <f>K1315</f>
        <v>-0.06</v>
      </c>
      <c r="O1315" s="17"/>
      <c r="P1315" s="17"/>
      <c r="Q1315" s="17">
        <f>SUM(L1315:M1315)</f>
        <v>30120</v>
      </c>
      <c r="R1315" s="16" t="e">
        <f>ROUND(SUM(K1315:M1315)*(R1314-1),2)</f>
        <v>#N/A</v>
      </c>
      <c r="S1315" s="17">
        <f>ROUND($B1315*S$1162*S1314,2)</f>
        <v>0</v>
      </c>
      <c r="T1315" s="17">
        <f>ROUND($B1315*T$1288,2)</f>
        <v>0</v>
      </c>
      <c r="U1315" s="17">
        <f>ROUND($B1315*U$1288,2)</f>
        <v>0</v>
      </c>
      <c r="V1315" s="17">
        <f>ROUND($B1315*V$1153,2)</f>
        <v>0</v>
      </c>
      <c r="W1315" s="17">
        <f>ROUND($B1315*W$1288,2)</f>
        <v>0</v>
      </c>
      <c r="X1315" s="17">
        <f>ROUND($B1315*X$1288,2)</f>
        <v>-0.01</v>
      </c>
      <c r="Y1315" s="17">
        <f>ROUND($B1315*Y$1288,2)</f>
        <v>0</v>
      </c>
      <c r="Z1315" s="17">
        <f>ROUND($B1315*Z$1288,2)</f>
        <v>0</v>
      </c>
      <c r="AA1315" s="17">
        <f>ROUND($B1315*AA$1288,2)</f>
        <v>0</v>
      </c>
      <c r="AB1315" s="19">
        <f>SUM(V1237:AA1237)</f>
        <v>-0.01</v>
      </c>
      <c r="AC1315" s="67" t="str">
        <f>+F1315</f>
        <v>HL48</v>
      </c>
    </row>
    <row r="1316" spans="1:29" x14ac:dyDescent="0.2">
      <c r="A1316" s="9"/>
      <c r="B1316" s="103">
        <v>-1</v>
      </c>
      <c r="D1316" s="8"/>
      <c r="E1316" s="9"/>
      <c r="F1316" s="36"/>
      <c r="G1316" s="17"/>
      <c r="H1316" s="19"/>
      <c r="J1316" s="8"/>
      <c r="K1316" s="17"/>
      <c r="L1316" s="17"/>
      <c r="M1316" s="17"/>
      <c r="N1316" s="17"/>
      <c r="O1316" s="17"/>
      <c r="P1316" s="17"/>
      <c r="Q1316" s="17"/>
      <c r="R1316" s="38" t="e">
        <f>VLOOKUP((D1317),'Pwr Factor'!$A$1:$B$52,2)</f>
        <v>#N/A</v>
      </c>
      <c r="S1316" s="50">
        <v>0.25</v>
      </c>
      <c r="T1316" s="17"/>
      <c r="U1316" s="17"/>
      <c r="V1316" s="17"/>
      <c r="W1316" s="17"/>
      <c r="X1316" s="17"/>
      <c r="Y1316" s="17"/>
      <c r="Z1316" s="17"/>
      <c r="AA1316" s="17"/>
    </row>
    <row r="1317" spans="1:29" x14ac:dyDescent="0.2">
      <c r="A1317" s="1" t="s">
        <v>140</v>
      </c>
      <c r="B1317" s="103">
        <f>IF(AND('AES Indiana Bill Calc.'!$D$17="HL4",'AES Indiana Bill Calc.'!$D$18="Yes 25%",'AES Indiana Bill Calc.'!$D$20="Yes 2018"),'AES Indiana Bill Calc.'!$D$19,-1)</f>
        <v>-1</v>
      </c>
      <c r="C1317" s="103">
        <f>MAX(E1317,$C$905)</f>
        <v>2000</v>
      </c>
      <c r="D1317" s="103" t="b">
        <f>IF(AND('AES Indiana Bill Calc.'!$D$17="HL4",'AES Indiana Bill Calc.'!$D$18="Yes 25%",'AES Indiana Bill Calc.'!$D$20="Yes 2018"),'AES Indiana Bill Calc.'!$D$22)</f>
        <v>0</v>
      </c>
      <c r="E1317" s="103" t="b">
        <f>IF(AND('AES Indiana Bill Calc.'!$D$17="HL4",'AES Indiana Bill Calc.'!$D$18="Yes 25%",'AES Indiana Bill Calc.'!$D$20="Yes 2018"),'AES Indiana Bill Calc.'!$D$21)</f>
        <v>0</v>
      </c>
      <c r="F1317" s="36" t="s">
        <v>246</v>
      </c>
      <c r="G1317" s="92" t="e">
        <f>SUM(J1317:M1317,R1317:AA1317)</f>
        <v>#N/A</v>
      </c>
      <c r="H1317" s="19" t="e">
        <f>IF(ISBLANK(B1317),0,+#REF!/B1317)</f>
        <v>#REF!</v>
      </c>
      <c r="J1317" s="51">
        <f>IF(ISBLANK(B1317),0,+J$1162)</f>
        <v>500</v>
      </c>
      <c r="K1317" s="17">
        <f>ROUND($B1317*K$1288,2)</f>
        <v>-0.06</v>
      </c>
      <c r="L1317" s="17">
        <f>IF(ISBLANK($C1317),0,IF($C1317&lt;$C$1163,ROUND($C$1163*$L$1288,2),IF($C1317&gt;L$1289,ROUND(L$1289*L$1288,2),ROUND($C1317*L$1288,2))))</f>
        <v>30120</v>
      </c>
      <c r="M1317" s="17">
        <f>IF($C1317&gt;L$1037,ROUND(($C1317-L$1037)*M$1036,2),0)</f>
        <v>0</v>
      </c>
      <c r="N1317" s="17">
        <f>K1317</f>
        <v>-0.06</v>
      </c>
      <c r="O1317" s="17"/>
      <c r="P1317" s="17"/>
      <c r="Q1317" s="17">
        <f>SUM(L1317:M1317)</f>
        <v>30120</v>
      </c>
      <c r="R1317" s="16" t="e">
        <f>ROUND(SUM(K1317:M1317)*(R1316-1),2)</f>
        <v>#N/A</v>
      </c>
      <c r="S1317" s="17">
        <f>ROUND($B1317*S$1162*S1316,2)</f>
        <v>0</v>
      </c>
      <c r="T1317" s="17">
        <f>ROUND($B1317*T$1288,2)</f>
        <v>0</v>
      </c>
      <c r="U1317" s="17">
        <f>ROUND($B1317*U$1288,2)</f>
        <v>0</v>
      </c>
      <c r="V1317" s="17">
        <f>ROUND($B1317*V$1153,2)</f>
        <v>0</v>
      </c>
      <c r="W1317" s="17">
        <f>ROUND($B1317*W$1288,2)</f>
        <v>0</v>
      </c>
      <c r="X1317" s="17">
        <f>ROUND($B1317*X$1288,2)</f>
        <v>-0.01</v>
      </c>
      <c r="Y1317" s="17">
        <f>ROUND($B1317*Y$1288,2)</f>
        <v>0</v>
      </c>
      <c r="Z1317" s="17">
        <f>ROUND($B1317*Z$1288,2)</f>
        <v>0</v>
      </c>
      <c r="AA1317" s="17">
        <f>ROUND($B1317*AA$1288,2)</f>
        <v>0</v>
      </c>
      <c r="AB1317" s="19">
        <f>SUM(V1239:AA1239)</f>
        <v>-0.01</v>
      </c>
      <c r="AC1317" s="67" t="str">
        <f>+F1317</f>
        <v>HL48</v>
      </c>
    </row>
    <row r="1318" spans="1:29" x14ac:dyDescent="0.2">
      <c r="A1318" s="9"/>
      <c r="B1318" s="103">
        <v>-1</v>
      </c>
      <c r="D1318" s="8"/>
      <c r="E1318" s="9"/>
      <c r="F1318" s="36"/>
      <c r="G1318" s="17"/>
      <c r="H1318" s="19"/>
      <c r="J1318" s="8"/>
      <c r="K1318" s="17"/>
      <c r="L1318" s="17"/>
      <c r="M1318" s="17"/>
      <c r="N1318" s="17"/>
      <c r="O1318" s="17"/>
      <c r="P1318" s="17"/>
      <c r="Q1318" s="17"/>
      <c r="R1318" s="38" t="e">
        <f>VLOOKUP((D1319),'Pwr Factor'!$A$1:$B$52,2)</f>
        <v>#N/A</v>
      </c>
      <c r="S1318" s="50">
        <v>0.1</v>
      </c>
      <c r="T1318" s="17"/>
      <c r="U1318" s="17"/>
      <c r="V1318" s="17"/>
      <c r="W1318" s="17"/>
      <c r="X1318" s="17"/>
      <c r="Y1318" s="17"/>
      <c r="Z1318" s="17"/>
      <c r="AA1318" s="17"/>
    </row>
    <row r="1319" spans="1:29" x14ac:dyDescent="0.2">
      <c r="A1319" s="1" t="s">
        <v>154</v>
      </c>
      <c r="B1319" s="103">
        <f>IF(AND('AES Indiana Bill Calc.'!$D$17="HL4",'AES Indiana Bill Calc.'!$D$18="Yes 10%",'AES Indiana Bill Calc.'!$D$20="Yes 2018"),'AES Indiana Bill Calc.'!$D$19,-1)</f>
        <v>-1</v>
      </c>
      <c r="C1319" s="103">
        <f>MAX(E1319,$C$905)</f>
        <v>2000</v>
      </c>
      <c r="D1319" s="103" t="b">
        <f>IF(AND('AES Indiana Bill Calc.'!$D$17="HL4",'AES Indiana Bill Calc.'!$D$18="Yes 10%",'AES Indiana Bill Calc.'!$D$20="Yes 2018"),'AES Indiana Bill Calc.'!$D$22)</f>
        <v>0</v>
      </c>
      <c r="E1319" s="103" t="b">
        <f>IF(AND('AES Indiana Bill Calc.'!$D$17="HL4",'AES Indiana Bill Calc.'!$D$18="Yes 10%",'AES Indiana Bill Calc.'!$D$20="Yes 2018"),'AES Indiana Bill Calc.'!$D$21)</f>
        <v>0</v>
      </c>
      <c r="F1319" s="36" t="s">
        <v>246</v>
      </c>
      <c r="G1319" s="92" t="e">
        <f>SUM(J1319:M1319,R1319:AA1319)</f>
        <v>#N/A</v>
      </c>
      <c r="H1319" s="19" t="e">
        <f>IF(ISBLANK(B1319),0,+#REF!/B1319)</f>
        <v>#REF!</v>
      </c>
      <c r="J1319" s="51">
        <f>IF(ISBLANK(B1319),0,+J$1162)</f>
        <v>500</v>
      </c>
      <c r="K1319" s="17">
        <f>ROUND($B1319*K$1288,2)</f>
        <v>-0.06</v>
      </c>
      <c r="L1319" s="17">
        <f>IF(ISBLANK($C1319),0,IF($C1319&lt;$C$1163,ROUND($C$1163*$L$1288,2),IF($C1319&gt;L$1289,ROUND(L$1289*L$1288,2),ROUND($C1319*L$1288,2))))</f>
        <v>30120</v>
      </c>
      <c r="M1319" s="17">
        <f>IF($C1319&gt;L$1037,ROUND(($C1319-L$1037)*M$1036,2),0)</f>
        <v>0</v>
      </c>
      <c r="N1319" s="17">
        <f>K1319</f>
        <v>-0.06</v>
      </c>
      <c r="O1319" s="17"/>
      <c r="P1319" s="17"/>
      <c r="Q1319" s="17">
        <f>SUM(L1319:M1319)</f>
        <v>30120</v>
      </c>
      <c r="R1319" s="16" t="e">
        <f>ROUND(SUM(K1319:M1319)*(R1318-1),2)</f>
        <v>#N/A</v>
      </c>
      <c r="S1319" s="17">
        <f>ROUND($B1319*S$1162*S1318,2)</f>
        <v>0</v>
      </c>
      <c r="T1319" s="17">
        <f>ROUND($B1319*T$1288,2)</f>
        <v>0</v>
      </c>
      <c r="U1319" s="17">
        <f>ROUND($B1319*U$1288,2)</f>
        <v>0</v>
      </c>
      <c r="V1319" s="17">
        <f>ROUND($B1319*V$1153,2)</f>
        <v>0</v>
      </c>
      <c r="W1319" s="17">
        <f>ROUND($B1319*W$1288,2)</f>
        <v>0</v>
      </c>
      <c r="X1319" s="17">
        <f>ROUND($B1319*X$1288,2)</f>
        <v>-0.01</v>
      </c>
      <c r="Y1319" s="17">
        <f>ROUND($B1319*Y$1288,2)</f>
        <v>0</v>
      </c>
      <c r="Z1319" s="17">
        <f>ROUND($B1319*Z$1288,2)</f>
        <v>0</v>
      </c>
      <c r="AA1319" s="17">
        <f>ROUND($B1319*AA$1288,2)</f>
        <v>0</v>
      </c>
      <c r="AB1319" s="19">
        <f>SUM(V1241:AA1241)</f>
        <v>-0.01</v>
      </c>
      <c r="AC1319" s="67" t="str">
        <f>+F1319</f>
        <v>HL48</v>
      </c>
    </row>
    <row r="1320" spans="1:29" x14ac:dyDescent="0.2">
      <c r="A1320" s="9"/>
      <c r="B1320" s="103">
        <v>-1</v>
      </c>
      <c r="D1320" s="8"/>
      <c r="E1320" s="9"/>
      <c r="F1320" s="36"/>
      <c r="G1320" s="17"/>
      <c r="H1320" s="19"/>
      <c r="J1320" s="8"/>
      <c r="K1320" s="17"/>
      <c r="L1320" s="17"/>
      <c r="M1320" s="17"/>
      <c r="N1320" s="17"/>
      <c r="O1320" s="17"/>
      <c r="P1320" s="17"/>
      <c r="Q1320" s="17"/>
      <c r="R1320" s="38" t="e">
        <f>VLOOKUP((D1321),'Pwr Factor'!$A$1:$B$52,2)</f>
        <v>#N/A</v>
      </c>
      <c r="S1320" s="50">
        <v>0</v>
      </c>
      <c r="T1320" s="17"/>
      <c r="U1320" s="17"/>
      <c r="V1320" s="17"/>
      <c r="W1320" s="17"/>
      <c r="X1320" s="17"/>
      <c r="Y1320" s="17"/>
      <c r="Z1320" s="17"/>
      <c r="AA1320" s="17"/>
    </row>
    <row r="1321" spans="1:29" x14ac:dyDescent="0.2">
      <c r="A1321" s="1" t="s">
        <v>137</v>
      </c>
      <c r="B1321" s="103">
        <f>IF(AND('AES Indiana Bill Calc.'!$D$17="HL4",'AES Indiana Bill Calc.'!$D$18="No",'AES Indiana Bill Calc.'!$D$20="Yes 2018"),'AES Indiana Bill Calc.'!$D$19,-1)</f>
        <v>-1</v>
      </c>
      <c r="C1321" s="103">
        <f>MAX(E1321,$C$905)</f>
        <v>2000</v>
      </c>
      <c r="D1321" s="103" t="b">
        <f>IF(AND('AES Indiana Bill Calc.'!$D$17="HL4",'AES Indiana Bill Calc.'!$D$18="No",'AES Indiana Bill Calc.'!$D$20="Yes 2018"),'AES Indiana Bill Calc.'!$D$22)</f>
        <v>0</v>
      </c>
      <c r="E1321" s="103" t="b">
        <f>IF(AND('AES Indiana Bill Calc.'!$D$17="HL4",'AES Indiana Bill Calc.'!$D$18="No",'AES Indiana Bill Calc.'!$D$20="Yes 2018"),'AES Indiana Bill Calc.'!$D$21)</f>
        <v>0</v>
      </c>
      <c r="F1321" s="36" t="s">
        <v>246</v>
      </c>
      <c r="G1321" s="92" t="e">
        <f>SUM(J1321:M1321,R1321:AA1321)</f>
        <v>#N/A</v>
      </c>
      <c r="H1321" s="19" t="e">
        <f>IF(ISBLANK(B1321),0,+#REF!/B1321)</f>
        <v>#REF!</v>
      </c>
      <c r="J1321" s="51">
        <f>IF(ISBLANK(B1321),0,+J$1162)</f>
        <v>500</v>
      </c>
      <c r="K1321" s="17">
        <f>ROUND($B1321*K$1288,2)</f>
        <v>-0.06</v>
      </c>
      <c r="L1321" s="17">
        <f>IF(ISBLANK($C1321),0,IF($C1321&lt;$C$1163,ROUND($C$1163*$L$1288,2),IF($C1321&gt;L$1289,ROUND(L$1289*L$1288,2),ROUND($C1321*L$1288,2))))</f>
        <v>30120</v>
      </c>
      <c r="M1321" s="17">
        <f>IF($C1321&gt;L$1037,ROUND(($C1321-L$1037)*M$1036,2),0)</f>
        <v>0</v>
      </c>
      <c r="N1321" s="17">
        <f>K1321</f>
        <v>-0.06</v>
      </c>
      <c r="O1321" s="17"/>
      <c r="P1321" s="17"/>
      <c r="Q1321" s="17">
        <f>SUM(L1321:M1321)</f>
        <v>30120</v>
      </c>
      <c r="R1321" s="16" t="e">
        <f>ROUND(SUM(K1321:M1321)*(R1320-1),2)</f>
        <v>#N/A</v>
      </c>
      <c r="S1321" s="17">
        <f>ROUND($B1321*S$1162*S1320,2)</f>
        <v>0</v>
      </c>
      <c r="T1321" s="17">
        <f>ROUND($B1321*T$1288,2)</f>
        <v>0</v>
      </c>
      <c r="U1321" s="17">
        <f>ROUND($B1321*U$1288,2)</f>
        <v>0</v>
      </c>
      <c r="V1321" s="17">
        <f>ROUND($B1321*V$1153,2)</f>
        <v>0</v>
      </c>
      <c r="W1321" s="17">
        <f>ROUND($B1321*W$1288,2)</f>
        <v>0</v>
      </c>
      <c r="X1321" s="17">
        <f>ROUND($B1321*X$1288,2)</f>
        <v>-0.01</v>
      </c>
      <c r="Y1321" s="17">
        <f>ROUND($B1321*Y$1288,2)</f>
        <v>0</v>
      </c>
      <c r="Z1321" s="17">
        <f>ROUND($B1321*Z$1288,2)</f>
        <v>0</v>
      </c>
      <c r="AA1321" s="17">
        <f>ROUND($B1321*AA$1288,2)</f>
        <v>0</v>
      </c>
      <c r="AB1321" s="19">
        <f>SUM(V1243:AA1243)</f>
        <v>-0.01</v>
      </c>
      <c r="AC1321" s="67" t="str">
        <f>+F1321</f>
        <v>HL48</v>
      </c>
    </row>
    <row r="1322" spans="1:29" x14ac:dyDescent="0.2">
      <c r="B1322" s="103">
        <v>-1</v>
      </c>
      <c r="D1322" s="8"/>
      <c r="E1322" s="9"/>
      <c r="F1322" s="36"/>
      <c r="G1322" s="17"/>
      <c r="H1322" s="19"/>
      <c r="J1322" s="8"/>
      <c r="K1322" s="17"/>
      <c r="L1322" s="17"/>
      <c r="M1322" s="17"/>
      <c r="N1322" s="17"/>
      <c r="O1322" s="17"/>
      <c r="P1322" s="17"/>
      <c r="Q1322" s="17"/>
      <c r="R1322" s="38" t="e">
        <f>VLOOKUP((D1323),'Pwr Factor'!$A$1:$B$52,2)</f>
        <v>#N/A</v>
      </c>
      <c r="S1322" s="50">
        <v>1</v>
      </c>
      <c r="T1322" s="17"/>
      <c r="U1322" s="17"/>
      <c r="V1322" s="17"/>
      <c r="W1322" s="17"/>
      <c r="X1322" s="17"/>
      <c r="Y1322" s="17"/>
      <c r="Z1322" s="17"/>
      <c r="AA1322" s="17"/>
    </row>
    <row r="1323" spans="1:29" x14ac:dyDescent="0.2">
      <c r="A1323" s="1" t="s">
        <v>138</v>
      </c>
      <c r="B1323" s="103">
        <f>IF(AND('AES Indiana Bill Calc.'!$D$17="HL4",'AES Indiana Bill Calc.'!$D$18="Yes 100%",'AES Indiana Bill Calc.'!$D$20="Yes 2019"),'AES Indiana Bill Calc.'!$D$19,-1)</f>
        <v>-1</v>
      </c>
      <c r="C1323" s="103">
        <f>MAX(E1323,$C$905)</f>
        <v>2000</v>
      </c>
      <c r="D1323" s="103" t="b">
        <f>IF(AND('AES Indiana Bill Calc.'!$D$17="HL4",'AES Indiana Bill Calc.'!$D$18="Yes 100%",'AES Indiana Bill Calc.'!$D$20="Yes 2019"),'AES Indiana Bill Calc.'!$D$22)</f>
        <v>0</v>
      </c>
      <c r="E1323" s="103" t="b">
        <f>IF(AND('AES Indiana Bill Calc.'!$D$17="HL4",'AES Indiana Bill Calc.'!$D$18="Yes 100%",'AES Indiana Bill Calc.'!$D$20="Yes 2019"),'AES Indiana Bill Calc.'!$D$21)</f>
        <v>0</v>
      </c>
      <c r="F1323" s="36" t="s">
        <v>247</v>
      </c>
      <c r="G1323" s="92" t="e">
        <f>SUM(J1323:M1323,R1323:AA1323)</f>
        <v>#N/A</v>
      </c>
      <c r="H1323" s="19" t="e">
        <f>IF(ISBLANK(B1323),0,+#REF!/B1323)</f>
        <v>#REF!</v>
      </c>
      <c r="J1323" s="51">
        <f>IF(ISBLANK(B1323),0,+J$1162)</f>
        <v>500</v>
      </c>
      <c r="K1323" s="17">
        <f>ROUND($B1323*K$1288,2)</f>
        <v>-0.06</v>
      </c>
      <c r="L1323" s="17">
        <f>IF(ISBLANK($C1323),0,IF($C1323&lt;$C$1163,ROUND($C$1163*$L$1288,2),IF($C1323&gt;L$1289,ROUND(L$1289*L$1288,2),ROUND($C1323*L$1288,2))))</f>
        <v>30120</v>
      </c>
      <c r="M1323" s="17">
        <f>IF($C1323&gt;L$1037,ROUND(($C1323-L$1037)*M$1036,2),0)</f>
        <v>0</v>
      </c>
      <c r="N1323" s="17">
        <f>K1323</f>
        <v>-0.06</v>
      </c>
      <c r="O1323" s="17"/>
      <c r="P1323" s="17"/>
      <c r="Q1323" s="17">
        <f>SUM(L1323:M1323)</f>
        <v>30120</v>
      </c>
      <c r="R1323" s="16" t="e">
        <f>ROUND(SUM(K1323:M1323)*(R1322-1),2)</f>
        <v>#N/A</v>
      </c>
      <c r="S1323" s="17">
        <f>ROUND($B1323*S$1162*S1322,2)</f>
        <v>0</v>
      </c>
      <c r="T1323" s="17">
        <f>ROUND($B1323*T$1288,2)</f>
        <v>0</v>
      </c>
      <c r="U1323" s="17">
        <f>ROUND($B1323*U$1288,2)</f>
        <v>0</v>
      </c>
      <c r="V1323" s="17">
        <f>ROUND($B1323*V$1154,2)</f>
        <v>0</v>
      </c>
      <c r="W1323" s="17">
        <f>ROUND($B1323*W$1288,2)</f>
        <v>0</v>
      </c>
      <c r="X1323" s="17">
        <f>ROUND($B1323*X$1288,2)</f>
        <v>-0.01</v>
      </c>
      <c r="Y1323" s="17">
        <f>ROUND($B1323*Y$1288,2)</f>
        <v>0</v>
      </c>
      <c r="Z1323" s="17">
        <f>ROUND($B1323*Z$1288,2)</f>
        <v>0</v>
      </c>
      <c r="AA1323" s="17">
        <f>ROUND($B1323*AA$1288,2)</f>
        <v>0</v>
      </c>
      <c r="AB1323" s="19">
        <f>SUM(V1245:AA1245)</f>
        <v>-0.01</v>
      </c>
      <c r="AC1323" s="67" t="str">
        <f>+F1323</f>
        <v>HL49</v>
      </c>
    </row>
    <row r="1324" spans="1:29" x14ac:dyDescent="0.2">
      <c r="A1324" s="48"/>
      <c r="B1324" s="103">
        <v>-1</v>
      </c>
      <c r="D1324" s="8"/>
      <c r="E1324" s="9"/>
      <c r="F1324" s="36"/>
      <c r="G1324" s="17"/>
      <c r="H1324" s="19"/>
      <c r="J1324" s="8"/>
      <c r="K1324" s="17"/>
      <c r="L1324" s="17"/>
      <c r="M1324" s="17"/>
      <c r="N1324" s="17"/>
      <c r="O1324" s="17"/>
      <c r="P1324" s="17"/>
      <c r="Q1324" s="17"/>
      <c r="R1324" s="38" t="e">
        <f>VLOOKUP((D1325),'Pwr Factor'!$A$1:$B$52,2)</f>
        <v>#N/A</v>
      </c>
      <c r="S1324" s="50">
        <v>0.5</v>
      </c>
      <c r="T1324" s="17"/>
      <c r="U1324" s="17"/>
      <c r="V1324" s="17"/>
      <c r="W1324" s="17"/>
      <c r="X1324" s="17"/>
      <c r="Y1324" s="17"/>
      <c r="Z1324" s="17"/>
      <c r="AA1324" s="17"/>
    </row>
    <row r="1325" spans="1:29" x14ac:dyDescent="0.2">
      <c r="A1325" s="1" t="s">
        <v>139</v>
      </c>
      <c r="B1325" s="103">
        <f>IF(AND('AES Indiana Bill Calc.'!$D$17="HL4",'AES Indiana Bill Calc.'!$D$18="Yes 50%",'AES Indiana Bill Calc.'!$D$20="Yes 2019"),'AES Indiana Bill Calc.'!$D$19,-1)</f>
        <v>-1</v>
      </c>
      <c r="C1325" s="103">
        <f>MAX(E1325,$C$905)</f>
        <v>2000</v>
      </c>
      <c r="D1325" s="103" t="b">
        <f>IF(AND('AES Indiana Bill Calc.'!$D$17="HL4",'AES Indiana Bill Calc.'!$D$18="Yes 50%",'AES Indiana Bill Calc.'!$D$20="Yes 2019"),'AES Indiana Bill Calc.'!$D$22)</f>
        <v>0</v>
      </c>
      <c r="E1325" s="103" t="b">
        <f>IF(AND('AES Indiana Bill Calc.'!$D$17="HL4",'AES Indiana Bill Calc.'!$D$18="Yes 50%",'AES Indiana Bill Calc.'!$D$20="Yes 2019"),'AES Indiana Bill Calc.'!$D$21)</f>
        <v>0</v>
      </c>
      <c r="F1325" s="36" t="s">
        <v>247</v>
      </c>
      <c r="G1325" s="92" t="e">
        <f>SUM(J1325:M1325,R1325:AA1325)</f>
        <v>#N/A</v>
      </c>
      <c r="H1325" s="19" t="e">
        <f>IF(ISBLANK(B1325),0,+#REF!/B1325)</f>
        <v>#REF!</v>
      </c>
      <c r="J1325" s="51">
        <f>IF(ISBLANK(B1325),0,+J$1162)</f>
        <v>500</v>
      </c>
      <c r="K1325" s="17">
        <f>ROUND($B1325*K$1288,2)</f>
        <v>-0.06</v>
      </c>
      <c r="L1325" s="17">
        <f>IF(ISBLANK($C1325),0,IF($C1325&lt;$C$1163,ROUND($C$1163*$L$1288,2),IF($C1325&gt;L$1289,ROUND(L$1289*L$1288,2),ROUND($C1325*L$1288,2))))</f>
        <v>30120</v>
      </c>
      <c r="M1325" s="17">
        <f>IF($C1325&gt;L$1037,ROUND(($C1325-L$1037)*M$1036,2),0)</f>
        <v>0</v>
      </c>
      <c r="N1325" s="17">
        <f>K1325</f>
        <v>-0.06</v>
      </c>
      <c r="O1325" s="17"/>
      <c r="P1325" s="17"/>
      <c r="Q1325" s="17">
        <f>SUM(L1325:M1325)</f>
        <v>30120</v>
      </c>
      <c r="R1325" s="16" t="e">
        <f>ROUND(SUM(K1325:M1325)*(R1324-1),2)</f>
        <v>#N/A</v>
      </c>
      <c r="S1325" s="17">
        <f>ROUND($B1325*S$1162*S1324,2)</f>
        <v>0</v>
      </c>
      <c r="T1325" s="17">
        <f>ROUND($B1325*T$1288,2)</f>
        <v>0</v>
      </c>
      <c r="U1325" s="17">
        <f>ROUND($B1325*U$1288,2)</f>
        <v>0</v>
      </c>
      <c r="V1325" s="17">
        <f>ROUND($B1325*V$1154,2)</f>
        <v>0</v>
      </c>
      <c r="W1325" s="17">
        <f>ROUND($B1325*W$1288,2)</f>
        <v>0</v>
      </c>
      <c r="X1325" s="17">
        <f>ROUND($B1325*X$1288,2)</f>
        <v>-0.01</v>
      </c>
      <c r="Y1325" s="17">
        <f>ROUND($B1325*Y$1288,2)</f>
        <v>0</v>
      </c>
      <c r="Z1325" s="17">
        <f>ROUND($B1325*Z$1288,2)</f>
        <v>0</v>
      </c>
      <c r="AA1325" s="17">
        <f>ROUND($B1325*AA$1288,2)</f>
        <v>0</v>
      </c>
      <c r="AB1325" s="19">
        <f>SUM(V1288:AA1288)</f>
        <v>1.0549999999999999E-2</v>
      </c>
      <c r="AC1325" s="67" t="str">
        <f>+F1325</f>
        <v>HL49</v>
      </c>
    </row>
    <row r="1326" spans="1:29" x14ac:dyDescent="0.2">
      <c r="A1326" s="9"/>
      <c r="B1326" s="103">
        <v>-1</v>
      </c>
      <c r="D1326" s="8"/>
      <c r="E1326" s="9"/>
      <c r="F1326" s="36"/>
      <c r="G1326" s="17"/>
      <c r="H1326" s="19"/>
      <c r="J1326" s="8"/>
      <c r="K1326" s="17"/>
      <c r="L1326" s="17"/>
      <c r="M1326" s="17"/>
      <c r="N1326" s="17"/>
      <c r="O1326" s="17"/>
      <c r="P1326" s="17"/>
      <c r="Q1326" s="17"/>
      <c r="R1326" s="38" t="e">
        <f>VLOOKUP((D1327),'Pwr Factor'!$A$1:$B$52,2)</f>
        <v>#N/A</v>
      </c>
      <c r="S1326" s="50">
        <v>0.25</v>
      </c>
      <c r="T1326" s="17"/>
      <c r="U1326" s="17"/>
      <c r="V1326" s="17"/>
      <c r="W1326" s="17"/>
      <c r="X1326" s="17"/>
      <c r="Y1326" s="17"/>
      <c r="Z1326" s="17"/>
      <c r="AA1326" s="17"/>
    </row>
    <row r="1327" spans="1:29" x14ac:dyDescent="0.2">
      <c r="A1327" s="1" t="s">
        <v>140</v>
      </c>
      <c r="B1327" s="103">
        <f>IF(AND('AES Indiana Bill Calc.'!$D$17="HL4",'AES Indiana Bill Calc.'!$D$18="Yes 25%",'AES Indiana Bill Calc.'!$D$20="Yes 2019"),'AES Indiana Bill Calc.'!$D$19,-1)</f>
        <v>-1</v>
      </c>
      <c r="C1327" s="103">
        <f>MAX(E1327,$C$905)</f>
        <v>2000</v>
      </c>
      <c r="D1327" s="103" t="b">
        <f>IF(AND('AES Indiana Bill Calc.'!$D$17="HL4",'AES Indiana Bill Calc.'!$D$18="Yes 25%",'AES Indiana Bill Calc.'!$D$20="Yes 2019"),'AES Indiana Bill Calc.'!$D$22)</f>
        <v>0</v>
      </c>
      <c r="E1327" s="103" t="b">
        <f>IF(AND('AES Indiana Bill Calc.'!$D$17="HL4",'AES Indiana Bill Calc.'!$D$18="Yes 25%",'AES Indiana Bill Calc.'!$D$20="Yes 2019"),'AES Indiana Bill Calc.'!$D$21)</f>
        <v>0</v>
      </c>
      <c r="F1327" s="36" t="s">
        <v>247</v>
      </c>
      <c r="G1327" s="92" t="e">
        <f>SUM(J1327:M1327,R1327:AA1327)</f>
        <v>#N/A</v>
      </c>
      <c r="H1327" s="19" t="e">
        <f>IF(ISBLANK(B1327),0,+#REF!/B1327)</f>
        <v>#REF!</v>
      </c>
      <c r="J1327" s="51">
        <f>IF(ISBLANK(B1327),0,+J$1162)</f>
        <v>500</v>
      </c>
      <c r="K1327" s="17">
        <f>ROUND($B1327*K$1288,2)</f>
        <v>-0.06</v>
      </c>
      <c r="L1327" s="17">
        <f>IF(ISBLANK($C1327),0,IF($C1327&lt;$C$1163,ROUND($C$1163*$L$1288,2),IF($C1327&gt;L$1289,ROUND(L$1289*L$1288,2),ROUND($C1327*L$1288,2))))</f>
        <v>30120</v>
      </c>
      <c r="M1327" s="17">
        <f>IF($C1327&gt;L$1037,ROUND(($C1327-L$1037)*M$1036,2),0)</f>
        <v>0</v>
      </c>
      <c r="N1327" s="17">
        <f>K1327</f>
        <v>-0.06</v>
      </c>
      <c r="O1327" s="17"/>
      <c r="P1327" s="17"/>
      <c r="Q1327" s="17">
        <f>SUM(L1327:M1327)</f>
        <v>30120</v>
      </c>
      <c r="R1327" s="16" t="e">
        <f>ROUND(SUM(K1327:M1327)*(R1326-1),2)</f>
        <v>#N/A</v>
      </c>
      <c r="S1327" s="17">
        <f>ROUND($B1327*S$1162*S1326,2)</f>
        <v>0</v>
      </c>
      <c r="T1327" s="17">
        <f>ROUND($B1327*T$1288,2)</f>
        <v>0</v>
      </c>
      <c r="U1327" s="17">
        <f>ROUND($B1327*U$1288,2)</f>
        <v>0</v>
      </c>
      <c r="V1327" s="17">
        <f>ROUND($B1327*V$1154,2)</f>
        <v>0</v>
      </c>
      <c r="W1327" s="17">
        <f>ROUND($B1327*W$1288,2)</f>
        <v>0</v>
      </c>
      <c r="X1327" s="17">
        <f>ROUND($B1327*X$1288,2)</f>
        <v>-0.01</v>
      </c>
      <c r="Y1327" s="17">
        <f>ROUND($B1327*Y$1288,2)</f>
        <v>0</v>
      </c>
      <c r="Z1327" s="17">
        <f>ROUND($B1327*Z$1288,2)</f>
        <v>0</v>
      </c>
      <c r="AA1327" s="17">
        <f>ROUND($B1327*AA$1288,2)</f>
        <v>0</v>
      </c>
      <c r="AB1327" s="19">
        <f>SUM(V1290:AA1290)</f>
        <v>130</v>
      </c>
      <c r="AC1327" s="67" t="str">
        <f>+F1327</f>
        <v>HL49</v>
      </c>
    </row>
    <row r="1328" spans="1:29" x14ac:dyDescent="0.2">
      <c r="A1328" s="9"/>
      <c r="B1328" s="103">
        <v>-1</v>
      </c>
      <c r="D1328" s="8"/>
      <c r="E1328" s="9"/>
      <c r="F1328" s="36"/>
      <c r="G1328" s="17"/>
      <c r="H1328" s="19"/>
      <c r="J1328" s="8"/>
      <c r="K1328" s="17"/>
      <c r="L1328" s="17"/>
      <c r="M1328" s="17"/>
      <c r="N1328" s="17"/>
      <c r="O1328" s="17"/>
      <c r="P1328" s="17"/>
      <c r="Q1328" s="17"/>
      <c r="R1328" s="38" t="e">
        <f>VLOOKUP((D1329),'Pwr Factor'!$A$1:$B$52,2)</f>
        <v>#N/A</v>
      </c>
      <c r="S1328" s="50">
        <v>0.1</v>
      </c>
      <c r="T1328" s="17"/>
      <c r="U1328" s="17"/>
      <c r="V1328" s="17"/>
      <c r="W1328" s="17"/>
      <c r="X1328" s="17"/>
      <c r="Y1328" s="17"/>
      <c r="Z1328" s="17"/>
      <c r="AA1328" s="17"/>
    </row>
    <row r="1329" spans="1:29" x14ac:dyDescent="0.2">
      <c r="A1329" s="1" t="s">
        <v>154</v>
      </c>
      <c r="B1329" s="103">
        <f>IF(AND('AES Indiana Bill Calc.'!$D$17="HL4",'AES Indiana Bill Calc.'!$D$18="Yes 10%",'AES Indiana Bill Calc.'!$D$20="Yes 2019"),'AES Indiana Bill Calc.'!$D$19,-1)</f>
        <v>-1</v>
      </c>
      <c r="C1329" s="103">
        <f>MAX(E1329,$C$905)</f>
        <v>2000</v>
      </c>
      <c r="D1329" s="103" t="b">
        <f>IF(AND('AES Indiana Bill Calc.'!$D$17="HL4",'AES Indiana Bill Calc.'!$D$18="Yes 10%",'AES Indiana Bill Calc.'!$D$20="Yes 2019"),'AES Indiana Bill Calc.'!$D$22)</f>
        <v>0</v>
      </c>
      <c r="E1329" s="103" t="b">
        <f>IF(AND('AES Indiana Bill Calc.'!$D$17="HL4",'AES Indiana Bill Calc.'!$D$18="Yes 10%",'AES Indiana Bill Calc.'!$D$20="Yes 2019"),'AES Indiana Bill Calc.'!$D$21)</f>
        <v>0</v>
      </c>
      <c r="F1329" s="36" t="s">
        <v>247</v>
      </c>
      <c r="G1329" s="92" t="e">
        <f>SUM(J1329:M1329,R1329:AA1329)</f>
        <v>#N/A</v>
      </c>
      <c r="H1329" s="19" t="e">
        <f>IF(ISBLANK(B1329),0,+#REF!/B1329)</f>
        <v>#REF!</v>
      </c>
      <c r="J1329" s="51">
        <f>IF(ISBLANK(B1329),0,+J$1162)</f>
        <v>500</v>
      </c>
      <c r="K1329" s="17">
        <f>ROUND($B1329*K$1288,2)</f>
        <v>-0.06</v>
      </c>
      <c r="L1329" s="17">
        <f>IF(ISBLANK($C1329),0,IF($C1329&lt;$C$1163,ROUND($C$1163*$L$1288,2),IF($C1329&gt;L$1289,ROUND(L$1289*L$1288,2),ROUND($C1329*L$1288,2))))</f>
        <v>30120</v>
      </c>
      <c r="M1329" s="17">
        <f>IF($C1329&gt;L$1037,ROUND(($C1329-L$1037)*M$1036,2),0)</f>
        <v>0</v>
      </c>
      <c r="N1329" s="17">
        <f>K1329</f>
        <v>-0.06</v>
      </c>
      <c r="O1329" s="17"/>
      <c r="P1329" s="17"/>
      <c r="Q1329" s="17">
        <f>SUM(L1329:M1329)</f>
        <v>30120</v>
      </c>
      <c r="R1329" s="16" t="e">
        <f>ROUND(SUM(K1329:M1329)*(R1328-1),2)</f>
        <v>#N/A</v>
      </c>
      <c r="S1329" s="17">
        <f>ROUND($B1329*S$1162*S1328,2)</f>
        <v>0</v>
      </c>
      <c r="T1329" s="17">
        <f>ROUND($B1329*T$1288,2)</f>
        <v>0</v>
      </c>
      <c r="U1329" s="17">
        <f>ROUND($B1329*U$1288,2)</f>
        <v>0</v>
      </c>
      <c r="V1329" s="17">
        <f>ROUND($B1329*V$1154,2)</f>
        <v>0</v>
      </c>
      <c r="W1329" s="17">
        <f>ROUND($B1329*W$1288,2)</f>
        <v>0</v>
      </c>
      <c r="X1329" s="17">
        <f>ROUND($B1329*X$1288,2)</f>
        <v>-0.01</v>
      </c>
      <c r="Y1329" s="17">
        <f>ROUND($B1329*Y$1288,2)</f>
        <v>0</v>
      </c>
      <c r="Z1329" s="17">
        <f>ROUND($B1329*Z$1288,2)</f>
        <v>0</v>
      </c>
      <c r="AA1329" s="17">
        <f>ROUND($B1329*AA$1288,2)</f>
        <v>0</v>
      </c>
      <c r="AB1329" s="19">
        <f>SUM(V1292:AA1292)</f>
        <v>0</v>
      </c>
      <c r="AC1329" s="67" t="str">
        <f>+F1329</f>
        <v>HL49</v>
      </c>
    </row>
    <row r="1330" spans="1:29" x14ac:dyDescent="0.2">
      <c r="A1330" s="9"/>
      <c r="B1330" s="103">
        <v>-1</v>
      </c>
      <c r="D1330" s="8"/>
      <c r="E1330" s="9"/>
      <c r="F1330" s="36"/>
      <c r="G1330" s="17"/>
      <c r="H1330" s="19"/>
      <c r="J1330" s="8"/>
      <c r="K1330" s="17"/>
      <c r="L1330" s="17"/>
      <c r="M1330" s="17"/>
      <c r="N1330" s="17"/>
      <c r="O1330" s="17"/>
      <c r="P1330" s="17"/>
      <c r="Q1330" s="17"/>
      <c r="R1330" s="38" t="e">
        <f>VLOOKUP((D1331),'Pwr Factor'!$A$1:$B$52,2)</f>
        <v>#N/A</v>
      </c>
      <c r="S1330" s="50">
        <v>0</v>
      </c>
      <c r="T1330" s="17"/>
      <c r="U1330" s="17"/>
      <c r="V1330" s="17"/>
      <c r="W1330" s="17"/>
      <c r="X1330" s="17"/>
      <c r="Y1330" s="17"/>
      <c r="Z1330" s="17"/>
      <c r="AA1330" s="17"/>
    </row>
    <row r="1331" spans="1:29" x14ac:dyDescent="0.2">
      <c r="A1331" s="1" t="s">
        <v>137</v>
      </c>
      <c r="B1331" s="103">
        <f>IF(AND('AES Indiana Bill Calc.'!$D$17="HL4",'AES Indiana Bill Calc.'!$D$18="No",'AES Indiana Bill Calc.'!$D$20="Yes 2019"),'AES Indiana Bill Calc.'!$D$19,-1)</f>
        <v>-1</v>
      </c>
      <c r="C1331" s="103">
        <f>MAX(E1331,$C$905)</f>
        <v>2000</v>
      </c>
      <c r="D1331" s="103" t="b">
        <f>IF(AND('AES Indiana Bill Calc.'!$D$17="HL4",'AES Indiana Bill Calc.'!$D$18="No",'AES Indiana Bill Calc.'!$D$20="Yes 2019"),'AES Indiana Bill Calc.'!$D$22)</f>
        <v>0</v>
      </c>
      <c r="E1331" s="103" t="b">
        <f>IF(AND('AES Indiana Bill Calc.'!$D$17="HL4",'AES Indiana Bill Calc.'!$D$18="No",'AES Indiana Bill Calc.'!$D$20="Yes 2019"),'AES Indiana Bill Calc.'!$D$21)</f>
        <v>0</v>
      </c>
      <c r="F1331" s="36" t="s">
        <v>247</v>
      </c>
      <c r="G1331" s="92" t="e">
        <f>SUM(J1331:M1331,R1331:AA1331)</f>
        <v>#N/A</v>
      </c>
      <c r="H1331" s="19" t="e">
        <f>IF(ISBLANK(B1331),0,+#REF!/B1331)</f>
        <v>#REF!</v>
      </c>
      <c r="J1331" s="51">
        <f>IF(ISBLANK(B1331),0,+J$1162)</f>
        <v>500</v>
      </c>
      <c r="K1331" s="17">
        <f>ROUND($B1331*K$1288,2)</f>
        <v>-0.06</v>
      </c>
      <c r="L1331" s="17">
        <f>IF(ISBLANK($C1331),0,IF($C1331&lt;$C$1163,ROUND($C$1163*$L$1288,2),IF($C1331&gt;L$1289,ROUND(L$1289*L$1288,2),ROUND($C1331*L$1288,2))))</f>
        <v>30120</v>
      </c>
      <c r="M1331" s="17">
        <f>IF($C1331&gt;L$1037,ROUND(($C1331-L$1037)*M$1036,2),0)</f>
        <v>0</v>
      </c>
      <c r="N1331" s="17">
        <f>K1331</f>
        <v>-0.06</v>
      </c>
      <c r="O1331" s="17"/>
      <c r="P1331" s="17"/>
      <c r="Q1331" s="17">
        <f>SUM(L1331:M1331)</f>
        <v>30120</v>
      </c>
      <c r="R1331" s="16" t="e">
        <f>ROUND(SUM(K1331:M1331)*(R1330-1),2)</f>
        <v>#N/A</v>
      </c>
      <c r="S1331" s="17">
        <f>ROUND($B1331*S$1162*S1330,2)</f>
        <v>0</v>
      </c>
      <c r="T1331" s="17">
        <f>ROUND($B1331*T$1288,2)</f>
        <v>0</v>
      </c>
      <c r="U1331" s="17">
        <f>ROUND($B1331*U$1288,2)</f>
        <v>0</v>
      </c>
      <c r="V1331" s="17">
        <f>ROUND($B1331*V$1154,2)</f>
        <v>0</v>
      </c>
      <c r="W1331" s="17">
        <f>ROUND($B1331*W$1288,2)</f>
        <v>0</v>
      </c>
      <c r="X1331" s="17">
        <f>ROUND($B1331*X$1288,2)</f>
        <v>-0.01</v>
      </c>
      <c r="Y1331" s="17">
        <f>ROUND($B1331*Y$1288,2)</f>
        <v>0</v>
      </c>
      <c r="Z1331" s="17">
        <f>ROUND($B1331*Z$1288,2)</f>
        <v>0</v>
      </c>
      <c r="AA1331" s="17">
        <f>ROUND($B1331*AA$1288,2)</f>
        <v>0</v>
      </c>
      <c r="AB1331" s="19">
        <f>SUM(V1294:AA1294)</f>
        <v>0</v>
      </c>
      <c r="AC1331" s="67" t="str">
        <f>+F1331</f>
        <v>HL49</v>
      </c>
    </row>
    <row r="1332" spans="1:29" x14ac:dyDescent="0.2">
      <c r="B1332" s="103">
        <v>-1</v>
      </c>
      <c r="D1332" s="8"/>
      <c r="E1332" s="9"/>
      <c r="F1332" s="36"/>
      <c r="G1332" s="17"/>
      <c r="H1332" s="19"/>
      <c r="J1332" s="8"/>
      <c r="K1332" s="17"/>
      <c r="L1332" s="17"/>
      <c r="M1332" s="17"/>
      <c r="N1332" s="17"/>
      <c r="O1332" s="17"/>
      <c r="P1332" s="17"/>
      <c r="Q1332" s="17"/>
      <c r="R1332" s="38" t="e">
        <f>VLOOKUP((D1333),'Pwr Factor'!$A$1:$B$52,2)</f>
        <v>#N/A</v>
      </c>
      <c r="S1332" s="50">
        <v>1</v>
      </c>
      <c r="T1332" s="17"/>
      <c r="U1332" s="17"/>
      <c r="V1332" s="17"/>
      <c r="W1332" s="17"/>
      <c r="X1332" s="17"/>
      <c r="Y1332" s="17"/>
      <c r="Z1332" s="17"/>
      <c r="AA1332" s="17"/>
    </row>
    <row r="1333" spans="1:29" x14ac:dyDescent="0.2">
      <c r="A1333" s="1" t="s">
        <v>138</v>
      </c>
      <c r="B1333" s="103">
        <f>IF(AND('AES Indiana Bill Calc.'!$D$17="HL4",'AES Indiana Bill Calc.'!$D$18="Yes 100%",'AES Indiana Bill Calc.'!$D$20="Yes 2020"),'AES Indiana Bill Calc.'!$D$19,-1)</f>
        <v>-1</v>
      </c>
      <c r="C1333" s="103">
        <f>MAX(E1333,$C$905)</f>
        <v>2000</v>
      </c>
      <c r="D1333" s="103" t="b">
        <f>IF(AND('AES Indiana Bill Calc.'!$D$17="HL4",'AES Indiana Bill Calc.'!$D$18="Yes 100%",'AES Indiana Bill Calc.'!$D$20="Yes 2020"),'AES Indiana Bill Calc.'!$D$22)</f>
        <v>0</v>
      </c>
      <c r="E1333" s="103" t="b">
        <f>IF(AND('AES Indiana Bill Calc.'!$D$17="HL4",'AES Indiana Bill Calc.'!$D$18="Yes 100%",'AES Indiana Bill Calc.'!$D$20="Yes 2020"),'AES Indiana Bill Calc.'!$D$21)</f>
        <v>0</v>
      </c>
      <c r="F1333" s="36" t="s">
        <v>248</v>
      </c>
      <c r="G1333" s="92" t="e">
        <f>SUM(J1333:M1333,R1333:AA1333)</f>
        <v>#N/A</v>
      </c>
      <c r="H1333" s="19" t="e">
        <f>IF(ISBLANK(B1333),0,+#REF!/B1333)</f>
        <v>#REF!</v>
      </c>
      <c r="J1333" s="51">
        <f>IF(ISBLANK(B1333),0,+J$1162)</f>
        <v>500</v>
      </c>
      <c r="K1333" s="17">
        <f>ROUND($B1333*K$1288,2)</f>
        <v>-0.06</v>
      </c>
      <c r="L1333" s="17">
        <f>IF(ISBLANK($C1333),0,IF($C1333&lt;$C$1163,ROUND($C$1163*$L$1288,2),IF($C1333&gt;L$1289,ROUND(L$1289*L$1288,2),ROUND($C1333*L$1288,2))))</f>
        <v>30120</v>
      </c>
      <c r="M1333" s="17">
        <f>IF($C1333&gt;L$1037,ROUND(($C1333-L$1037)*M$1036,2),0)</f>
        <v>0</v>
      </c>
      <c r="N1333" s="17">
        <f>K1333</f>
        <v>-0.06</v>
      </c>
      <c r="O1333" s="17"/>
      <c r="P1333" s="17"/>
      <c r="Q1333" s="17">
        <f>SUM(L1333:M1333)</f>
        <v>30120</v>
      </c>
      <c r="R1333" s="16" t="e">
        <f>ROUND(SUM(K1333:M1333)*(R1332-1),2)</f>
        <v>#N/A</v>
      </c>
      <c r="S1333" s="17">
        <f>ROUND($B1333*S$1162*S1332,2)</f>
        <v>0</v>
      </c>
      <c r="T1333" s="17">
        <f>ROUND($B1333*T$1288,2)</f>
        <v>0</v>
      </c>
      <c r="U1333" s="17">
        <f>ROUND($B1333*U$1288,2)</f>
        <v>0</v>
      </c>
      <c r="V1333" s="17">
        <f>ROUND($B1333*V$1155,2)</f>
        <v>0</v>
      </c>
      <c r="W1333" s="17">
        <f>ROUND($B1333*W$1288,2)</f>
        <v>0</v>
      </c>
      <c r="X1333" s="17">
        <f>ROUND($B1333*X$1288,2)</f>
        <v>-0.01</v>
      </c>
      <c r="Y1333" s="17">
        <f>ROUND($B1333*Y$1288,2)</f>
        <v>0</v>
      </c>
      <c r="Z1333" s="17">
        <f>ROUND($B1333*Z$1288,2)</f>
        <v>0</v>
      </c>
      <c r="AA1333" s="17">
        <f>ROUND($B1333*AA$1288,2)</f>
        <v>0</v>
      </c>
      <c r="AB1333" s="19">
        <f>SUM(V1296:AA1296)</f>
        <v>0</v>
      </c>
      <c r="AC1333" s="67" t="str">
        <f>+F1333</f>
        <v>HL40</v>
      </c>
    </row>
    <row r="1334" spans="1:29" x14ac:dyDescent="0.2">
      <c r="A1334" s="48"/>
      <c r="B1334" s="103">
        <v>-1</v>
      </c>
      <c r="D1334" s="8"/>
      <c r="E1334" s="9"/>
      <c r="F1334" s="36"/>
      <c r="G1334" s="17"/>
      <c r="H1334" s="19"/>
      <c r="J1334" s="8"/>
      <c r="K1334" s="17"/>
      <c r="L1334" s="17"/>
      <c r="M1334" s="17"/>
      <c r="N1334" s="17"/>
      <c r="O1334" s="17"/>
      <c r="P1334" s="17"/>
      <c r="Q1334" s="17"/>
      <c r="R1334" s="38" t="e">
        <f>VLOOKUP((D1335),'Pwr Factor'!$A$1:$B$52,2)</f>
        <v>#N/A</v>
      </c>
      <c r="S1334" s="50">
        <v>0.5</v>
      </c>
      <c r="T1334" s="17"/>
      <c r="U1334" s="17"/>
      <c r="V1334" s="17"/>
      <c r="W1334" s="17"/>
      <c r="X1334" s="17"/>
      <c r="Y1334" s="17"/>
      <c r="Z1334" s="17"/>
      <c r="AA1334" s="17"/>
    </row>
    <row r="1335" spans="1:29" x14ac:dyDescent="0.2">
      <c r="A1335" s="1" t="s">
        <v>139</v>
      </c>
      <c r="B1335" s="103">
        <f>IF(AND('AES Indiana Bill Calc.'!$D$17="HL4",'AES Indiana Bill Calc.'!$D$18="Yes 50%",'AES Indiana Bill Calc.'!$D$20="Yes 2020"),'AES Indiana Bill Calc.'!$D$19,-1)</f>
        <v>-1</v>
      </c>
      <c r="C1335" s="103">
        <f>MAX(E1335,$C$905)</f>
        <v>2000</v>
      </c>
      <c r="D1335" s="103" t="b">
        <f>IF(AND('AES Indiana Bill Calc.'!$D$17="HL4",'AES Indiana Bill Calc.'!$D$18="Yes 50%",'AES Indiana Bill Calc.'!$D$20="Yes 2020"),'AES Indiana Bill Calc.'!$D$22)</f>
        <v>0</v>
      </c>
      <c r="E1335" s="103" t="b">
        <f>IF(AND('AES Indiana Bill Calc.'!$D$17="HL4",'AES Indiana Bill Calc.'!$D$18="Yes 50%",'AES Indiana Bill Calc.'!$D$20="Yes 2020"),'AES Indiana Bill Calc.'!$D$21)</f>
        <v>0</v>
      </c>
      <c r="F1335" s="36" t="s">
        <v>248</v>
      </c>
      <c r="G1335" s="92" t="e">
        <f>SUM(J1335:M1335,R1335:AA1335)</f>
        <v>#N/A</v>
      </c>
      <c r="H1335" s="19" t="e">
        <f>IF(ISBLANK(B1335),0,+#REF!/B1335)</f>
        <v>#REF!</v>
      </c>
      <c r="J1335" s="51">
        <f>IF(ISBLANK(B1335),0,+J$1162)</f>
        <v>500</v>
      </c>
      <c r="K1335" s="17">
        <f>ROUND($B1335*K$1288,2)</f>
        <v>-0.06</v>
      </c>
      <c r="L1335" s="17">
        <f>IF(ISBLANK($C1335),0,IF($C1335&lt;$C$1163,ROUND($C$1163*$L$1288,2),IF($C1335&gt;L$1289,ROUND(L$1289*L$1288,2),ROUND($C1335*L$1288,2))))</f>
        <v>30120</v>
      </c>
      <c r="M1335" s="17">
        <f>IF($C1335&gt;L$1037,ROUND(($C1335-L$1037)*M$1036,2),0)</f>
        <v>0</v>
      </c>
      <c r="N1335" s="17">
        <f>K1335</f>
        <v>-0.06</v>
      </c>
      <c r="O1335" s="17"/>
      <c r="P1335" s="17"/>
      <c r="Q1335" s="17">
        <f>SUM(L1335:M1335)</f>
        <v>30120</v>
      </c>
      <c r="R1335" s="16" t="e">
        <f>ROUND(SUM(K1335:M1335)*(R1334-1),2)</f>
        <v>#N/A</v>
      </c>
      <c r="S1335" s="17">
        <f>ROUND($B1335*S$1162*S1334,2)</f>
        <v>0</v>
      </c>
      <c r="T1335" s="17">
        <f>ROUND($B1335*T$1288,2)</f>
        <v>0</v>
      </c>
      <c r="U1335" s="17">
        <f>ROUND($B1335*U$1288,2)</f>
        <v>0</v>
      </c>
      <c r="V1335" s="17">
        <f>ROUND($B1335*V$1155,2)</f>
        <v>0</v>
      </c>
      <c r="W1335" s="17">
        <f>ROUND($B1335*W$1288,2)</f>
        <v>0</v>
      </c>
      <c r="X1335" s="17">
        <f>ROUND($B1335*X$1288,2)</f>
        <v>-0.01</v>
      </c>
      <c r="Y1335" s="17">
        <f>ROUND($B1335*Y$1288,2)</f>
        <v>0</v>
      </c>
      <c r="Z1335" s="17">
        <f>ROUND($B1335*Z$1288,2)</f>
        <v>0</v>
      </c>
      <c r="AA1335" s="17">
        <f>ROUND($B1335*AA$1288,2)</f>
        <v>0</v>
      </c>
      <c r="AB1335" s="19">
        <f>SUM(V1298:AA1298)</f>
        <v>0</v>
      </c>
      <c r="AC1335" s="67" t="str">
        <f>+F1335</f>
        <v>HL40</v>
      </c>
    </row>
    <row r="1336" spans="1:29" x14ac:dyDescent="0.2">
      <c r="A1336" s="9"/>
      <c r="B1336" s="103">
        <v>-1</v>
      </c>
      <c r="D1336" s="8"/>
      <c r="E1336" s="9"/>
      <c r="F1336" s="36"/>
      <c r="G1336" s="17"/>
      <c r="H1336" s="19"/>
      <c r="J1336" s="8"/>
      <c r="K1336" s="17"/>
      <c r="L1336" s="17"/>
      <c r="M1336" s="17"/>
      <c r="N1336" s="17"/>
      <c r="O1336" s="17"/>
      <c r="P1336" s="17"/>
      <c r="Q1336" s="17"/>
      <c r="R1336" s="38" t="e">
        <f>VLOOKUP((D1337),'Pwr Factor'!$A$1:$B$52,2)</f>
        <v>#N/A</v>
      </c>
      <c r="S1336" s="50">
        <v>0.25</v>
      </c>
      <c r="T1336" s="17"/>
      <c r="U1336" s="17"/>
      <c r="V1336" s="17"/>
      <c r="W1336" s="17"/>
      <c r="X1336" s="17"/>
      <c r="Y1336" s="17"/>
      <c r="Z1336" s="17"/>
      <c r="AA1336" s="17"/>
    </row>
    <row r="1337" spans="1:29" x14ac:dyDescent="0.2">
      <c r="A1337" s="1" t="s">
        <v>140</v>
      </c>
      <c r="B1337" s="103">
        <f>IF(AND('AES Indiana Bill Calc.'!$D$17="HL4",'AES Indiana Bill Calc.'!$D$18="Yes 25%",'AES Indiana Bill Calc.'!$D$20="Yes 2020"),'AES Indiana Bill Calc.'!$D$19,-1)</f>
        <v>-1</v>
      </c>
      <c r="C1337" s="103">
        <f>MAX(E1337,$C$905)</f>
        <v>2000</v>
      </c>
      <c r="D1337" s="103" t="b">
        <f>IF(AND('AES Indiana Bill Calc.'!$D$17="HL4",'AES Indiana Bill Calc.'!$D$18="Yes 25%",'AES Indiana Bill Calc.'!$D$20="Yes 2020"),'AES Indiana Bill Calc.'!$D$22)</f>
        <v>0</v>
      </c>
      <c r="E1337" s="103" t="b">
        <f>IF(AND('AES Indiana Bill Calc.'!$D$17="HL4",'AES Indiana Bill Calc.'!$D$18="Yes 25%",'AES Indiana Bill Calc.'!$D$20="Yes 2020"),'AES Indiana Bill Calc.'!$D$21)</f>
        <v>0</v>
      </c>
      <c r="F1337" s="36" t="s">
        <v>248</v>
      </c>
      <c r="G1337" s="92" t="e">
        <f>SUM(J1337:M1337,R1337:AA1337)</f>
        <v>#N/A</v>
      </c>
      <c r="H1337" s="19" t="e">
        <f>IF(ISBLANK(B1337),0,+#REF!/B1337)</f>
        <v>#REF!</v>
      </c>
      <c r="J1337" s="51">
        <f>IF(ISBLANK(B1337),0,+J$1162)</f>
        <v>500</v>
      </c>
      <c r="K1337" s="17">
        <f>ROUND($B1337*K$1288,2)</f>
        <v>-0.06</v>
      </c>
      <c r="L1337" s="17">
        <f>IF(ISBLANK($C1337),0,IF($C1337&lt;$C$1163,ROUND($C$1163*$L$1288,2),IF($C1337&gt;L$1289,ROUND(L$1289*L$1288,2),ROUND($C1337*L$1288,2))))</f>
        <v>30120</v>
      </c>
      <c r="M1337" s="17">
        <f>IF($C1337&gt;L$1037,ROUND(($C1337-L$1037)*M$1036,2),0)</f>
        <v>0</v>
      </c>
      <c r="N1337" s="17">
        <f>K1337</f>
        <v>-0.06</v>
      </c>
      <c r="O1337" s="17"/>
      <c r="P1337" s="17"/>
      <c r="Q1337" s="17">
        <f>SUM(L1337:M1337)</f>
        <v>30120</v>
      </c>
      <c r="R1337" s="16" t="e">
        <f>ROUND(SUM(K1337:M1337)*(R1336-1),2)</f>
        <v>#N/A</v>
      </c>
      <c r="S1337" s="17">
        <f>ROUND($B1337*S$1162*S1336,2)</f>
        <v>0</v>
      </c>
      <c r="T1337" s="17">
        <f>ROUND($B1337*T$1288,2)</f>
        <v>0</v>
      </c>
      <c r="U1337" s="17">
        <f>ROUND($B1337*U$1288,2)</f>
        <v>0</v>
      </c>
      <c r="V1337" s="17">
        <f>ROUND($B1337*V$1155,2)</f>
        <v>0</v>
      </c>
      <c r="W1337" s="17">
        <f>ROUND($B1337*W$1288,2)</f>
        <v>0</v>
      </c>
      <c r="X1337" s="17">
        <f>ROUND($B1337*X$1288,2)</f>
        <v>-0.01</v>
      </c>
      <c r="Y1337" s="17">
        <f>ROUND($B1337*Y$1288,2)</f>
        <v>0</v>
      </c>
      <c r="Z1337" s="17">
        <f>ROUND($B1337*Z$1288,2)</f>
        <v>0</v>
      </c>
      <c r="AA1337" s="17">
        <f>ROUND($B1337*AA$1288,2)</f>
        <v>0</v>
      </c>
      <c r="AB1337" s="19">
        <f>SUM(V1300:AA1300)</f>
        <v>0</v>
      </c>
      <c r="AC1337" s="67" t="str">
        <f>+F1337</f>
        <v>HL40</v>
      </c>
    </row>
    <row r="1338" spans="1:29" x14ac:dyDescent="0.2">
      <c r="A1338" s="9"/>
      <c r="B1338" s="103">
        <v>-1</v>
      </c>
      <c r="D1338" s="8"/>
      <c r="E1338" s="9"/>
      <c r="F1338" s="36"/>
      <c r="G1338" s="17"/>
      <c r="H1338" s="19"/>
      <c r="J1338" s="8"/>
      <c r="K1338" s="17"/>
      <c r="L1338" s="17"/>
      <c r="M1338" s="17"/>
      <c r="N1338" s="17"/>
      <c r="O1338" s="17"/>
      <c r="P1338" s="17"/>
      <c r="Q1338" s="17"/>
      <c r="R1338" s="38" t="e">
        <f>VLOOKUP((D1339),'Pwr Factor'!$A$1:$B$52,2)</f>
        <v>#N/A</v>
      </c>
      <c r="S1338" s="50">
        <v>0.1</v>
      </c>
      <c r="T1338" s="17"/>
      <c r="U1338" s="17"/>
      <c r="V1338" s="17"/>
      <c r="W1338" s="17"/>
      <c r="X1338" s="17"/>
      <c r="Y1338" s="17"/>
      <c r="Z1338" s="17"/>
      <c r="AA1338" s="17"/>
    </row>
    <row r="1339" spans="1:29" x14ac:dyDescent="0.2">
      <c r="A1339" s="1" t="s">
        <v>154</v>
      </c>
      <c r="B1339" s="103">
        <f>IF(AND('AES Indiana Bill Calc.'!$D$17="HL4",'AES Indiana Bill Calc.'!$D$18="Yes 10%",'AES Indiana Bill Calc.'!$D$20="Yes 2020"),'AES Indiana Bill Calc.'!$D$19,-1)</f>
        <v>-1</v>
      </c>
      <c r="C1339" s="103">
        <f>MAX(E1339,$C$905)</f>
        <v>2000</v>
      </c>
      <c r="D1339" s="103" t="b">
        <f>IF(AND('AES Indiana Bill Calc.'!$D$17="HL4",'AES Indiana Bill Calc.'!$D$18="Yes 10%",'AES Indiana Bill Calc.'!$D$20="Yes 2020"),'AES Indiana Bill Calc.'!$D$22)</f>
        <v>0</v>
      </c>
      <c r="E1339" s="103" t="b">
        <f>IF(AND('AES Indiana Bill Calc.'!$D$17="HL4",'AES Indiana Bill Calc.'!$D$18="Yes 10%",'AES Indiana Bill Calc.'!$D$20="Yes 2020"),'AES Indiana Bill Calc.'!$D$21)</f>
        <v>0</v>
      </c>
      <c r="F1339" s="36" t="s">
        <v>248</v>
      </c>
      <c r="G1339" s="92" t="e">
        <f>SUM(J1339:M1339,R1339:AA1339)</f>
        <v>#N/A</v>
      </c>
      <c r="H1339" s="19" t="e">
        <f>IF(ISBLANK(B1339),0,+#REF!/B1339)</f>
        <v>#REF!</v>
      </c>
      <c r="J1339" s="51">
        <f>IF(ISBLANK(B1339),0,+J$1162)</f>
        <v>500</v>
      </c>
      <c r="K1339" s="17">
        <f>ROUND($B1339*K$1288,2)</f>
        <v>-0.06</v>
      </c>
      <c r="L1339" s="17">
        <f>IF(ISBLANK($C1339),0,IF($C1339&lt;$C$1163,ROUND($C$1163*$L$1288,2),IF($C1339&gt;L$1289,ROUND(L$1289*L$1288,2),ROUND($C1339*L$1288,2))))</f>
        <v>30120</v>
      </c>
      <c r="M1339" s="17">
        <f>IF($C1339&gt;L$1037,ROUND(($C1339-L$1037)*M$1036,2),0)</f>
        <v>0</v>
      </c>
      <c r="N1339" s="17">
        <f>K1339</f>
        <v>-0.06</v>
      </c>
      <c r="O1339" s="17"/>
      <c r="P1339" s="17"/>
      <c r="Q1339" s="17">
        <f>SUM(L1339:M1339)</f>
        <v>30120</v>
      </c>
      <c r="R1339" s="16" t="e">
        <f>ROUND(SUM(K1339:M1339)*(R1338-1),2)</f>
        <v>#N/A</v>
      </c>
      <c r="S1339" s="17">
        <f>ROUND($B1339*S$1162*S1338,2)</f>
        <v>0</v>
      </c>
      <c r="T1339" s="17">
        <f>ROUND($B1339*T$1288,2)</f>
        <v>0</v>
      </c>
      <c r="U1339" s="17">
        <f>ROUND($B1339*U$1288,2)</f>
        <v>0</v>
      </c>
      <c r="V1339" s="17">
        <f>ROUND($B1339*V$1155,2)</f>
        <v>0</v>
      </c>
      <c r="W1339" s="17">
        <f>ROUND($B1339*W$1288,2)</f>
        <v>0</v>
      </c>
      <c r="X1339" s="17">
        <f>ROUND($B1339*X$1288,2)</f>
        <v>-0.01</v>
      </c>
      <c r="Y1339" s="17">
        <f>ROUND($B1339*Y$1288,2)</f>
        <v>0</v>
      </c>
      <c r="Z1339" s="17">
        <f>ROUND($B1339*Z$1288,2)</f>
        <v>0</v>
      </c>
      <c r="AA1339" s="17">
        <f>ROUND($B1339*AA$1288,2)</f>
        <v>0</v>
      </c>
      <c r="AB1339" s="19">
        <f>SUM(V1302:AA1302)</f>
        <v>0</v>
      </c>
      <c r="AC1339" s="67" t="str">
        <f>+F1339</f>
        <v>HL40</v>
      </c>
    </row>
    <row r="1340" spans="1:29" x14ac:dyDescent="0.2">
      <c r="A1340" s="9"/>
      <c r="B1340" s="103">
        <v>-1</v>
      </c>
      <c r="D1340" s="8"/>
      <c r="E1340" s="9"/>
      <c r="F1340" s="36"/>
      <c r="G1340" s="17"/>
      <c r="H1340" s="19"/>
      <c r="J1340" s="8"/>
      <c r="K1340" s="17"/>
      <c r="L1340" s="17"/>
      <c r="M1340" s="17"/>
      <c r="N1340" s="17"/>
      <c r="O1340" s="17"/>
      <c r="P1340" s="17"/>
      <c r="Q1340" s="17"/>
      <c r="R1340" s="38" t="e">
        <f>VLOOKUP((D1341),'Pwr Factor'!$A$1:$B$52,2)</f>
        <v>#N/A</v>
      </c>
      <c r="S1340" s="50">
        <v>0</v>
      </c>
      <c r="T1340" s="17"/>
      <c r="U1340" s="17"/>
      <c r="V1340" s="17"/>
      <c r="W1340" s="17"/>
      <c r="X1340" s="17"/>
      <c r="Y1340" s="17"/>
      <c r="Z1340" s="17"/>
      <c r="AA1340" s="17"/>
    </row>
    <row r="1341" spans="1:29" x14ac:dyDescent="0.2">
      <c r="A1341" s="1" t="s">
        <v>137</v>
      </c>
      <c r="B1341" s="103">
        <f>IF(AND('AES Indiana Bill Calc.'!$D$17="HL4",'AES Indiana Bill Calc.'!$D$18="No",'AES Indiana Bill Calc.'!$D$20="Yes 2020"),'AES Indiana Bill Calc.'!$D$19,-1)</f>
        <v>-1</v>
      </c>
      <c r="C1341" s="103">
        <f>MAX(E1341,$C$905)</f>
        <v>2000</v>
      </c>
      <c r="D1341" s="103" t="b">
        <f>IF(AND('AES Indiana Bill Calc.'!$D$17="HL4",'AES Indiana Bill Calc.'!$D$18="No",'AES Indiana Bill Calc.'!$D$20="Yes 2020"),'AES Indiana Bill Calc.'!$D$22)</f>
        <v>0</v>
      </c>
      <c r="E1341" s="103" t="b">
        <f>IF(AND('AES Indiana Bill Calc.'!$D$17="HL4",'AES Indiana Bill Calc.'!$D$18="No",'AES Indiana Bill Calc.'!$D$20="Yes 2020"),'AES Indiana Bill Calc.'!$D$21)</f>
        <v>0</v>
      </c>
      <c r="F1341" s="36" t="s">
        <v>248</v>
      </c>
      <c r="G1341" s="92" t="e">
        <f>SUM(J1341:M1341,R1341:AA1341)</f>
        <v>#N/A</v>
      </c>
      <c r="H1341" s="19" t="e">
        <f>IF(ISBLANK(B1341),0,+#REF!/B1341)</f>
        <v>#REF!</v>
      </c>
      <c r="J1341" s="51">
        <f>IF(ISBLANK(B1341),0,+J$1162)</f>
        <v>500</v>
      </c>
      <c r="K1341" s="17">
        <f>ROUND($B1341*K$1288,2)</f>
        <v>-0.06</v>
      </c>
      <c r="L1341" s="17">
        <f>IF(ISBLANK($C1341),0,IF($C1341&lt;$C$1163,ROUND($C$1163*$L$1288,2),IF($C1341&gt;L$1289,ROUND(L$1289*L$1288,2),ROUND($C1341*L$1288,2))))</f>
        <v>30120</v>
      </c>
      <c r="M1341" s="17">
        <f>IF($C1341&gt;L$1037,ROUND(($C1341-L$1037)*M$1036,2),0)</f>
        <v>0</v>
      </c>
      <c r="N1341" s="17">
        <f>K1341</f>
        <v>-0.06</v>
      </c>
      <c r="O1341" s="17"/>
      <c r="P1341" s="17"/>
      <c r="Q1341" s="17">
        <f>SUM(L1341:M1341)</f>
        <v>30120</v>
      </c>
      <c r="R1341" s="16" t="e">
        <f>ROUND(SUM(K1341:M1341)*(R1340-1),2)</f>
        <v>#N/A</v>
      </c>
      <c r="S1341" s="17">
        <f>ROUND($B1341*S$1162*S1340,2)</f>
        <v>0</v>
      </c>
      <c r="T1341" s="17">
        <f>ROUND($B1341*T$1288,2)</f>
        <v>0</v>
      </c>
      <c r="U1341" s="17">
        <f>ROUND($B1341*U$1288,2)</f>
        <v>0</v>
      </c>
      <c r="V1341" s="17">
        <f>ROUND($B1341*V$1155,2)</f>
        <v>0</v>
      </c>
      <c r="W1341" s="17">
        <f>ROUND($B1341*W$1288,2)</f>
        <v>0</v>
      </c>
      <c r="X1341" s="17">
        <f>ROUND($B1341*X$1288,2)</f>
        <v>-0.01</v>
      </c>
      <c r="Y1341" s="17">
        <f>ROUND($B1341*Y$1288,2)</f>
        <v>0</v>
      </c>
      <c r="Z1341" s="17">
        <f>ROUND($B1341*Z$1288,2)</f>
        <v>0</v>
      </c>
      <c r="AA1341" s="17">
        <f>ROUND($B1341*AA$1288,2)</f>
        <v>0</v>
      </c>
      <c r="AB1341" s="19">
        <f>SUM(V1304:AA1304)</f>
        <v>0</v>
      </c>
      <c r="AC1341" s="67" t="str">
        <f>+F1341</f>
        <v>HL40</v>
      </c>
    </row>
    <row r="1342" spans="1:29" x14ac:dyDescent="0.2">
      <c r="B1342" s="103">
        <v>-1</v>
      </c>
      <c r="D1342" s="8"/>
      <c r="E1342" s="9"/>
      <c r="F1342" s="36"/>
      <c r="G1342" s="17"/>
      <c r="H1342" s="19"/>
      <c r="J1342" s="8"/>
      <c r="K1342" s="17"/>
      <c r="L1342" s="17"/>
      <c r="M1342" s="17"/>
      <c r="N1342" s="17"/>
      <c r="O1342" s="17"/>
      <c r="P1342" s="17"/>
      <c r="Q1342" s="17"/>
      <c r="R1342" s="38" t="e">
        <f>VLOOKUP((D1343),'Pwr Factor'!$A$1:$B$52,2)</f>
        <v>#N/A</v>
      </c>
      <c r="S1342" s="50">
        <v>1</v>
      </c>
      <c r="T1342" s="17"/>
      <c r="U1342" s="17"/>
      <c r="V1342" s="17"/>
      <c r="W1342" s="17"/>
      <c r="X1342" s="17"/>
      <c r="Y1342" s="17"/>
      <c r="Z1342" s="17"/>
      <c r="AA1342" s="17"/>
    </row>
    <row r="1343" spans="1:29" x14ac:dyDescent="0.2">
      <c r="A1343" s="1" t="s">
        <v>138</v>
      </c>
      <c r="B1343" s="103">
        <f>IF(AND('AES Indiana Bill Calc.'!$D$17="HL4",'AES Indiana Bill Calc.'!$D$18="Yes 100%",'AES Indiana Bill Calc.'!$D$20="Yes 2021"),'AES Indiana Bill Calc.'!$D$19,-1)</f>
        <v>-1</v>
      </c>
      <c r="C1343" s="103">
        <f>MAX(E1343,$C$905)</f>
        <v>2000</v>
      </c>
      <c r="D1343" s="103" t="b">
        <f>IF(AND('AES Indiana Bill Calc.'!$D$17="HL4",'AES Indiana Bill Calc.'!$D$18="Yes 100%",'AES Indiana Bill Calc.'!$D$20="Yes 2021"),'AES Indiana Bill Calc.'!$D$22)</f>
        <v>0</v>
      </c>
      <c r="E1343" s="103" t="b">
        <f>IF(AND('AES Indiana Bill Calc.'!$D$17="HL4",'AES Indiana Bill Calc.'!$D$18="Yes 100%",'AES Indiana Bill Calc.'!$D$20="Yes 2021"),'AES Indiana Bill Calc.'!$D$21)</f>
        <v>0</v>
      </c>
      <c r="F1343" s="36" t="s">
        <v>249</v>
      </c>
      <c r="G1343" s="92" t="e">
        <f>SUM(J1343:M1343,R1343:AA1343)</f>
        <v>#N/A</v>
      </c>
      <c r="H1343" s="19" t="e">
        <f>IF(ISBLANK(B1343),0,+#REF!/B1343)</f>
        <v>#REF!</v>
      </c>
      <c r="J1343" s="51">
        <f>IF(ISBLANK(B1343),0,+J$1162)</f>
        <v>500</v>
      </c>
      <c r="K1343" s="17">
        <f>ROUND($B1343*K$1288,2)</f>
        <v>-0.06</v>
      </c>
      <c r="L1343" s="17">
        <f>IF(ISBLANK($C1343),0,IF($C1343&lt;$C$1163,ROUND($C$1163*$L$1288,2),IF($C1343&gt;L$1289,ROUND(L$1289*L$1288,2),ROUND($C1343*L$1288,2))))</f>
        <v>30120</v>
      </c>
      <c r="M1343" s="17">
        <f>IF($C1343&gt;L$1037,ROUND(($C1343-L$1037)*M$1036,2),0)</f>
        <v>0</v>
      </c>
      <c r="N1343" s="17">
        <f>K1343</f>
        <v>-0.06</v>
      </c>
      <c r="O1343" s="17"/>
      <c r="P1343" s="17"/>
      <c r="Q1343" s="17">
        <f>SUM(L1343:M1343)</f>
        <v>30120</v>
      </c>
      <c r="R1343" s="16" t="e">
        <f>ROUND(SUM(K1343:M1343)*(R1342-1),2)</f>
        <v>#N/A</v>
      </c>
      <c r="S1343" s="17">
        <f>ROUND($B1343*S$1162*S1342,2)</f>
        <v>0</v>
      </c>
      <c r="T1343" s="17">
        <f>ROUND($B1343*T$1288,2)</f>
        <v>0</v>
      </c>
      <c r="U1343" s="17">
        <f>ROUND($B1343*U$1288,2)</f>
        <v>0</v>
      </c>
      <c r="V1343" s="17">
        <f>ROUND($B1343*V$1156,2)</f>
        <v>0</v>
      </c>
      <c r="W1343" s="17">
        <f>ROUND($B1343*W$1288,2)</f>
        <v>0</v>
      </c>
      <c r="X1343" s="17">
        <f>ROUND($B1343*X$1288,2)</f>
        <v>-0.01</v>
      </c>
      <c r="Y1343" s="17">
        <f>ROUND($B1343*Y$1288,2)</f>
        <v>0</v>
      </c>
      <c r="Z1343" s="17">
        <f>ROUND($B1343*Z$1288,2)</f>
        <v>0</v>
      </c>
      <c r="AA1343" s="17">
        <f>ROUND($B1343*AA$1288,2)</f>
        <v>0</v>
      </c>
      <c r="AB1343" s="19">
        <f>SUM(V1306:AA1306)</f>
        <v>0</v>
      </c>
      <c r="AC1343" s="67" t="str">
        <f>+F1343</f>
        <v>HL41</v>
      </c>
    </row>
    <row r="1344" spans="1:29" x14ac:dyDescent="0.2">
      <c r="A1344" s="48"/>
      <c r="B1344" s="103">
        <v>-1</v>
      </c>
      <c r="D1344" s="8"/>
      <c r="E1344" s="9"/>
      <c r="F1344" s="36"/>
      <c r="G1344" s="17"/>
      <c r="H1344" s="19"/>
      <c r="J1344" s="8"/>
      <c r="K1344" s="17"/>
      <c r="L1344" s="17"/>
      <c r="M1344" s="17"/>
      <c r="N1344" s="17"/>
      <c r="O1344" s="17"/>
      <c r="P1344" s="17"/>
      <c r="Q1344" s="17"/>
      <c r="R1344" s="38" t="e">
        <f>VLOOKUP((D1345),'Pwr Factor'!$A$1:$B$52,2)</f>
        <v>#N/A</v>
      </c>
      <c r="S1344" s="50">
        <v>0.5</v>
      </c>
      <c r="T1344" s="17"/>
      <c r="U1344" s="17"/>
      <c r="V1344" s="17"/>
      <c r="W1344" s="17"/>
      <c r="X1344" s="17"/>
      <c r="Y1344" s="17"/>
      <c r="Z1344" s="17"/>
      <c r="AA1344" s="17"/>
    </row>
    <row r="1345" spans="1:29" x14ac:dyDescent="0.2">
      <c r="A1345" s="1" t="s">
        <v>139</v>
      </c>
      <c r="B1345" s="103">
        <f>IF(AND('AES Indiana Bill Calc.'!$D$17="HL4",'AES Indiana Bill Calc.'!$D$18="Yes 50%",'AES Indiana Bill Calc.'!$D$20="Yes 2021"),'AES Indiana Bill Calc.'!$D$19,-1)</f>
        <v>-1</v>
      </c>
      <c r="C1345" s="103">
        <f>MAX(E1345,$C$905)</f>
        <v>2000</v>
      </c>
      <c r="D1345" s="103" t="b">
        <f>IF(AND('AES Indiana Bill Calc.'!$D$17="HL4",'AES Indiana Bill Calc.'!$D$18="Yes 50%",'AES Indiana Bill Calc.'!$D$20="Yes 2021"),'AES Indiana Bill Calc.'!$D$22)</f>
        <v>0</v>
      </c>
      <c r="E1345" s="103" t="b">
        <f>IF(AND('AES Indiana Bill Calc.'!$D$17="HL4",'AES Indiana Bill Calc.'!$D$18="Yes 50%",'AES Indiana Bill Calc.'!$D$20="Yes 2021"),'AES Indiana Bill Calc.'!$D$21)</f>
        <v>0</v>
      </c>
      <c r="F1345" s="36" t="s">
        <v>249</v>
      </c>
      <c r="G1345" s="92" t="e">
        <f>SUM(J1345:M1345,R1345:AA1345)</f>
        <v>#N/A</v>
      </c>
      <c r="H1345" s="19" t="e">
        <f>IF(ISBLANK(B1345),0,+#REF!/B1345)</f>
        <v>#REF!</v>
      </c>
      <c r="J1345" s="51">
        <f>IF(ISBLANK(B1345),0,+J$1162)</f>
        <v>500</v>
      </c>
      <c r="K1345" s="17">
        <f>ROUND($B1345*K$1288,2)</f>
        <v>-0.06</v>
      </c>
      <c r="L1345" s="17">
        <f>IF(ISBLANK($C1345),0,IF($C1345&lt;$C$1163,ROUND($C$1163*$L$1288,2),IF($C1345&gt;L$1289,ROUND(L$1289*L$1288,2),ROUND($C1345*L$1288,2))))</f>
        <v>30120</v>
      </c>
      <c r="M1345" s="17">
        <f>IF($C1345&gt;L$1037,ROUND(($C1345-L$1037)*M$1036,2),0)</f>
        <v>0</v>
      </c>
      <c r="N1345" s="17">
        <f>K1345</f>
        <v>-0.06</v>
      </c>
      <c r="O1345" s="17"/>
      <c r="P1345" s="17"/>
      <c r="Q1345" s="17">
        <f>SUM(L1345:M1345)</f>
        <v>30120</v>
      </c>
      <c r="R1345" s="16" t="e">
        <f>ROUND(SUM(K1345:M1345)*(R1344-1),2)</f>
        <v>#N/A</v>
      </c>
      <c r="S1345" s="17">
        <f>ROUND($B1345*S$1162*S1344,2)</f>
        <v>0</v>
      </c>
      <c r="T1345" s="17">
        <f>ROUND($B1345*T$1288,2)</f>
        <v>0</v>
      </c>
      <c r="U1345" s="17">
        <f>ROUND($B1345*U$1288,2)</f>
        <v>0</v>
      </c>
      <c r="V1345" s="17">
        <f>ROUND($B1345*V$1156,2)</f>
        <v>0</v>
      </c>
      <c r="W1345" s="17">
        <f>ROUND($B1345*W$1288,2)</f>
        <v>0</v>
      </c>
      <c r="X1345" s="17">
        <f>ROUND($B1345*X$1288,2)</f>
        <v>-0.01</v>
      </c>
      <c r="Y1345" s="17">
        <f>ROUND($B1345*Y$1288,2)</f>
        <v>0</v>
      </c>
      <c r="Z1345" s="17">
        <f>ROUND($B1345*Z$1288,2)</f>
        <v>0</v>
      </c>
      <c r="AA1345" s="17">
        <f>ROUND($B1345*AA$1288,2)</f>
        <v>0</v>
      </c>
      <c r="AB1345" s="19">
        <f>SUM(V1308:AA1308)</f>
        <v>0</v>
      </c>
      <c r="AC1345" s="67" t="str">
        <f>+F1345</f>
        <v>HL41</v>
      </c>
    </row>
    <row r="1346" spans="1:29" x14ac:dyDescent="0.2">
      <c r="A1346" s="9"/>
      <c r="B1346" s="103">
        <v>-1</v>
      </c>
      <c r="D1346" s="8"/>
      <c r="E1346" s="9"/>
      <c r="F1346" s="36"/>
      <c r="G1346" s="17"/>
      <c r="H1346" s="19"/>
      <c r="J1346" s="8"/>
      <c r="K1346" s="17"/>
      <c r="L1346" s="17"/>
      <c r="M1346" s="17"/>
      <c r="N1346" s="17"/>
      <c r="O1346" s="17"/>
      <c r="P1346" s="17"/>
      <c r="Q1346" s="17"/>
      <c r="R1346" s="38" t="e">
        <f>VLOOKUP((D1347),'Pwr Factor'!$A$1:$B$52,2)</f>
        <v>#N/A</v>
      </c>
      <c r="S1346" s="50">
        <v>0.25</v>
      </c>
      <c r="T1346" s="17"/>
      <c r="U1346" s="17"/>
      <c r="V1346" s="17"/>
      <c r="W1346" s="17"/>
      <c r="X1346" s="17"/>
      <c r="Y1346" s="17"/>
      <c r="Z1346" s="17"/>
      <c r="AA1346" s="17"/>
    </row>
    <row r="1347" spans="1:29" x14ac:dyDescent="0.2">
      <c r="A1347" s="1" t="s">
        <v>140</v>
      </c>
      <c r="B1347" s="103">
        <f>IF(AND('AES Indiana Bill Calc.'!$D$17="HL4",'AES Indiana Bill Calc.'!$D$18="Yes 25%",'AES Indiana Bill Calc.'!$D$20="Yes 2021"),'AES Indiana Bill Calc.'!$D$19,-1)</f>
        <v>-1</v>
      </c>
      <c r="C1347" s="103">
        <f>MAX(E1347,$C$905)</f>
        <v>2000</v>
      </c>
      <c r="D1347" s="103" t="b">
        <f>IF(AND('AES Indiana Bill Calc.'!$D$17="HL4",'AES Indiana Bill Calc.'!$D$18="Yes 25%",'AES Indiana Bill Calc.'!$D$20="Yes 2021"),'AES Indiana Bill Calc.'!$D$22)</f>
        <v>0</v>
      </c>
      <c r="E1347" s="103" t="b">
        <f>IF(AND('AES Indiana Bill Calc.'!$D$17="HL4",'AES Indiana Bill Calc.'!$D$18="Yes 25%",'AES Indiana Bill Calc.'!$D$20="Yes 2021"),'AES Indiana Bill Calc.'!$D$21)</f>
        <v>0</v>
      </c>
      <c r="F1347" s="36" t="s">
        <v>249</v>
      </c>
      <c r="G1347" s="92" t="e">
        <f>SUM(J1347:M1347,R1347:AA1347)</f>
        <v>#N/A</v>
      </c>
      <c r="H1347" s="19" t="e">
        <f>IF(ISBLANK(B1347),0,+#REF!/B1347)</f>
        <v>#REF!</v>
      </c>
      <c r="J1347" s="51">
        <f>IF(ISBLANK(B1347),0,+J$1162)</f>
        <v>500</v>
      </c>
      <c r="K1347" s="17">
        <f>ROUND($B1347*K$1288,2)</f>
        <v>-0.06</v>
      </c>
      <c r="L1347" s="17">
        <f>IF(ISBLANK($C1347),0,IF($C1347&lt;$C$1163,ROUND($C$1163*$L$1288,2),IF($C1347&gt;L$1289,ROUND(L$1289*L$1288,2),ROUND($C1347*L$1288,2))))</f>
        <v>30120</v>
      </c>
      <c r="M1347" s="17">
        <f>IF($C1347&gt;L$1037,ROUND(($C1347-L$1037)*M$1036,2),0)</f>
        <v>0</v>
      </c>
      <c r="N1347" s="17">
        <f>K1347</f>
        <v>-0.06</v>
      </c>
      <c r="O1347" s="17"/>
      <c r="P1347" s="17"/>
      <c r="Q1347" s="17">
        <f>SUM(L1347:M1347)</f>
        <v>30120</v>
      </c>
      <c r="R1347" s="16" t="e">
        <f>ROUND(SUM(K1347:M1347)*(R1346-1),2)</f>
        <v>#N/A</v>
      </c>
      <c r="S1347" s="17">
        <f>ROUND($B1347*S$1162*S1346,2)</f>
        <v>0</v>
      </c>
      <c r="T1347" s="17">
        <f>ROUND($B1347*T$1288,2)</f>
        <v>0</v>
      </c>
      <c r="U1347" s="17">
        <f>ROUND($B1347*U$1288,2)</f>
        <v>0</v>
      </c>
      <c r="V1347" s="17">
        <f>ROUND($B1347*V$1156,2)</f>
        <v>0</v>
      </c>
      <c r="W1347" s="17">
        <f>ROUND($B1347*W$1288,2)</f>
        <v>0</v>
      </c>
      <c r="X1347" s="17">
        <f>ROUND($B1347*X$1288,2)</f>
        <v>-0.01</v>
      </c>
      <c r="Y1347" s="17">
        <f>ROUND($B1347*Y$1288,2)</f>
        <v>0</v>
      </c>
      <c r="Z1347" s="17">
        <f>ROUND($B1347*Z$1288,2)</f>
        <v>0</v>
      </c>
      <c r="AA1347" s="17">
        <f>ROUND($B1347*AA$1288,2)</f>
        <v>0</v>
      </c>
      <c r="AB1347" s="19">
        <f>SUM(V1310:AA1310)</f>
        <v>0</v>
      </c>
      <c r="AC1347" s="67" t="str">
        <f>+F1347</f>
        <v>HL41</v>
      </c>
    </row>
    <row r="1348" spans="1:29" x14ac:dyDescent="0.2">
      <c r="A1348" s="9"/>
      <c r="B1348" s="103">
        <v>-1</v>
      </c>
      <c r="D1348" s="8"/>
      <c r="E1348" s="9"/>
      <c r="F1348" s="36"/>
      <c r="G1348" s="17"/>
      <c r="H1348" s="19"/>
      <c r="J1348" s="8"/>
      <c r="K1348" s="17"/>
      <c r="L1348" s="17"/>
      <c r="M1348" s="17"/>
      <c r="N1348" s="17"/>
      <c r="O1348" s="17"/>
      <c r="P1348" s="17"/>
      <c r="Q1348" s="17"/>
      <c r="R1348" s="38" t="e">
        <f>VLOOKUP((D1349),'Pwr Factor'!$A$1:$B$52,2)</f>
        <v>#N/A</v>
      </c>
      <c r="S1348" s="50">
        <v>0.1</v>
      </c>
      <c r="T1348" s="17"/>
      <c r="U1348" s="17"/>
      <c r="V1348" s="17"/>
      <c r="W1348" s="17"/>
      <c r="X1348" s="17"/>
      <c r="Y1348" s="17"/>
      <c r="Z1348" s="17"/>
      <c r="AA1348" s="17"/>
    </row>
    <row r="1349" spans="1:29" x14ac:dyDescent="0.2">
      <c r="A1349" s="1" t="s">
        <v>154</v>
      </c>
      <c r="B1349" s="103">
        <f>IF(AND('AES Indiana Bill Calc.'!$D$17="HL4",'AES Indiana Bill Calc.'!$D$18="Yes 10%",'AES Indiana Bill Calc.'!$D$20="Yes 2021"),'AES Indiana Bill Calc.'!$D$19,-1)</f>
        <v>-1</v>
      </c>
      <c r="C1349" s="103">
        <f>MAX(E1349,$C$905)</f>
        <v>2000</v>
      </c>
      <c r="D1349" s="103" t="b">
        <f>IF(AND('AES Indiana Bill Calc.'!$D$17="HL4",'AES Indiana Bill Calc.'!$D$18="Yes 10%",'AES Indiana Bill Calc.'!$D$20="Yes 2021"),'AES Indiana Bill Calc.'!$D$22)</f>
        <v>0</v>
      </c>
      <c r="E1349" s="103" t="b">
        <f>IF(AND('AES Indiana Bill Calc.'!$D$17="HL4",'AES Indiana Bill Calc.'!$D$18="Yes 10%",'AES Indiana Bill Calc.'!$D$20="Yes 2021"),'AES Indiana Bill Calc.'!$D$21)</f>
        <v>0</v>
      </c>
      <c r="F1349" s="36" t="s">
        <v>249</v>
      </c>
      <c r="G1349" s="92" t="e">
        <f>SUM(J1349:M1349,R1349:AA1349)</f>
        <v>#N/A</v>
      </c>
      <c r="H1349" s="19" t="e">
        <f>IF(ISBLANK(B1349),0,+#REF!/B1349)</f>
        <v>#REF!</v>
      </c>
      <c r="J1349" s="51">
        <f>IF(ISBLANK(B1349),0,+J$1162)</f>
        <v>500</v>
      </c>
      <c r="K1349" s="17">
        <f>ROUND($B1349*K$1288,2)</f>
        <v>-0.06</v>
      </c>
      <c r="L1349" s="17">
        <f>IF(ISBLANK($C1349),0,IF($C1349&lt;$C$1163,ROUND($C$1163*$L$1288,2),IF($C1349&gt;L$1289,ROUND(L$1289*L$1288,2),ROUND($C1349*L$1288,2))))</f>
        <v>30120</v>
      </c>
      <c r="M1349" s="17">
        <f>IF($C1349&gt;L$1037,ROUND(($C1349-L$1037)*M$1036,2),0)</f>
        <v>0</v>
      </c>
      <c r="N1349" s="17">
        <f>K1349</f>
        <v>-0.06</v>
      </c>
      <c r="O1349" s="17"/>
      <c r="P1349" s="17"/>
      <c r="Q1349" s="17">
        <f>SUM(L1349:M1349)</f>
        <v>30120</v>
      </c>
      <c r="R1349" s="16" t="e">
        <f>ROUND(SUM(K1349:M1349)*(R1348-1),2)</f>
        <v>#N/A</v>
      </c>
      <c r="S1349" s="17">
        <f>ROUND($B1349*S$1162*S1348,2)</f>
        <v>0</v>
      </c>
      <c r="T1349" s="17">
        <f>ROUND($B1349*T$1288,2)</f>
        <v>0</v>
      </c>
      <c r="U1349" s="17">
        <f>ROUND($B1349*U$1288,2)</f>
        <v>0</v>
      </c>
      <c r="V1349" s="17">
        <f>ROUND($B1349*V$1156,2)</f>
        <v>0</v>
      </c>
      <c r="W1349" s="17">
        <f>ROUND($B1349*W$1288,2)</f>
        <v>0</v>
      </c>
      <c r="X1349" s="17">
        <f>ROUND($B1349*X$1288,2)</f>
        <v>-0.01</v>
      </c>
      <c r="Y1349" s="17">
        <f>ROUND($B1349*Y$1288,2)</f>
        <v>0</v>
      </c>
      <c r="Z1349" s="17">
        <f>ROUND($B1349*Z$1288,2)</f>
        <v>0</v>
      </c>
      <c r="AA1349" s="17">
        <f>ROUND($B1349*AA$1288,2)</f>
        <v>0</v>
      </c>
      <c r="AB1349" s="19">
        <f>SUM(V1312:AA1312)</f>
        <v>0</v>
      </c>
      <c r="AC1349" s="67" t="str">
        <f>+F1349</f>
        <v>HL41</v>
      </c>
    </row>
    <row r="1350" spans="1:29" x14ac:dyDescent="0.2">
      <c r="A1350" s="9"/>
      <c r="B1350" s="103">
        <v>-1</v>
      </c>
      <c r="D1350" s="8"/>
      <c r="E1350" s="9"/>
      <c r="F1350" s="36"/>
      <c r="G1350" s="17"/>
      <c r="H1350" s="19"/>
      <c r="J1350" s="8"/>
      <c r="K1350" s="17"/>
      <c r="L1350" s="17"/>
      <c r="M1350" s="17"/>
      <c r="N1350" s="17"/>
      <c r="O1350" s="17"/>
      <c r="P1350" s="17"/>
      <c r="Q1350" s="17"/>
      <c r="R1350" s="38" t="e">
        <f>VLOOKUP((D1351),'Pwr Factor'!$A$1:$B$52,2)</f>
        <v>#N/A</v>
      </c>
      <c r="S1350" s="50">
        <v>0</v>
      </c>
      <c r="T1350" s="17"/>
      <c r="U1350" s="17"/>
      <c r="V1350" s="17"/>
      <c r="W1350" s="17"/>
      <c r="X1350" s="17"/>
      <c r="Y1350" s="17"/>
      <c r="Z1350" s="17"/>
      <c r="AA1350" s="17"/>
    </row>
    <row r="1351" spans="1:29" x14ac:dyDescent="0.2">
      <c r="A1351" s="1" t="s">
        <v>137</v>
      </c>
      <c r="B1351" s="103">
        <f>IF(AND('AES Indiana Bill Calc.'!$D$17="HL4",'AES Indiana Bill Calc.'!$D$18="No",'AES Indiana Bill Calc.'!$D$20="Yes 2021"),'AES Indiana Bill Calc.'!$D$19,-1)</f>
        <v>-1</v>
      </c>
      <c r="C1351" s="103">
        <f>MAX(E1351,$C$905)</f>
        <v>2000</v>
      </c>
      <c r="D1351" s="103" t="b">
        <f>IF(AND('AES Indiana Bill Calc.'!$D$17="HL4",'AES Indiana Bill Calc.'!$D$18="No",'AES Indiana Bill Calc.'!$D$20="Yes 2021"),'AES Indiana Bill Calc.'!$D$22)</f>
        <v>0</v>
      </c>
      <c r="E1351" s="103" t="b">
        <f>IF(AND('AES Indiana Bill Calc.'!$D$17="HL4",'AES Indiana Bill Calc.'!$D$18="No",'AES Indiana Bill Calc.'!$D$20="Yes 2021"),'AES Indiana Bill Calc.'!$D$21)</f>
        <v>0</v>
      </c>
      <c r="F1351" s="36" t="s">
        <v>249</v>
      </c>
      <c r="G1351" s="92" t="e">
        <f>SUM(J1351:M1351,R1351:AA1351)</f>
        <v>#N/A</v>
      </c>
      <c r="H1351" s="19" t="e">
        <f>IF(ISBLANK(B1351),0,+#REF!/B1351)</f>
        <v>#REF!</v>
      </c>
      <c r="J1351" s="51">
        <f>IF(ISBLANK(B1351),0,+J$1162)</f>
        <v>500</v>
      </c>
      <c r="K1351" s="17">
        <f>ROUND($B1351*K$1288,2)</f>
        <v>-0.06</v>
      </c>
      <c r="L1351" s="17">
        <f>IF(ISBLANK($C1351),0,IF($C1351&lt;$C$1163,ROUND($C$1163*$L$1288,2),IF($C1351&gt;L$1289,ROUND(L$1289*L$1288,2),ROUND($C1351*L$1288,2))))</f>
        <v>30120</v>
      </c>
      <c r="M1351" s="17">
        <f>IF($C1351&gt;L$1037,ROUND(($C1351-L$1037)*M$1036,2),0)</f>
        <v>0</v>
      </c>
      <c r="N1351" s="17">
        <f>K1351</f>
        <v>-0.06</v>
      </c>
      <c r="O1351" s="17"/>
      <c r="P1351" s="17"/>
      <c r="Q1351" s="17">
        <f>SUM(L1351:M1351)</f>
        <v>30120</v>
      </c>
      <c r="R1351" s="16" t="e">
        <f>ROUND(SUM(K1351:M1351)*(R1350-1),2)</f>
        <v>#N/A</v>
      </c>
      <c r="S1351" s="17">
        <f>ROUND($B1351*S$1162*S1350,2)</f>
        <v>0</v>
      </c>
      <c r="T1351" s="17">
        <f>ROUND($B1351*T$1288,2)</f>
        <v>0</v>
      </c>
      <c r="U1351" s="17">
        <f>ROUND($B1351*U$1288,2)</f>
        <v>0</v>
      </c>
      <c r="V1351" s="17">
        <f>ROUND($B1351*V$1156,2)</f>
        <v>0</v>
      </c>
      <c r="W1351" s="17">
        <f>ROUND($B1351*W$1288,2)</f>
        <v>0</v>
      </c>
      <c r="X1351" s="17">
        <f>ROUND($B1351*X$1288,2)</f>
        <v>-0.01</v>
      </c>
      <c r="Y1351" s="17">
        <f>ROUND($B1351*Y$1288,2)</f>
        <v>0</v>
      </c>
      <c r="Z1351" s="17">
        <f>ROUND($B1351*Z$1288,2)</f>
        <v>0</v>
      </c>
      <c r="AA1351" s="17">
        <f>ROUND($B1351*AA$1288,2)</f>
        <v>0</v>
      </c>
      <c r="AB1351" s="19">
        <f>SUM(V1314:AA1314)</f>
        <v>0</v>
      </c>
      <c r="AC1351" s="67" t="str">
        <f>+F1351</f>
        <v>HL41</v>
      </c>
    </row>
    <row r="1352" spans="1:29" s="21" customFormat="1" ht="13.5" thickBot="1" x14ac:dyDescent="0.25">
      <c r="A1352"/>
      <c r="B1352" s="103">
        <v>-1</v>
      </c>
      <c r="C1352" s="2"/>
      <c r="D1352" s="8"/>
      <c r="E1352" s="9"/>
      <c r="F1352" s="36"/>
      <c r="G1352" s="17"/>
      <c r="H1352" s="19"/>
      <c r="I1352"/>
      <c r="J1352" s="8"/>
      <c r="K1352" s="17"/>
      <c r="L1352" s="17"/>
      <c r="M1352" s="17"/>
      <c r="N1352" s="17"/>
      <c r="O1352" s="17"/>
      <c r="P1352" s="17"/>
      <c r="Q1352" s="17"/>
      <c r="R1352" s="38" t="e">
        <f>VLOOKUP((D1353),'Pwr Factor'!$A$1:$B$52,2)</f>
        <v>#N/A</v>
      </c>
      <c r="S1352" s="50">
        <v>1</v>
      </c>
      <c r="T1352" s="17"/>
      <c r="U1352" s="17"/>
      <c r="V1352" s="17"/>
      <c r="W1352" s="17"/>
      <c r="X1352" s="17"/>
      <c r="Y1352" s="17"/>
      <c r="Z1352" s="17"/>
      <c r="AA1352" s="17"/>
      <c r="AB1352"/>
      <c r="AC1352"/>
    </row>
    <row r="1353" spans="1:29" x14ac:dyDescent="0.2">
      <c r="A1353" s="1" t="s">
        <v>138</v>
      </c>
      <c r="B1353" s="103">
        <f>IF(AND('AES Indiana Bill Calc.'!$D$17="HL4",'AES Indiana Bill Calc.'!$D$18="Yes 100%",'AES Indiana Bill Calc.'!$D$20="Yes 2022"),'AES Indiana Bill Calc.'!$D$19,-1)</f>
        <v>-1</v>
      </c>
      <c r="C1353" s="103">
        <f>MAX(E1353,$C$905)</f>
        <v>2000</v>
      </c>
      <c r="D1353" s="103" t="b">
        <f>IF(AND('AES Indiana Bill Calc.'!$D$17="HL4",'AES Indiana Bill Calc.'!$D$18="Yes 100%",'AES Indiana Bill Calc.'!$D$20="Yes 2022"),'AES Indiana Bill Calc.'!$D$22)</f>
        <v>0</v>
      </c>
      <c r="E1353" s="103" t="b">
        <f>IF(AND('AES Indiana Bill Calc.'!$D$17="HL4",'AES Indiana Bill Calc.'!$D$18="Yes 100%",'AES Indiana Bill Calc.'!$D$20="Yes 2022"),'AES Indiana Bill Calc.'!$D$21)</f>
        <v>0</v>
      </c>
      <c r="F1353" s="36" t="s">
        <v>250</v>
      </c>
      <c r="G1353" s="92" t="e">
        <f>SUM(J1353:M1353,R1353:AA1353)</f>
        <v>#N/A</v>
      </c>
      <c r="H1353" s="19" t="e">
        <f>IF(ISBLANK(B1353),0,+#REF!/B1353)</f>
        <v>#REF!</v>
      </c>
      <c r="J1353" s="51">
        <f>IF(ISBLANK(B1353),0,+J$1162)</f>
        <v>500</v>
      </c>
      <c r="K1353" s="17">
        <f>ROUND($B1353*K$1288,2)</f>
        <v>-0.06</v>
      </c>
      <c r="L1353" s="17">
        <f>IF(ISBLANK($C1353),0,IF($C1353&lt;$C$1163,ROUND($C$1163*$L$1288,2),IF($C1353&gt;L$1289,ROUND(L$1289*L$1288,2),ROUND($C1353*L$1288,2))))</f>
        <v>30120</v>
      </c>
      <c r="M1353" s="17">
        <f>IF($C1353&gt;L$1037,ROUND(($C1353-L$1037)*M$1036,2),0)</f>
        <v>0</v>
      </c>
      <c r="N1353" s="17">
        <f>K1353</f>
        <v>-0.06</v>
      </c>
      <c r="O1353" s="17"/>
      <c r="P1353" s="17"/>
      <c r="Q1353" s="17">
        <f>SUM(L1353:M1353)</f>
        <v>30120</v>
      </c>
      <c r="R1353" s="16" t="e">
        <f>ROUND(SUM(K1353:M1353)*(R1352-1),2)</f>
        <v>#N/A</v>
      </c>
      <c r="S1353" s="17">
        <f>ROUND($B1353*S$1162*S1352,2)</f>
        <v>0</v>
      </c>
      <c r="T1353" s="17">
        <f>ROUND($B1353*T$1288,2)</f>
        <v>0</v>
      </c>
      <c r="U1353" s="17">
        <f>ROUND($B1353*U$1288,2)</f>
        <v>0</v>
      </c>
      <c r="V1353" s="17">
        <f>ROUND($B1353*V$1157,2)</f>
        <v>0</v>
      </c>
      <c r="W1353" s="17">
        <f>ROUND($B1353*W$1288,2)</f>
        <v>0</v>
      </c>
      <c r="X1353" s="17">
        <f>ROUND($B1353*X$1288,2)</f>
        <v>-0.01</v>
      </c>
      <c r="Y1353" s="17">
        <f>ROUND($B1353*Y$1288,2)</f>
        <v>0</v>
      </c>
      <c r="Z1353" s="17">
        <f>ROUND($B1353*Z$1288,2)</f>
        <v>0</v>
      </c>
      <c r="AA1353" s="17">
        <f>ROUND($B1353*AA$1288,2)</f>
        <v>0</v>
      </c>
      <c r="AB1353" s="19">
        <f>SUM(V1316:AA1316)</f>
        <v>0</v>
      </c>
      <c r="AC1353" s="67" t="str">
        <f>+F1353</f>
        <v>HL42</v>
      </c>
    </row>
    <row r="1354" spans="1:29" x14ac:dyDescent="0.2">
      <c r="A1354" s="48"/>
      <c r="B1354" s="103">
        <v>-1</v>
      </c>
      <c r="D1354" s="8"/>
      <c r="E1354" s="9"/>
      <c r="F1354" s="36"/>
      <c r="G1354" s="17"/>
      <c r="H1354" s="19"/>
      <c r="J1354" s="8"/>
      <c r="K1354" s="17"/>
      <c r="L1354" s="17"/>
      <c r="M1354" s="17"/>
      <c r="N1354" s="17"/>
      <c r="O1354" s="17"/>
      <c r="P1354" s="17"/>
      <c r="Q1354" s="17"/>
      <c r="R1354" s="38" t="e">
        <f>VLOOKUP((D1355),'Pwr Factor'!$A$1:$B$52,2)</f>
        <v>#N/A</v>
      </c>
      <c r="S1354" s="50">
        <v>0.5</v>
      </c>
      <c r="T1354" s="17"/>
      <c r="U1354" s="17"/>
      <c r="V1354" s="17"/>
      <c r="W1354" s="17"/>
      <c r="X1354" s="17"/>
      <c r="Y1354" s="17"/>
      <c r="Z1354" s="17"/>
      <c r="AA1354" s="17"/>
    </row>
    <row r="1355" spans="1:29" x14ac:dyDescent="0.2">
      <c r="A1355" s="1" t="s">
        <v>139</v>
      </c>
      <c r="B1355" s="103">
        <f>IF(AND('AES Indiana Bill Calc.'!$D$17="HL4",'AES Indiana Bill Calc.'!$D$18="Yes 50%",'AES Indiana Bill Calc.'!$D$20="Yes 2022"),'AES Indiana Bill Calc.'!$D$19,-1)</f>
        <v>-1</v>
      </c>
      <c r="C1355" s="103">
        <f>MAX(E1355,$C$905)</f>
        <v>2000</v>
      </c>
      <c r="D1355" s="103" t="b">
        <f>IF(AND('AES Indiana Bill Calc.'!$D$17="HL4",'AES Indiana Bill Calc.'!$D$18="Yes 50%",'AES Indiana Bill Calc.'!$D$20="Yes 2022"),'AES Indiana Bill Calc.'!$D$22)</f>
        <v>0</v>
      </c>
      <c r="E1355" s="103" t="b">
        <f>IF(AND('AES Indiana Bill Calc.'!$D$17="HL4",'AES Indiana Bill Calc.'!$D$18="Yes 50%",'AES Indiana Bill Calc.'!$D$20="Yes 2022"),'AES Indiana Bill Calc.'!$D$21)</f>
        <v>0</v>
      </c>
      <c r="F1355" s="36" t="s">
        <v>250</v>
      </c>
      <c r="G1355" s="92" t="e">
        <f>SUM(J1355:M1355,R1355:AA1355)</f>
        <v>#N/A</v>
      </c>
      <c r="H1355" s="19" t="e">
        <f>IF(ISBLANK(B1355),0,+#REF!/B1355)</f>
        <v>#REF!</v>
      </c>
      <c r="J1355" s="51">
        <f>IF(ISBLANK(B1355),0,+J$1162)</f>
        <v>500</v>
      </c>
      <c r="K1355" s="17">
        <f>ROUND($B1355*K$1288,2)</f>
        <v>-0.06</v>
      </c>
      <c r="L1355" s="17">
        <f>IF(ISBLANK($C1355),0,IF($C1355&lt;$C$1163,ROUND($C$1163*$L$1288,2),IF($C1355&gt;L$1289,ROUND(L$1289*L$1288,2),ROUND($C1355*L$1288,2))))</f>
        <v>30120</v>
      </c>
      <c r="M1355" s="17">
        <f>IF($C1355&gt;L$1037,ROUND(($C1355-L$1037)*M$1036,2),0)</f>
        <v>0</v>
      </c>
      <c r="N1355" s="17">
        <f>K1355</f>
        <v>-0.06</v>
      </c>
      <c r="O1355" s="17"/>
      <c r="P1355" s="17"/>
      <c r="Q1355" s="17">
        <f>SUM(L1355:M1355)</f>
        <v>30120</v>
      </c>
      <c r="R1355" s="16" t="e">
        <f>ROUND(SUM(K1355:M1355)*(R1354-1),2)</f>
        <v>#N/A</v>
      </c>
      <c r="S1355" s="17">
        <f>ROUND($B1355*S$1162*S1354,2)</f>
        <v>0</v>
      </c>
      <c r="T1355" s="17">
        <f>ROUND($B1355*T$1288,2)</f>
        <v>0</v>
      </c>
      <c r="U1355" s="17">
        <f>ROUND($B1355*U$1288,2)</f>
        <v>0</v>
      </c>
      <c r="V1355" s="17">
        <f>ROUND($B1355*V$1157,2)</f>
        <v>0</v>
      </c>
      <c r="W1355" s="17">
        <f>ROUND($B1355*W$1288,2)</f>
        <v>0</v>
      </c>
      <c r="X1355" s="17">
        <f>ROUND($B1355*X$1288,2)</f>
        <v>-0.01</v>
      </c>
      <c r="Y1355" s="17">
        <f>ROUND($B1355*Y$1288,2)</f>
        <v>0</v>
      </c>
      <c r="Z1355" s="17">
        <f>ROUND($B1355*Z$1288,2)</f>
        <v>0</v>
      </c>
      <c r="AA1355" s="17">
        <f>ROUND($B1355*AA$1288,2)</f>
        <v>0</v>
      </c>
      <c r="AB1355" s="19">
        <f>SUM(V1318:AA1318)</f>
        <v>0</v>
      </c>
      <c r="AC1355" s="67" t="str">
        <f>+F1355</f>
        <v>HL42</v>
      </c>
    </row>
    <row r="1356" spans="1:29" x14ac:dyDescent="0.2">
      <c r="A1356" s="9"/>
      <c r="B1356" s="103">
        <v>-1</v>
      </c>
      <c r="D1356" s="8"/>
      <c r="E1356" s="9"/>
      <c r="F1356" s="36"/>
      <c r="G1356" s="17"/>
      <c r="H1356" s="19"/>
      <c r="J1356" s="8"/>
      <c r="K1356" s="17"/>
      <c r="L1356" s="17"/>
      <c r="M1356" s="17"/>
      <c r="N1356" s="17"/>
      <c r="O1356" s="17"/>
      <c r="P1356" s="17"/>
      <c r="Q1356" s="17"/>
      <c r="R1356" s="38" t="e">
        <f>VLOOKUP((D1357),'Pwr Factor'!$A$1:$B$52,2)</f>
        <v>#N/A</v>
      </c>
      <c r="S1356" s="50">
        <v>0.25</v>
      </c>
      <c r="T1356" s="17"/>
      <c r="U1356" s="17"/>
      <c r="V1356" s="17"/>
      <c r="W1356" s="17"/>
      <c r="X1356" s="17"/>
      <c r="Y1356" s="17"/>
      <c r="Z1356" s="17"/>
      <c r="AA1356" s="17"/>
    </row>
    <row r="1357" spans="1:29" x14ac:dyDescent="0.2">
      <c r="A1357" s="1" t="s">
        <v>140</v>
      </c>
      <c r="B1357" s="103">
        <f>IF(AND('AES Indiana Bill Calc.'!$D$17="HL4",'AES Indiana Bill Calc.'!$D$18="Yes 25%",'AES Indiana Bill Calc.'!$D$20="Yes 2022"),'AES Indiana Bill Calc.'!$D$19,-1)</f>
        <v>-1</v>
      </c>
      <c r="C1357" s="103">
        <f>MAX(E1357,$C$905)</f>
        <v>2000</v>
      </c>
      <c r="D1357" s="103" t="b">
        <f>IF(AND('AES Indiana Bill Calc.'!$D$17="HL4",'AES Indiana Bill Calc.'!$D$18="Yes 25%",'AES Indiana Bill Calc.'!$D$20="Yes 2022"),'AES Indiana Bill Calc.'!$D$22)</f>
        <v>0</v>
      </c>
      <c r="E1357" s="103" t="b">
        <f>IF(AND('AES Indiana Bill Calc.'!$D$17="HL4",'AES Indiana Bill Calc.'!$D$18="Yes 25%",'AES Indiana Bill Calc.'!$D$20="Yes 2022"),'AES Indiana Bill Calc.'!$D$21)</f>
        <v>0</v>
      </c>
      <c r="F1357" s="36" t="s">
        <v>250</v>
      </c>
      <c r="G1357" s="92" t="e">
        <f>SUM(J1357:M1357,R1357:AA1357)</f>
        <v>#N/A</v>
      </c>
      <c r="H1357" s="19" t="e">
        <f>IF(ISBLANK(B1357),0,+#REF!/B1357)</f>
        <v>#REF!</v>
      </c>
      <c r="J1357" s="51">
        <f>IF(ISBLANK(B1357),0,+J$1162)</f>
        <v>500</v>
      </c>
      <c r="K1357" s="17">
        <f>ROUND($B1357*K$1288,2)</f>
        <v>-0.06</v>
      </c>
      <c r="L1357" s="17">
        <f>IF(ISBLANK($C1357),0,IF($C1357&lt;$C$1163,ROUND($C$1163*$L$1288,2),IF($C1357&gt;L$1289,ROUND(L$1289*L$1288,2),ROUND($C1357*L$1288,2))))</f>
        <v>30120</v>
      </c>
      <c r="M1357" s="17">
        <f>IF($C1357&gt;L$1037,ROUND(($C1357-L$1037)*M$1036,2),0)</f>
        <v>0</v>
      </c>
      <c r="N1357" s="17">
        <f>K1357</f>
        <v>-0.06</v>
      </c>
      <c r="O1357" s="17"/>
      <c r="P1357" s="17"/>
      <c r="Q1357" s="17">
        <f>SUM(L1357:M1357)</f>
        <v>30120</v>
      </c>
      <c r="R1357" s="16" t="e">
        <f>ROUND(SUM(K1357:M1357)*(R1356-1),2)</f>
        <v>#N/A</v>
      </c>
      <c r="S1357" s="17">
        <f>ROUND($B1357*S$1162*S1356,2)</f>
        <v>0</v>
      </c>
      <c r="T1357" s="17">
        <f>ROUND($B1357*T$1288,2)</f>
        <v>0</v>
      </c>
      <c r="U1357" s="17">
        <f>ROUND($B1357*U$1288,2)</f>
        <v>0</v>
      </c>
      <c r="V1357" s="17">
        <f>ROUND($B1357*V$1157,2)</f>
        <v>0</v>
      </c>
      <c r="W1357" s="17">
        <f>ROUND($B1357*W$1288,2)</f>
        <v>0</v>
      </c>
      <c r="X1357" s="17">
        <f>ROUND($B1357*X$1288,2)</f>
        <v>-0.01</v>
      </c>
      <c r="Y1357" s="17">
        <f>ROUND($B1357*Y$1288,2)</f>
        <v>0</v>
      </c>
      <c r="Z1357" s="17">
        <f>ROUND($B1357*Z$1288,2)</f>
        <v>0</v>
      </c>
      <c r="AA1357" s="17">
        <f>ROUND($B1357*AA$1288,2)</f>
        <v>0</v>
      </c>
      <c r="AB1357" s="19">
        <f>SUM(V1320:AA1320)</f>
        <v>0</v>
      </c>
      <c r="AC1357" s="67" t="str">
        <f>+F1357</f>
        <v>HL42</v>
      </c>
    </row>
    <row r="1358" spans="1:29" x14ac:dyDescent="0.2">
      <c r="A1358" s="9"/>
      <c r="B1358" s="103">
        <v>-1</v>
      </c>
      <c r="D1358" s="8"/>
      <c r="E1358" s="9"/>
      <c r="F1358" s="36"/>
      <c r="G1358" s="17"/>
      <c r="H1358" s="19"/>
      <c r="J1358" s="8"/>
      <c r="K1358" s="17"/>
      <c r="L1358" s="17"/>
      <c r="M1358" s="17"/>
      <c r="N1358" s="17"/>
      <c r="O1358" s="17"/>
      <c r="P1358" s="17"/>
      <c r="Q1358" s="17"/>
      <c r="R1358" s="38" t="e">
        <f>VLOOKUP((D1359),'Pwr Factor'!$A$1:$B$52,2)</f>
        <v>#N/A</v>
      </c>
      <c r="S1358" s="50">
        <v>0.1</v>
      </c>
      <c r="T1358" s="17"/>
      <c r="U1358" s="17"/>
      <c r="V1358" s="17"/>
      <c r="W1358" s="17"/>
      <c r="X1358" s="17"/>
      <c r="Y1358" s="17"/>
      <c r="Z1358" s="17"/>
      <c r="AA1358" s="17"/>
    </row>
    <row r="1359" spans="1:29" x14ac:dyDescent="0.2">
      <c r="A1359" s="1" t="s">
        <v>154</v>
      </c>
      <c r="B1359" s="103">
        <f>IF(AND('AES Indiana Bill Calc.'!$D$17="HL4",'AES Indiana Bill Calc.'!$D$18="Yes 10%",'AES Indiana Bill Calc.'!$D$20="Yes 2022"),'AES Indiana Bill Calc.'!$D$19,-1)</f>
        <v>-1</v>
      </c>
      <c r="C1359" s="103">
        <f>MAX(E1359,$C$905)</f>
        <v>2000</v>
      </c>
      <c r="D1359" s="103" t="b">
        <f>IF(AND('AES Indiana Bill Calc.'!$D$17="HL4",'AES Indiana Bill Calc.'!$D$18="Yes 10%",'AES Indiana Bill Calc.'!$D$20="Yes 2022"),'AES Indiana Bill Calc.'!$D$22)</f>
        <v>0</v>
      </c>
      <c r="E1359" s="103" t="b">
        <f>IF(AND('AES Indiana Bill Calc.'!$D$17="HL4",'AES Indiana Bill Calc.'!$D$18="Yes 10%",'AES Indiana Bill Calc.'!$D$20="Yes 2022"),'AES Indiana Bill Calc.'!$D$21)</f>
        <v>0</v>
      </c>
      <c r="F1359" s="36" t="s">
        <v>250</v>
      </c>
      <c r="G1359" s="92" t="e">
        <f>SUM(J1359:M1359,R1359:AA1359)</f>
        <v>#N/A</v>
      </c>
      <c r="H1359" s="19" t="e">
        <f>IF(ISBLANK(B1359),0,+#REF!/B1359)</f>
        <v>#REF!</v>
      </c>
      <c r="J1359" s="51">
        <f>IF(ISBLANK(B1359),0,+J$1162)</f>
        <v>500</v>
      </c>
      <c r="K1359" s="17">
        <f>ROUND($B1359*K$1288,2)</f>
        <v>-0.06</v>
      </c>
      <c r="L1359" s="17">
        <f>IF(ISBLANK($C1359),0,IF($C1359&lt;$C$1163,ROUND($C$1163*$L$1288,2),IF($C1359&gt;L$1289,ROUND(L$1289*L$1288,2),ROUND($C1359*L$1288,2))))</f>
        <v>30120</v>
      </c>
      <c r="M1359" s="17">
        <f>IF($C1359&gt;L$1037,ROUND(($C1359-L$1037)*M$1036,2),0)</f>
        <v>0</v>
      </c>
      <c r="N1359" s="17">
        <f>K1359</f>
        <v>-0.06</v>
      </c>
      <c r="O1359" s="17"/>
      <c r="P1359" s="17"/>
      <c r="Q1359" s="17">
        <f>SUM(L1359:M1359)</f>
        <v>30120</v>
      </c>
      <c r="R1359" s="16" t="e">
        <f>ROUND(SUM(K1359:M1359)*(R1358-1),2)</f>
        <v>#N/A</v>
      </c>
      <c r="S1359" s="17">
        <f>ROUND($B1359*S$1162*S1358,2)</f>
        <v>0</v>
      </c>
      <c r="T1359" s="17">
        <f>ROUND($B1359*T$1288,2)</f>
        <v>0</v>
      </c>
      <c r="U1359" s="17">
        <f>ROUND($B1359*U$1288,2)</f>
        <v>0</v>
      </c>
      <c r="V1359" s="17">
        <f>ROUND($B1359*V$1157,2)</f>
        <v>0</v>
      </c>
      <c r="W1359" s="17">
        <f>ROUND($B1359*W$1288,2)</f>
        <v>0</v>
      </c>
      <c r="X1359" s="17">
        <f>ROUND($B1359*X$1288,2)</f>
        <v>-0.01</v>
      </c>
      <c r="Y1359" s="17">
        <f>ROUND($B1359*Y$1288,2)</f>
        <v>0</v>
      </c>
      <c r="Z1359" s="17">
        <f>ROUND($B1359*Z$1288,2)</f>
        <v>0</v>
      </c>
      <c r="AA1359" s="17">
        <f>ROUND($B1359*AA$1288,2)</f>
        <v>0</v>
      </c>
      <c r="AB1359" s="19">
        <f>SUM(V1322:AA1322)</f>
        <v>0</v>
      </c>
      <c r="AC1359" s="67" t="str">
        <f>+F1359</f>
        <v>HL42</v>
      </c>
    </row>
    <row r="1360" spans="1:29" x14ac:dyDescent="0.2">
      <c r="A1360" s="9"/>
      <c r="B1360" s="103">
        <v>-1</v>
      </c>
      <c r="D1360" s="8"/>
      <c r="E1360" s="9"/>
      <c r="F1360" s="36"/>
      <c r="G1360" s="17"/>
      <c r="H1360" s="19"/>
      <c r="J1360" s="8"/>
      <c r="K1360" s="17"/>
      <c r="L1360" s="17"/>
      <c r="M1360" s="17"/>
      <c r="N1360" s="17"/>
      <c r="O1360" s="17"/>
      <c r="P1360" s="17"/>
      <c r="Q1360" s="17"/>
      <c r="R1360" s="38" t="e">
        <f>VLOOKUP((D1361),'Pwr Factor'!$A$1:$B$52,2)</f>
        <v>#N/A</v>
      </c>
      <c r="S1360" s="50">
        <v>0</v>
      </c>
      <c r="T1360" s="17"/>
      <c r="U1360" s="17"/>
      <c r="V1360" s="17"/>
      <c r="W1360" s="17"/>
      <c r="X1360" s="17"/>
      <c r="Y1360" s="17"/>
      <c r="Z1360" s="17"/>
      <c r="AA1360" s="17"/>
    </row>
    <row r="1361" spans="1:29" x14ac:dyDescent="0.2">
      <c r="A1361" s="1" t="s">
        <v>137</v>
      </c>
      <c r="B1361" s="103">
        <f>IF(AND('AES Indiana Bill Calc.'!$D$17="HL4",'AES Indiana Bill Calc.'!$D$18="No",'AES Indiana Bill Calc.'!$D$20="Yes 2022"),'AES Indiana Bill Calc.'!$D$19,-1)</f>
        <v>-1</v>
      </c>
      <c r="C1361" s="103">
        <f>MAX(E1361,$C$905)</f>
        <v>2000</v>
      </c>
      <c r="D1361" s="103" t="b">
        <f>IF(AND('AES Indiana Bill Calc.'!$D$17="HL4",'AES Indiana Bill Calc.'!$D$18="No",'AES Indiana Bill Calc.'!$D$20="Yes 2022"),'AES Indiana Bill Calc.'!$D$22)</f>
        <v>0</v>
      </c>
      <c r="E1361" s="103" t="b">
        <f>IF(AND('AES Indiana Bill Calc.'!$D$17="HL4",'AES Indiana Bill Calc.'!$D$18="No",'AES Indiana Bill Calc.'!$D$20="Yes 2022"),'AES Indiana Bill Calc.'!$D$21)</f>
        <v>0</v>
      </c>
      <c r="F1361" s="36" t="s">
        <v>250</v>
      </c>
      <c r="G1361" s="92" t="e">
        <f>SUM(J1361:M1361,R1361:AA1361)</f>
        <v>#N/A</v>
      </c>
      <c r="H1361" s="19" t="e">
        <f>IF(ISBLANK(B1361),0,+#REF!/B1361)</f>
        <v>#REF!</v>
      </c>
      <c r="J1361" s="51">
        <f>IF(ISBLANK(B1361),0,+J$1162)</f>
        <v>500</v>
      </c>
      <c r="K1361" s="17">
        <f>ROUND($B1361*K$1288,2)</f>
        <v>-0.06</v>
      </c>
      <c r="L1361" s="17">
        <f>IF(ISBLANK($C1361),0,IF($C1361&lt;$C$1163,ROUND($C$1163*$L$1288,2),IF($C1361&gt;L$1289,ROUND(L$1289*L$1288,2),ROUND($C1361*L$1288,2))))</f>
        <v>30120</v>
      </c>
      <c r="M1361" s="17">
        <f>IF($C1361&gt;L$1037,ROUND(($C1361-L$1037)*M$1036,2),0)</f>
        <v>0</v>
      </c>
      <c r="N1361" s="17">
        <f>K1361</f>
        <v>-0.06</v>
      </c>
      <c r="O1361" s="17"/>
      <c r="P1361" s="17"/>
      <c r="Q1361" s="17">
        <f>SUM(L1361:M1361)</f>
        <v>30120</v>
      </c>
      <c r="R1361" s="16" t="e">
        <f>ROUND(SUM(K1361:M1361)*(R1360-1),2)</f>
        <v>#N/A</v>
      </c>
      <c r="S1361" s="17">
        <f>ROUND($B1361*S$1162*S1360,2)</f>
        <v>0</v>
      </c>
      <c r="T1361" s="17">
        <f>ROUND($B1361*T$1288,2)</f>
        <v>0</v>
      </c>
      <c r="U1361" s="17">
        <f>ROUND($B1361*U$1288,2)</f>
        <v>0</v>
      </c>
      <c r="V1361" s="17">
        <f>ROUND($B1361*V$1157,2)</f>
        <v>0</v>
      </c>
      <c r="W1361" s="17">
        <f>ROUND($B1361*W$1288,2)</f>
        <v>0</v>
      </c>
      <c r="X1361" s="17">
        <f>ROUND($B1361*X$1288,2)</f>
        <v>-0.01</v>
      </c>
      <c r="Y1361" s="17">
        <f>ROUND($B1361*Y$1288,2)</f>
        <v>0</v>
      </c>
      <c r="Z1361" s="17">
        <f>ROUND($B1361*Z$1288,2)</f>
        <v>0</v>
      </c>
      <c r="AA1361" s="17">
        <f>ROUND($B1361*AA$1288,2)</f>
        <v>0</v>
      </c>
      <c r="AB1361" s="19">
        <f>SUM(V1324:AA1324)</f>
        <v>0</v>
      </c>
      <c r="AC1361" s="67" t="str">
        <f>+F1361</f>
        <v>HL42</v>
      </c>
    </row>
    <row r="1362" spans="1:29" x14ac:dyDescent="0.2">
      <c r="B1362" s="103">
        <v>-1</v>
      </c>
      <c r="D1362" s="8"/>
      <c r="E1362" s="9"/>
      <c r="F1362" s="36"/>
      <c r="G1362" s="17"/>
      <c r="H1362" s="19"/>
      <c r="J1362" s="8"/>
      <c r="K1362" s="17"/>
      <c r="L1362" s="17"/>
      <c r="M1362" s="17"/>
      <c r="N1362" s="17"/>
      <c r="O1362" s="17"/>
      <c r="P1362" s="17"/>
      <c r="Q1362" s="17"/>
      <c r="R1362" s="38" t="e">
        <f>VLOOKUP((D1363),'Pwr Factor'!$A$1:$B$52,2)</f>
        <v>#N/A</v>
      </c>
      <c r="S1362" s="50">
        <v>1</v>
      </c>
      <c r="T1362" s="17"/>
      <c r="U1362" s="17"/>
      <c r="V1362" s="17"/>
      <c r="W1362" s="17"/>
      <c r="X1362" s="17"/>
      <c r="Y1362" s="17"/>
      <c r="Z1362" s="17"/>
      <c r="AA1362" s="17"/>
    </row>
    <row r="1363" spans="1:29" x14ac:dyDescent="0.2">
      <c r="A1363" s="1" t="s">
        <v>138</v>
      </c>
      <c r="B1363" s="103">
        <f>IF(AND('AES Indiana Bill Calc.'!$D$17="HL4",'AES Indiana Bill Calc.'!$D$18="Yes 100%",'AES Indiana Bill Calc.'!$D$20="Yes 2023"),'AES Indiana Bill Calc.'!$D$19,-1)</f>
        <v>-1</v>
      </c>
      <c r="C1363" s="103">
        <f>MAX(E1363,$C$905)</f>
        <v>2000</v>
      </c>
      <c r="D1363" s="103" t="b">
        <f>IF(AND('AES Indiana Bill Calc.'!$D$17="HL4",'AES Indiana Bill Calc.'!$D$18="Yes 100%",'AES Indiana Bill Calc.'!$D$20="Yes 2023"),'AES Indiana Bill Calc.'!$D$22)</f>
        <v>0</v>
      </c>
      <c r="E1363" s="103" t="b">
        <f>IF(AND('AES Indiana Bill Calc.'!$D$17="HL4",'AES Indiana Bill Calc.'!$D$18="Yes 100%",'AES Indiana Bill Calc.'!$D$20="Yes 2023"),'AES Indiana Bill Calc.'!$D$21)</f>
        <v>0</v>
      </c>
      <c r="F1363" s="36" t="s">
        <v>251</v>
      </c>
      <c r="G1363" s="92" t="e">
        <f>SUM(J1363:M1363,R1363:AA1363)</f>
        <v>#N/A</v>
      </c>
      <c r="H1363" s="19" t="e">
        <f>IF(ISBLANK(B1363),0,+#REF!/B1363)</f>
        <v>#REF!</v>
      </c>
      <c r="J1363" s="51">
        <f>IF(ISBLANK(B1363),0,+J$1162)</f>
        <v>500</v>
      </c>
      <c r="K1363" s="17">
        <f>ROUND($B1363*K$1288,2)</f>
        <v>-0.06</v>
      </c>
      <c r="L1363" s="17">
        <f>IF(ISBLANK($C1363),0,IF($C1363&lt;$C$1163,ROUND($C$1163*$L$1288,2),IF($C1363&gt;L$1289,ROUND(L$1289*L$1288,2),ROUND($C1363*L$1288,2))))</f>
        <v>30120</v>
      </c>
      <c r="M1363" s="17">
        <f>IF($C1363&gt;L$1037,ROUND(($C1363-L$1037)*M$1036,2),0)</f>
        <v>0</v>
      </c>
      <c r="N1363" s="17">
        <f>K1363</f>
        <v>-0.06</v>
      </c>
      <c r="O1363" s="17"/>
      <c r="P1363" s="17"/>
      <c r="Q1363" s="17">
        <f>SUM(L1363:M1363)</f>
        <v>30120</v>
      </c>
      <c r="R1363" s="16" t="e">
        <f>ROUND(SUM(K1363:M1363)*(R1362-1),2)</f>
        <v>#N/A</v>
      </c>
      <c r="S1363" s="17">
        <f>ROUND($B1363*S$1162*S1362,2)</f>
        <v>0</v>
      </c>
      <c r="T1363" s="17">
        <f>ROUND($B1363*T$1288,2)</f>
        <v>0</v>
      </c>
      <c r="U1363" s="17">
        <f>ROUND($B1363*U$1288,2)</f>
        <v>0</v>
      </c>
      <c r="V1363" s="17">
        <f>ROUND($B1363*V$1157,2)</f>
        <v>0</v>
      </c>
      <c r="W1363" s="17">
        <f>ROUND($B1363*W$1288,2)</f>
        <v>0</v>
      </c>
      <c r="X1363" s="17">
        <f>ROUND($B1363*X$1288,2)</f>
        <v>-0.01</v>
      </c>
      <c r="Y1363" s="17">
        <f>ROUND($B1363*Y$1288,2)</f>
        <v>0</v>
      </c>
      <c r="Z1363" s="17">
        <f>ROUND($B1363*Z$1288,2)</f>
        <v>0</v>
      </c>
      <c r="AA1363" s="17">
        <f>ROUND($B1363*AA$1288,2)</f>
        <v>0</v>
      </c>
      <c r="AB1363" s="19">
        <f>SUM(V1326:AA1326)</f>
        <v>0</v>
      </c>
      <c r="AC1363" s="67" t="str">
        <f>+F1363</f>
        <v>HL43</v>
      </c>
    </row>
    <row r="1364" spans="1:29" x14ac:dyDescent="0.2">
      <c r="A1364" s="48"/>
      <c r="B1364" s="103">
        <v>-1</v>
      </c>
      <c r="D1364" s="8"/>
      <c r="E1364" s="9"/>
      <c r="F1364" s="36"/>
      <c r="G1364" s="17"/>
      <c r="H1364" s="19"/>
      <c r="J1364" s="8"/>
      <c r="K1364" s="17"/>
      <c r="L1364" s="17"/>
      <c r="M1364" s="17"/>
      <c r="N1364" s="17"/>
      <c r="O1364" s="17"/>
      <c r="P1364" s="17"/>
      <c r="Q1364" s="17"/>
      <c r="R1364" s="38" t="e">
        <f>VLOOKUP((D1365),'Pwr Factor'!$A$1:$B$52,2)</f>
        <v>#N/A</v>
      </c>
      <c r="S1364" s="50">
        <v>0.5</v>
      </c>
      <c r="T1364" s="17"/>
      <c r="U1364" s="17"/>
      <c r="V1364" s="17"/>
      <c r="W1364" s="17"/>
      <c r="X1364" s="17"/>
      <c r="Y1364" s="17"/>
      <c r="Z1364" s="17"/>
      <c r="AA1364" s="17"/>
    </row>
    <row r="1365" spans="1:29" x14ac:dyDescent="0.2">
      <c r="A1365" s="1" t="s">
        <v>139</v>
      </c>
      <c r="B1365" s="103">
        <f>IF(AND('AES Indiana Bill Calc.'!$D$17="HL4",'AES Indiana Bill Calc.'!$D$18="Yes 50%",'AES Indiana Bill Calc.'!$D$20="Yes 2023"),'AES Indiana Bill Calc.'!$D$19,-1)</f>
        <v>-1</v>
      </c>
      <c r="C1365" s="103">
        <f>MAX(E1365,$C$905)</f>
        <v>2000</v>
      </c>
      <c r="D1365" s="103" t="b">
        <f>IF(AND('AES Indiana Bill Calc.'!$D$17="HL4",'AES Indiana Bill Calc.'!$D$18="Yes 50%",'AES Indiana Bill Calc.'!$D$20="Yes 2023"),'AES Indiana Bill Calc.'!$D$22)</f>
        <v>0</v>
      </c>
      <c r="E1365" s="103" t="b">
        <f>IF(AND('AES Indiana Bill Calc.'!$D$17="HL4",'AES Indiana Bill Calc.'!$D$18="Yes 50%",'AES Indiana Bill Calc.'!$D$20="Yes 2023"),'AES Indiana Bill Calc.'!$D$21)</f>
        <v>0</v>
      </c>
      <c r="F1365" s="36" t="s">
        <v>251</v>
      </c>
      <c r="G1365" s="92" t="e">
        <f>SUM(J1365:M1365,R1365:AA1365)</f>
        <v>#N/A</v>
      </c>
      <c r="H1365" s="19" t="e">
        <f>IF(ISBLANK(B1365),0,+#REF!/B1365)</f>
        <v>#REF!</v>
      </c>
      <c r="J1365" s="51">
        <f>IF(ISBLANK(B1365),0,+J$1162)</f>
        <v>500</v>
      </c>
      <c r="K1365" s="17">
        <f>ROUND($B1365*K$1288,2)</f>
        <v>-0.06</v>
      </c>
      <c r="L1365" s="17">
        <f>IF(ISBLANK($C1365),0,IF($C1365&lt;$C$1163,ROUND($C$1163*$L$1288,2),IF($C1365&gt;L$1289,ROUND(L$1289*L$1288,2),ROUND($C1365*L$1288,2))))</f>
        <v>30120</v>
      </c>
      <c r="M1365" s="17">
        <f>IF($C1365&gt;L$1037,ROUND(($C1365-L$1037)*M$1036,2),0)</f>
        <v>0</v>
      </c>
      <c r="N1365" s="17">
        <f>K1365</f>
        <v>-0.06</v>
      </c>
      <c r="O1365" s="17"/>
      <c r="P1365" s="17"/>
      <c r="Q1365" s="17">
        <f>SUM(L1365:M1365)</f>
        <v>30120</v>
      </c>
      <c r="R1365" s="16" t="e">
        <f>ROUND(SUM(K1365:M1365)*(R1364-1),2)</f>
        <v>#N/A</v>
      </c>
      <c r="S1365" s="17">
        <f>ROUND($B1365*S$1162*S1364,2)</f>
        <v>0</v>
      </c>
      <c r="T1365" s="17">
        <f>ROUND($B1365*T$1288,2)</f>
        <v>0</v>
      </c>
      <c r="U1365" s="17">
        <f>ROUND($B1365*U$1288,2)</f>
        <v>0</v>
      </c>
      <c r="V1365" s="17">
        <f>ROUND($B1365*V$1157,2)</f>
        <v>0</v>
      </c>
      <c r="W1365" s="17">
        <f>ROUND($B1365*W$1288,2)</f>
        <v>0</v>
      </c>
      <c r="X1365" s="17">
        <f>ROUND($B1365*X$1288,2)</f>
        <v>-0.01</v>
      </c>
      <c r="Y1365" s="17">
        <f>ROUND($B1365*Y$1288,2)</f>
        <v>0</v>
      </c>
      <c r="Z1365" s="17">
        <f>ROUND($B1365*Z$1288,2)</f>
        <v>0</v>
      </c>
      <c r="AA1365" s="17">
        <f>ROUND($B1365*AA$1288,2)</f>
        <v>0</v>
      </c>
      <c r="AB1365" s="19">
        <f>SUM(V1328:AA1328)</f>
        <v>0</v>
      </c>
      <c r="AC1365" s="67" t="str">
        <f>+F1365</f>
        <v>HL43</v>
      </c>
    </row>
    <row r="1366" spans="1:29" x14ac:dyDescent="0.2">
      <c r="A1366" s="9"/>
      <c r="B1366" s="103">
        <v>-1</v>
      </c>
      <c r="D1366" s="8"/>
      <c r="E1366" s="9"/>
      <c r="F1366" s="36"/>
      <c r="G1366" s="17"/>
      <c r="H1366" s="19"/>
      <c r="J1366" s="8"/>
      <c r="K1366" s="17"/>
      <c r="L1366" s="17"/>
      <c r="M1366" s="17"/>
      <c r="N1366" s="17"/>
      <c r="O1366" s="17"/>
      <c r="P1366" s="17"/>
      <c r="Q1366" s="17"/>
      <c r="R1366" s="38" t="e">
        <f>VLOOKUP((D1367),'Pwr Factor'!$A$1:$B$52,2)</f>
        <v>#N/A</v>
      </c>
      <c r="S1366" s="50">
        <v>0.25</v>
      </c>
      <c r="T1366" s="17"/>
      <c r="U1366" s="17"/>
      <c r="V1366" s="17"/>
      <c r="W1366" s="17"/>
      <c r="X1366" s="17"/>
      <c r="Y1366" s="17"/>
      <c r="Z1366" s="17"/>
      <c r="AA1366" s="17"/>
    </row>
    <row r="1367" spans="1:29" x14ac:dyDescent="0.2">
      <c r="A1367" s="1" t="s">
        <v>140</v>
      </c>
      <c r="B1367" s="103">
        <f>IF(AND('AES Indiana Bill Calc.'!$D$17="HL4",'AES Indiana Bill Calc.'!$D$18="Yes 25%",'AES Indiana Bill Calc.'!$D$20="Yes 2023"),'AES Indiana Bill Calc.'!$D$19,-1)</f>
        <v>-1</v>
      </c>
      <c r="C1367" s="103">
        <f>MAX(E1367,$C$905)</f>
        <v>2000</v>
      </c>
      <c r="D1367" s="103" t="b">
        <f>IF(AND('AES Indiana Bill Calc.'!$D$17="HL4",'AES Indiana Bill Calc.'!$D$18="Yes 25%",'AES Indiana Bill Calc.'!$D$20="Yes 2023"),'AES Indiana Bill Calc.'!$D$22)</f>
        <v>0</v>
      </c>
      <c r="E1367" s="103" t="b">
        <f>IF(AND('AES Indiana Bill Calc.'!$D$17="HL4",'AES Indiana Bill Calc.'!$D$18="Yes 25%",'AES Indiana Bill Calc.'!$D$20="Yes 2023"),'AES Indiana Bill Calc.'!$D$21)</f>
        <v>0</v>
      </c>
      <c r="F1367" s="36" t="s">
        <v>251</v>
      </c>
      <c r="G1367" s="92" t="e">
        <f>SUM(J1367:M1367,R1367:AA1367)</f>
        <v>#N/A</v>
      </c>
      <c r="H1367" s="19" t="e">
        <f>IF(ISBLANK(B1367),0,+#REF!/B1367)</f>
        <v>#REF!</v>
      </c>
      <c r="J1367" s="51">
        <f>IF(ISBLANK(B1367),0,+J$1162)</f>
        <v>500</v>
      </c>
      <c r="K1367" s="17">
        <f>ROUND($B1367*K$1288,2)</f>
        <v>-0.06</v>
      </c>
      <c r="L1367" s="17">
        <f>IF(ISBLANK($C1367),0,IF($C1367&lt;$C$1163,ROUND($C$1163*$L$1288,2),IF($C1367&gt;L$1289,ROUND(L$1289*L$1288,2),ROUND($C1367*L$1288,2))))</f>
        <v>30120</v>
      </c>
      <c r="M1367" s="17">
        <f>IF($C1367&gt;L$1037,ROUND(($C1367-L$1037)*M$1036,2),0)</f>
        <v>0</v>
      </c>
      <c r="N1367" s="17">
        <f>K1367</f>
        <v>-0.06</v>
      </c>
      <c r="O1367" s="17"/>
      <c r="P1367" s="17"/>
      <c r="Q1367" s="17">
        <f>SUM(L1367:M1367)</f>
        <v>30120</v>
      </c>
      <c r="R1367" s="16" t="e">
        <f>ROUND(SUM(K1367:M1367)*(R1366-1),2)</f>
        <v>#N/A</v>
      </c>
      <c r="S1367" s="17">
        <f>ROUND($B1367*S$1162*S1366,2)</f>
        <v>0</v>
      </c>
      <c r="T1367" s="17">
        <f>ROUND($B1367*T$1288,2)</f>
        <v>0</v>
      </c>
      <c r="U1367" s="17">
        <f>ROUND($B1367*U$1288,2)</f>
        <v>0</v>
      </c>
      <c r="V1367" s="17">
        <f>ROUND($B1367*V$1157,2)</f>
        <v>0</v>
      </c>
      <c r="W1367" s="17">
        <f>ROUND($B1367*W$1288,2)</f>
        <v>0</v>
      </c>
      <c r="X1367" s="17">
        <f>ROUND($B1367*X$1288,2)</f>
        <v>-0.01</v>
      </c>
      <c r="Y1367" s="17">
        <f>ROUND($B1367*Y$1288,2)</f>
        <v>0</v>
      </c>
      <c r="Z1367" s="17">
        <f>ROUND($B1367*Z$1288,2)</f>
        <v>0</v>
      </c>
      <c r="AA1367" s="17">
        <f>ROUND($B1367*AA$1288,2)</f>
        <v>0</v>
      </c>
      <c r="AB1367" s="19">
        <f>SUM(V1330:AA1330)</f>
        <v>0</v>
      </c>
      <c r="AC1367" s="67" t="str">
        <f>+F1367</f>
        <v>HL43</v>
      </c>
    </row>
    <row r="1368" spans="1:29" x14ac:dyDescent="0.2">
      <c r="A1368" s="9"/>
      <c r="B1368" s="103">
        <v>-1</v>
      </c>
      <c r="D1368" s="8"/>
      <c r="E1368" s="9"/>
      <c r="F1368" s="36"/>
      <c r="G1368" s="17"/>
      <c r="H1368" s="19"/>
      <c r="J1368" s="8"/>
      <c r="K1368" s="17"/>
      <c r="L1368" s="17"/>
      <c r="M1368" s="17"/>
      <c r="N1368" s="17"/>
      <c r="O1368" s="17"/>
      <c r="P1368" s="17"/>
      <c r="Q1368" s="17"/>
      <c r="R1368" s="38" t="e">
        <f>VLOOKUP((D1369),'Pwr Factor'!$A$1:$B$52,2)</f>
        <v>#N/A</v>
      </c>
      <c r="S1368" s="50">
        <v>0.1</v>
      </c>
      <c r="T1368" s="17"/>
      <c r="U1368" s="17"/>
      <c r="V1368" s="17"/>
      <c r="W1368" s="17"/>
      <c r="X1368" s="17"/>
      <c r="Y1368" s="17"/>
      <c r="Z1368" s="17"/>
      <c r="AA1368" s="17"/>
    </row>
    <row r="1369" spans="1:29" x14ac:dyDescent="0.2">
      <c r="A1369" s="1" t="s">
        <v>154</v>
      </c>
      <c r="B1369" s="103">
        <f>IF(AND('AES Indiana Bill Calc.'!$D$17="HL4",'AES Indiana Bill Calc.'!$D$18="Yes 10%",'AES Indiana Bill Calc.'!$D$20="Yes 2023"),'AES Indiana Bill Calc.'!$D$19,-1)</f>
        <v>-1</v>
      </c>
      <c r="C1369" s="103">
        <f>MAX(E1369,$C$905)</f>
        <v>2000</v>
      </c>
      <c r="D1369" s="103" t="b">
        <f>IF(AND('AES Indiana Bill Calc.'!$D$17="HL4",'AES Indiana Bill Calc.'!$D$18="Yes 10%",'AES Indiana Bill Calc.'!$D$20="Yes 2023"),'AES Indiana Bill Calc.'!$D$22)</f>
        <v>0</v>
      </c>
      <c r="E1369" s="103" t="b">
        <f>IF(AND('AES Indiana Bill Calc.'!$D$17="HL4",'AES Indiana Bill Calc.'!$D$18="Yes 10%",'AES Indiana Bill Calc.'!$D$20="Yes 2023"),'AES Indiana Bill Calc.'!$D$21)</f>
        <v>0</v>
      </c>
      <c r="F1369" s="36" t="s">
        <v>251</v>
      </c>
      <c r="G1369" s="92" t="e">
        <f>SUM(J1369:M1369,R1369:AA1369)</f>
        <v>#N/A</v>
      </c>
      <c r="H1369" s="19" t="e">
        <f>IF(ISBLANK(B1369),0,+#REF!/B1369)</f>
        <v>#REF!</v>
      </c>
      <c r="J1369" s="51">
        <f>IF(ISBLANK(B1369),0,+J$1162)</f>
        <v>500</v>
      </c>
      <c r="K1369" s="17">
        <f>ROUND($B1369*K$1288,2)</f>
        <v>-0.06</v>
      </c>
      <c r="L1369" s="17">
        <f>IF(ISBLANK($C1369),0,IF($C1369&lt;$C$1163,ROUND($C$1163*$L$1288,2),IF($C1369&gt;L$1289,ROUND(L$1289*L$1288,2),ROUND($C1369*L$1288,2))))</f>
        <v>30120</v>
      </c>
      <c r="M1369" s="17">
        <f>IF($C1369&gt;L$1037,ROUND(($C1369-L$1037)*M$1036,2),0)</f>
        <v>0</v>
      </c>
      <c r="N1369" s="17">
        <f>K1369</f>
        <v>-0.06</v>
      </c>
      <c r="O1369" s="17"/>
      <c r="P1369" s="17"/>
      <c r="Q1369" s="17">
        <f>SUM(L1369:M1369)</f>
        <v>30120</v>
      </c>
      <c r="R1369" s="16" t="e">
        <f>ROUND(SUM(K1369:M1369)*(R1368-1),2)</f>
        <v>#N/A</v>
      </c>
      <c r="S1369" s="17">
        <f>ROUND($B1369*S$1162*S1368,2)</f>
        <v>0</v>
      </c>
      <c r="T1369" s="17">
        <f>ROUND($B1369*T$1288,2)</f>
        <v>0</v>
      </c>
      <c r="U1369" s="17">
        <f>ROUND($B1369*U$1288,2)</f>
        <v>0</v>
      </c>
      <c r="V1369" s="17">
        <f>ROUND($B1369*V$1157,2)</f>
        <v>0</v>
      </c>
      <c r="W1369" s="17">
        <f>ROUND($B1369*W$1288,2)</f>
        <v>0</v>
      </c>
      <c r="X1369" s="17">
        <f>ROUND($B1369*X$1288,2)</f>
        <v>-0.01</v>
      </c>
      <c r="Y1369" s="17">
        <f>ROUND($B1369*Y$1288,2)</f>
        <v>0</v>
      </c>
      <c r="Z1369" s="17">
        <f>ROUND($B1369*Z$1288,2)</f>
        <v>0</v>
      </c>
      <c r="AA1369" s="17">
        <f>ROUND($B1369*AA$1288,2)</f>
        <v>0</v>
      </c>
      <c r="AB1369" s="19">
        <f>SUM(V1332:AA1332)</f>
        <v>0</v>
      </c>
      <c r="AC1369" s="67" t="str">
        <f>+F1369</f>
        <v>HL43</v>
      </c>
    </row>
    <row r="1370" spans="1:29" x14ac:dyDescent="0.2">
      <c r="A1370" s="9"/>
      <c r="B1370" s="103">
        <v>-1</v>
      </c>
      <c r="D1370" s="8"/>
      <c r="E1370" s="9"/>
      <c r="F1370" s="36"/>
      <c r="G1370" s="17"/>
      <c r="H1370" s="19"/>
      <c r="J1370" s="8"/>
      <c r="K1370" s="17"/>
      <c r="L1370" s="17"/>
      <c r="M1370" s="17"/>
      <c r="N1370" s="17"/>
      <c r="O1370" s="17"/>
      <c r="P1370" s="17"/>
      <c r="Q1370" s="17"/>
      <c r="R1370" s="38" t="e">
        <f>VLOOKUP((D1371),'Pwr Factor'!$A$1:$B$52,2)</f>
        <v>#N/A</v>
      </c>
      <c r="S1370" s="50">
        <v>0</v>
      </c>
      <c r="T1370" s="17"/>
      <c r="U1370" s="17"/>
      <c r="V1370" s="17"/>
      <c r="W1370" s="17"/>
      <c r="X1370" s="17"/>
      <c r="Y1370" s="17"/>
      <c r="Z1370" s="17"/>
      <c r="AA1370" s="17"/>
    </row>
    <row r="1371" spans="1:29" x14ac:dyDescent="0.2">
      <c r="A1371" s="1" t="s">
        <v>137</v>
      </c>
      <c r="B1371" s="103">
        <f>IF(AND('AES Indiana Bill Calc.'!$D$17="HL4",'AES Indiana Bill Calc.'!$D$18="No",'AES Indiana Bill Calc.'!$D$20="Yes 2023"),'AES Indiana Bill Calc.'!$D$19,-1)</f>
        <v>-1</v>
      </c>
      <c r="C1371" s="103">
        <f>MAX(E1371,$C$905)</f>
        <v>2000</v>
      </c>
      <c r="D1371" s="103" t="b">
        <f>IF(AND('AES Indiana Bill Calc.'!$D$17="HL4",'AES Indiana Bill Calc.'!$D$18="No",'AES Indiana Bill Calc.'!$D$20="Yes 2023"),'AES Indiana Bill Calc.'!$D$22)</f>
        <v>0</v>
      </c>
      <c r="E1371" s="103" t="b">
        <f>IF(AND('AES Indiana Bill Calc.'!$D$17="HL4",'AES Indiana Bill Calc.'!$D$18="No",'AES Indiana Bill Calc.'!$D$20="Yes 2023"),'AES Indiana Bill Calc.'!$D$21)</f>
        <v>0</v>
      </c>
      <c r="F1371" s="36" t="s">
        <v>251</v>
      </c>
      <c r="G1371" s="92" t="e">
        <f>SUM(J1371:M1371,R1371:AA1371)</f>
        <v>#N/A</v>
      </c>
      <c r="H1371" s="19" t="e">
        <f>IF(ISBLANK(B1371),0,+#REF!/B1371)</f>
        <v>#REF!</v>
      </c>
      <c r="J1371" s="51">
        <f>IF(ISBLANK(B1371),0,+J$1162)</f>
        <v>500</v>
      </c>
      <c r="K1371" s="17">
        <f>ROUND($B1371*K$1288,2)</f>
        <v>-0.06</v>
      </c>
      <c r="L1371" s="17">
        <f>IF(ISBLANK($C1371),0,IF($C1371&lt;$C$1163,ROUND($C$1163*$L$1288,2),IF($C1371&gt;L$1289,ROUND(L$1289*L$1288,2),ROUND($C1371*L$1288,2))))</f>
        <v>30120</v>
      </c>
      <c r="M1371" s="17">
        <f>IF($C1371&gt;L$1037,ROUND(($C1371-L$1037)*M$1036,2),0)</f>
        <v>0</v>
      </c>
      <c r="N1371" s="17">
        <f>K1371</f>
        <v>-0.06</v>
      </c>
      <c r="O1371" s="17"/>
      <c r="P1371" s="17"/>
      <c r="Q1371" s="17">
        <f>SUM(L1371:M1371)</f>
        <v>30120</v>
      </c>
      <c r="R1371" s="16" t="e">
        <f>ROUND(SUM(K1371:M1371)*(R1370-1),2)</f>
        <v>#N/A</v>
      </c>
      <c r="S1371" s="17">
        <f>ROUND($B1371*S$1162*S1370,2)</f>
        <v>0</v>
      </c>
      <c r="T1371" s="17">
        <f>ROUND($B1371*T$1288,2)</f>
        <v>0</v>
      </c>
      <c r="U1371" s="17">
        <f>ROUND($B1371*U$1288,2)</f>
        <v>0</v>
      </c>
      <c r="V1371" s="17">
        <f>ROUND($B1371*V$1157,2)</f>
        <v>0</v>
      </c>
      <c r="W1371" s="17">
        <f>ROUND($B1371*W$1288,2)</f>
        <v>0</v>
      </c>
      <c r="X1371" s="17">
        <f>ROUND($B1371*X$1288,2)</f>
        <v>-0.01</v>
      </c>
      <c r="Y1371" s="17">
        <f>ROUND($B1371*Y$1288,2)</f>
        <v>0</v>
      </c>
      <c r="Z1371" s="17">
        <f>ROUND($B1371*Z$1288,2)</f>
        <v>0</v>
      </c>
      <c r="AA1371" s="17">
        <f>ROUND($B1371*AA$1288,2)</f>
        <v>0</v>
      </c>
      <c r="AB1371" s="19">
        <f>SUM(V1334:AA1334)</f>
        <v>0</v>
      </c>
      <c r="AC1371" s="67" t="str">
        <f>+F1371</f>
        <v>HL43</v>
      </c>
    </row>
    <row r="1372" spans="1:29" ht="13.5" thickBot="1" x14ac:dyDescent="0.25">
      <c r="A1372" s="21"/>
      <c r="B1372" s="106">
        <v>-1</v>
      </c>
      <c r="C1372" s="106"/>
      <c r="D1372" s="111"/>
      <c r="E1372" s="21"/>
      <c r="F1372" s="21"/>
      <c r="G1372" s="95"/>
      <c r="H1372" s="25"/>
      <c r="I1372" s="21"/>
      <c r="J1372" s="112"/>
      <c r="K1372" s="95"/>
      <c r="L1372" s="95"/>
      <c r="M1372" s="95"/>
      <c r="N1372" s="95"/>
      <c r="O1372" s="95"/>
      <c r="P1372" s="95"/>
      <c r="Q1372" s="95"/>
      <c r="R1372" s="113"/>
      <c r="S1372" s="95"/>
      <c r="T1372" s="95"/>
      <c r="U1372" s="95"/>
      <c r="V1372" s="95"/>
      <c r="W1372" s="95"/>
      <c r="X1372" s="95"/>
      <c r="Y1372" s="95"/>
      <c r="Z1372" s="95"/>
      <c r="AA1372" s="95"/>
      <c r="AB1372" s="25"/>
      <c r="AC1372" s="114"/>
    </row>
    <row r="1373" spans="1:29" x14ac:dyDescent="0.2">
      <c r="B1373" s="103">
        <v>-1</v>
      </c>
      <c r="D1373" s="8"/>
      <c r="E1373" s="9"/>
      <c r="F1373" s="36"/>
      <c r="G1373" s="17"/>
      <c r="H1373" s="19"/>
      <c r="J1373" s="8"/>
      <c r="K1373" s="17"/>
      <c r="L1373" s="17"/>
      <c r="M1373" s="17"/>
      <c r="N1373" s="17"/>
      <c r="O1373" s="17"/>
      <c r="P1373" s="17"/>
      <c r="Q1373" s="17"/>
      <c r="R1373" s="38" t="e">
        <f>VLOOKUP((D1374),'Pwr Factor'!$A$1:$B$52,2)</f>
        <v>#N/A</v>
      </c>
      <c r="S1373" s="50">
        <v>1</v>
      </c>
      <c r="T1373" s="17"/>
      <c r="U1373" s="17"/>
      <c r="V1373" s="17"/>
      <c r="W1373" s="17"/>
      <c r="X1373" s="17"/>
      <c r="Y1373" s="17"/>
      <c r="Z1373" s="17"/>
      <c r="AA1373" s="17"/>
    </row>
    <row r="1374" spans="1:29" x14ac:dyDescent="0.2">
      <c r="A1374" s="1" t="s">
        <v>138</v>
      </c>
      <c r="B1374" s="103">
        <f>IF(AND('AES Indiana Bill Calc.'!$D$17="HL4",'AES Indiana Bill Calc.'!$D$18="Yes 100%",'AES Indiana Bill Calc.'!$D$20="Yes 2024"),'AES Indiana Bill Calc.'!$D$19,-1)</f>
        <v>-1</v>
      </c>
      <c r="C1374" s="103">
        <f>MAX(E1374,$C$905)</f>
        <v>2000</v>
      </c>
      <c r="D1374" s="103" t="b">
        <f>IF(AND('AES Indiana Bill Calc.'!$D$17="HL4",'AES Indiana Bill Calc.'!$D$18="Yes 100%",'AES Indiana Bill Calc.'!$D$20="Yes 2024"),'AES Indiana Bill Calc.'!$D$22)</f>
        <v>0</v>
      </c>
      <c r="E1374" s="103" t="b">
        <f>IF(AND('AES Indiana Bill Calc.'!$D$17="HL4",'AES Indiana Bill Calc.'!$D$18="Yes 100%",'AES Indiana Bill Calc.'!$D$20="Yes 2024"),'AES Indiana Bill Calc.'!$D$21)</f>
        <v>0</v>
      </c>
      <c r="F1374" s="36" t="s">
        <v>283</v>
      </c>
      <c r="G1374" s="92" t="e">
        <f>SUM(J1374:M1374,R1374:AA1374)</f>
        <v>#N/A</v>
      </c>
      <c r="H1374" s="19" t="e">
        <f>IF(ISBLANK(B1374),0,+#REF!/B1374)</f>
        <v>#REF!</v>
      </c>
      <c r="J1374" s="51">
        <f>IF(ISBLANK(B1374),0,+J$1162)</f>
        <v>500</v>
      </c>
      <c r="K1374" s="17">
        <f>ROUND($B1374*K$1288,2)</f>
        <v>-0.06</v>
      </c>
      <c r="L1374" s="17">
        <f>IF(ISBLANK($C1374),0,IF($C1374&lt;$C$1163,ROUND($C$1163*$L$1288,2),IF($C1374&gt;L$1289,ROUND(L$1289*L$1288,2),ROUND($C1374*L$1288,2))))</f>
        <v>30120</v>
      </c>
      <c r="M1374" s="17">
        <f>IF($C1374&gt;L$1037,ROUND(($C1374-L$1037)*M$1036,2),0)</f>
        <v>0</v>
      </c>
      <c r="N1374" s="17">
        <f>K1374</f>
        <v>-0.06</v>
      </c>
      <c r="O1374" s="17"/>
      <c r="P1374" s="17"/>
      <c r="Q1374" s="17">
        <f>SUM(L1374:M1374)</f>
        <v>30120</v>
      </c>
      <c r="R1374" s="16" t="e">
        <f>ROUND(SUM(K1374:M1374)*(R1373-1),2)</f>
        <v>#N/A</v>
      </c>
      <c r="S1374" s="17">
        <f>ROUND($B1374*S$1162*S1373,2)</f>
        <v>0</v>
      </c>
      <c r="T1374" s="17">
        <f>ROUND($B1374*T$1288,2)</f>
        <v>0</v>
      </c>
      <c r="U1374" s="17">
        <f>ROUND($B1374*U$1288,2)</f>
        <v>0</v>
      </c>
      <c r="V1374" s="17">
        <f>ROUND($B1374*V$1159,2)</f>
        <v>0</v>
      </c>
      <c r="W1374" s="17">
        <f>ROUND($B1374*W$1288,2)</f>
        <v>0</v>
      </c>
      <c r="X1374" s="17">
        <f>ROUND($B1374*X$1288,2)</f>
        <v>-0.01</v>
      </c>
      <c r="Y1374" s="17">
        <f>ROUND($B1374*Y$1288,2)</f>
        <v>0</v>
      </c>
      <c r="Z1374" s="17">
        <f>ROUND($B1374*Z$1288,2)</f>
        <v>0</v>
      </c>
      <c r="AA1374" s="17">
        <f>ROUND($B1374*AA$1288,2)</f>
        <v>0</v>
      </c>
      <c r="AB1374" s="19">
        <f>SUM(V1337:AA1337)</f>
        <v>-0.01</v>
      </c>
      <c r="AC1374" s="67" t="str">
        <f>+F1374</f>
        <v>HL44</v>
      </c>
    </row>
    <row r="1375" spans="1:29" x14ac:dyDescent="0.2">
      <c r="A1375" s="48"/>
      <c r="B1375" s="103">
        <v>-1</v>
      </c>
      <c r="D1375" s="8"/>
      <c r="E1375" s="9"/>
      <c r="F1375" s="36"/>
      <c r="G1375" s="17"/>
      <c r="H1375" s="19"/>
      <c r="J1375" s="8"/>
      <c r="K1375" s="17"/>
      <c r="L1375" s="17"/>
      <c r="M1375" s="17"/>
      <c r="N1375" s="17"/>
      <c r="O1375" s="17"/>
      <c r="P1375" s="17"/>
      <c r="Q1375" s="17"/>
      <c r="R1375" s="38" t="e">
        <f>VLOOKUP((D1376),'Pwr Factor'!$A$1:$B$52,2)</f>
        <v>#N/A</v>
      </c>
      <c r="S1375" s="50">
        <v>0.5</v>
      </c>
      <c r="T1375" s="17"/>
      <c r="U1375" s="17"/>
      <c r="V1375" s="17"/>
      <c r="W1375" s="17"/>
      <c r="X1375" s="17"/>
      <c r="Y1375" s="17"/>
      <c r="Z1375" s="17"/>
      <c r="AA1375" s="17"/>
    </row>
    <row r="1376" spans="1:29" x14ac:dyDescent="0.2">
      <c r="A1376" s="1" t="s">
        <v>139</v>
      </c>
      <c r="B1376" s="103">
        <f>IF(AND('AES Indiana Bill Calc.'!$D$17="HL4",'AES Indiana Bill Calc.'!$D$18="Yes 50%",'AES Indiana Bill Calc.'!$D$20="Yes 2024"),'AES Indiana Bill Calc.'!$D$19,-1)</f>
        <v>-1</v>
      </c>
      <c r="C1376" s="103">
        <f>MAX(E1376,$C$905)</f>
        <v>2000</v>
      </c>
      <c r="D1376" s="103" t="b">
        <f>IF(AND('AES Indiana Bill Calc.'!$D$17="HL4",'AES Indiana Bill Calc.'!$D$18="Yes 50%",'AES Indiana Bill Calc.'!$D$20="Yes 2024"),'AES Indiana Bill Calc.'!$D$22)</f>
        <v>0</v>
      </c>
      <c r="E1376" s="103" t="b">
        <f>IF(AND('AES Indiana Bill Calc.'!$D$17="HL4",'AES Indiana Bill Calc.'!$D$18="Yes 50%",'AES Indiana Bill Calc.'!$D$20="Yes 2024"),'AES Indiana Bill Calc.'!$D$21)</f>
        <v>0</v>
      </c>
      <c r="F1376" s="36" t="s">
        <v>283</v>
      </c>
      <c r="G1376" s="92" t="e">
        <f>SUM(J1376:M1376,R1376:AA1376)</f>
        <v>#N/A</v>
      </c>
      <c r="H1376" s="19" t="e">
        <f>IF(ISBLANK(B1376),0,+#REF!/B1376)</f>
        <v>#REF!</v>
      </c>
      <c r="J1376" s="51">
        <f>IF(ISBLANK(B1376),0,+J$1162)</f>
        <v>500</v>
      </c>
      <c r="K1376" s="17">
        <f>ROUND($B1376*K$1288,2)</f>
        <v>-0.06</v>
      </c>
      <c r="L1376" s="17">
        <f>IF(ISBLANK($C1376),0,IF($C1376&lt;$C$1163,ROUND($C$1163*$L$1288,2),IF($C1376&gt;L$1289,ROUND(L$1289*L$1288,2),ROUND($C1376*L$1288,2))))</f>
        <v>30120</v>
      </c>
      <c r="M1376" s="17">
        <f>IF($C1376&gt;L$1037,ROUND(($C1376-L$1037)*M$1036,2),0)</f>
        <v>0</v>
      </c>
      <c r="N1376" s="17">
        <f>K1376</f>
        <v>-0.06</v>
      </c>
      <c r="O1376" s="17"/>
      <c r="P1376" s="17"/>
      <c r="Q1376" s="17">
        <f>SUM(L1376:M1376)</f>
        <v>30120</v>
      </c>
      <c r="R1376" s="16" t="e">
        <f>ROUND(SUM(K1376:M1376)*(R1375-1),2)</f>
        <v>#N/A</v>
      </c>
      <c r="S1376" s="17">
        <f>ROUND($B1376*S$1162*S1375,2)</f>
        <v>0</v>
      </c>
      <c r="T1376" s="17">
        <f>ROUND($B1376*T$1288,2)</f>
        <v>0</v>
      </c>
      <c r="U1376" s="17">
        <f>ROUND($B1376*U$1288,2)</f>
        <v>0</v>
      </c>
      <c r="V1376" s="17">
        <f>ROUND($B1376*V$1159,2)</f>
        <v>0</v>
      </c>
      <c r="W1376" s="17">
        <f>ROUND($B1376*W$1288,2)</f>
        <v>0</v>
      </c>
      <c r="X1376" s="17">
        <f>ROUND($B1376*X$1288,2)</f>
        <v>-0.01</v>
      </c>
      <c r="Y1376" s="17">
        <f>ROUND($B1376*Y$1288,2)</f>
        <v>0</v>
      </c>
      <c r="Z1376" s="17">
        <f>ROUND($B1376*Z$1288,2)</f>
        <v>0</v>
      </c>
      <c r="AA1376" s="17">
        <f>ROUND($B1376*AA$1288,2)</f>
        <v>0</v>
      </c>
      <c r="AB1376" s="19">
        <f>SUM(V1339:AA1339)</f>
        <v>-0.01</v>
      </c>
      <c r="AC1376" s="67" t="str">
        <f>+F1376</f>
        <v>HL44</v>
      </c>
    </row>
    <row r="1377" spans="1:29" x14ac:dyDescent="0.2">
      <c r="A1377" s="9"/>
      <c r="B1377" s="103">
        <v>-1</v>
      </c>
      <c r="D1377" s="8"/>
      <c r="E1377" s="9"/>
      <c r="F1377" s="36"/>
      <c r="G1377" s="17"/>
      <c r="H1377" s="19"/>
      <c r="J1377" s="8"/>
      <c r="K1377" s="17"/>
      <c r="L1377" s="17"/>
      <c r="M1377" s="17"/>
      <c r="N1377" s="17"/>
      <c r="O1377" s="17"/>
      <c r="P1377" s="17"/>
      <c r="Q1377" s="17"/>
      <c r="R1377" s="38" t="e">
        <f>VLOOKUP((D1378),'Pwr Factor'!$A$1:$B$52,2)</f>
        <v>#N/A</v>
      </c>
      <c r="S1377" s="50">
        <v>0.25</v>
      </c>
      <c r="T1377" s="17"/>
      <c r="U1377" s="17"/>
      <c r="V1377" s="17"/>
      <c r="W1377" s="17"/>
      <c r="X1377" s="17"/>
      <c r="Y1377" s="17"/>
      <c r="Z1377" s="17"/>
      <c r="AA1377" s="17"/>
    </row>
    <row r="1378" spans="1:29" x14ac:dyDescent="0.2">
      <c r="A1378" s="1" t="s">
        <v>140</v>
      </c>
      <c r="B1378" s="103">
        <f>IF(AND('AES Indiana Bill Calc.'!$D$17="HL4",'AES Indiana Bill Calc.'!$D$18="Yes 25%",'AES Indiana Bill Calc.'!$D$20="Yes 2024"),'AES Indiana Bill Calc.'!$D$19,-1)</f>
        <v>-1</v>
      </c>
      <c r="C1378" s="103">
        <f>MAX(E1378,$C$905)</f>
        <v>2000</v>
      </c>
      <c r="D1378" s="103" t="b">
        <f>IF(AND('AES Indiana Bill Calc.'!$D$17="HL4",'AES Indiana Bill Calc.'!$D$18="Yes 25%",'AES Indiana Bill Calc.'!$D$20="Yes 2024"),'AES Indiana Bill Calc.'!$D$22)</f>
        <v>0</v>
      </c>
      <c r="E1378" s="103" t="b">
        <f>IF(AND('AES Indiana Bill Calc.'!$D$17="HL4",'AES Indiana Bill Calc.'!$D$18="Yes 25%",'AES Indiana Bill Calc.'!$D$20="Yes 2024"),'AES Indiana Bill Calc.'!$D$21)</f>
        <v>0</v>
      </c>
      <c r="F1378" s="36" t="s">
        <v>283</v>
      </c>
      <c r="G1378" s="92" t="e">
        <f>SUM(J1378:M1378,R1378:AA1378)</f>
        <v>#N/A</v>
      </c>
      <c r="H1378" s="19" t="e">
        <f>IF(ISBLANK(B1378),0,+#REF!/B1378)</f>
        <v>#REF!</v>
      </c>
      <c r="J1378" s="51">
        <f>IF(ISBLANK(B1378),0,+J$1162)</f>
        <v>500</v>
      </c>
      <c r="K1378" s="17">
        <f>ROUND($B1378*K$1288,2)</f>
        <v>-0.06</v>
      </c>
      <c r="L1378" s="17">
        <f>IF(ISBLANK($C1378),0,IF($C1378&lt;$C$1163,ROUND($C$1163*$L$1288,2),IF($C1378&gt;L$1289,ROUND(L$1289*L$1288,2),ROUND($C1378*L$1288,2))))</f>
        <v>30120</v>
      </c>
      <c r="M1378" s="17">
        <f>IF($C1378&gt;L$1037,ROUND(($C1378-L$1037)*M$1036,2),0)</f>
        <v>0</v>
      </c>
      <c r="N1378" s="17">
        <f>K1378</f>
        <v>-0.06</v>
      </c>
      <c r="O1378" s="17"/>
      <c r="P1378" s="17"/>
      <c r="Q1378" s="17">
        <f>SUM(L1378:M1378)</f>
        <v>30120</v>
      </c>
      <c r="R1378" s="16" t="e">
        <f>ROUND(SUM(K1378:M1378)*(R1377-1),2)</f>
        <v>#N/A</v>
      </c>
      <c r="S1378" s="17">
        <f>ROUND($B1378*S$1162*S1377,2)</f>
        <v>0</v>
      </c>
      <c r="T1378" s="17">
        <f>ROUND($B1378*T$1288,2)</f>
        <v>0</v>
      </c>
      <c r="U1378" s="17">
        <f>ROUND($B1378*U$1288,2)</f>
        <v>0</v>
      </c>
      <c r="V1378" s="17">
        <f>ROUND($B1378*V$1159,2)</f>
        <v>0</v>
      </c>
      <c r="W1378" s="17">
        <f>ROUND($B1378*W$1288,2)</f>
        <v>0</v>
      </c>
      <c r="X1378" s="17">
        <f>ROUND($B1378*X$1288,2)</f>
        <v>-0.01</v>
      </c>
      <c r="Y1378" s="17">
        <f>ROUND($B1378*Y$1288,2)</f>
        <v>0</v>
      </c>
      <c r="Z1378" s="17">
        <f>ROUND($B1378*Z$1288,2)</f>
        <v>0</v>
      </c>
      <c r="AA1378" s="17">
        <f>ROUND($B1378*AA$1288,2)</f>
        <v>0</v>
      </c>
      <c r="AB1378" s="19">
        <f>SUM(V1341:AA1341)</f>
        <v>-0.01</v>
      </c>
      <c r="AC1378" s="67" t="str">
        <f>+F1378</f>
        <v>HL44</v>
      </c>
    </row>
    <row r="1379" spans="1:29" x14ac:dyDescent="0.2">
      <c r="A1379" s="9"/>
      <c r="B1379" s="103">
        <v>-1</v>
      </c>
      <c r="D1379" s="8"/>
      <c r="E1379" s="9"/>
      <c r="F1379" s="36"/>
      <c r="G1379" s="17"/>
      <c r="H1379" s="19"/>
      <c r="J1379" s="8"/>
      <c r="K1379" s="17"/>
      <c r="L1379" s="17"/>
      <c r="M1379" s="17"/>
      <c r="N1379" s="17"/>
      <c r="O1379" s="17"/>
      <c r="P1379" s="17"/>
      <c r="Q1379" s="17"/>
      <c r="R1379" s="38" t="e">
        <f>VLOOKUP((D1380),'Pwr Factor'!$A$1:$B$52,2)</f>
        <v>#N/A</v>
      </c>
      <c r="S1379" s="50">
        <v>0.1</v>
      </c>
      <c r="T1379" s="17"/>
      <c r="U1379" s="17"/>
      <c r="V1379" s="17"/>
      <c r="W1379" s="17"/>
      <c r="X1379" s="17"/>
      <c r="Y1379" s="17"/>
      <c r="Z1379" s="17"/>
      <c r="AA1379" s="17"/>
    </row>
    <row r="1380" spans="1:29" x14ac:dyDescent="0.2">
      <c r="A1380" s="1" t="s">
        <v>154</v>
      </c>
      <c r="B1380" s="103">
        <f>IF(AND('AES Indiana Bill Calc.'!$D$17="HL4",'AES Indiana Bill Calc.'!$D$18="Yes 10%",'AES Indiana Bill Calc.'!$D$20="Yes 2024"),'AES Indiana Bill Calc.'!$D$19,-1)</f>
        <v>-1</v>
      </c>
      <c r="C1380" s="103">
        <f>MAX(E1380,$C$905)</f>
        <v>2000</v>
      </c>
      <c r="D1380" s="103" t="b">
        <f>IF(AND('AES Indiana Bill Calc.'!$D$17="HL4",'AES Indiana Bill Calc.'!$D$18="Yes 10%",'AES Indiana Bill Calc.'!$D$20="Yes 2024"),'AES Indiana Bill Calc.'!$D$22)</f>
        <v>0</v>
      </c>
      <c r="E1380" s="103" t="b">
        <f>IF(AND('AES Indiana Bill Calc.'!$D$17="HL4",'AES Indiana Bill Calc.'!$D$18="Yes 10%",'AES Indiana Bill Calc.'!$D$20="Yes 2024"),'AES Indiana Bill Calc.'!$D$21)</f>
        <v>0</v>
      </c>
      <c r="F1380" s="36" t="s">
        <v>283</v>
      </c>
      <c r="G1380" s="92" t="e">
        <f>SUM(J1380:M1380,R1380:AA1380)</f>
        <v>#N/A</v>
      </c>
      <c r="H1380" s="19" t="e">
        <f>IF(ISBLANK(B1380),0,+#REF!/B1380)</f>
        <v>#REF!</v>
      </c>
      <c r="J1380" s="51">
        <f>IF(ISBLANK(B1380),0,+J$1162)</f>
        <v>500</v>
      </c>
      <c r="K1380" s="17">
        <f>ROUND($B1380*K$1288,2)</f>
        <v>-0.06</v>
      </c>
      <c r="L1380" s="17">
        <f>IF(ISBLANK($C1380),0,IF($C1380&lt;$C$1163,ROUND($C$1163*$L$1288,2),IF($C1380&gt;L$1289,ROUND(L$1289*L$1288,2),ROUND($C1380*L$1288,2))))</f>
        <v>30120</v>
      </c>
      <c r="M1380" s="17">
        <f>IF($C1380&gt;L$1037,ROUND(($C1380-L$1037)*M$1036,2),0)</f>
        <v>0</v>
      </c>
      <c r="N1380" s="17">
        <f>K1380</f>
        <v>-0.06</v>
      </c>
      <c r="O1380" s="17"/>
      <c r="P1380" s="17"/>
      <c r="Q1380" s="17">
        <f>SUM(L1380:M1380)</f>
        <v>30120</v>
      </c>
      <c r="R1380" s="16" t="e">
        <f>ROUND(SUM(K1380:M1380)*(R1379-1),2)</f>
        <v>#N/A</v>
      </c>
      <c r="S1380" s="17">
        <f>ROUND($B1380*S$1162*S1379,2)</f>
        <v>0</v>
      </c>
      <c r="T1380" s="17">
        <f>ROUND($B1380*T$1288,2)</f>
        <v>0</v>
      </c>
      <c r="U1380" s="17">
        <f>ROUND($B1380*U$1288,2)</f>
        <v>0</v>
      </c>
      <c r="V1380" s="17">
        <f>ROUND($B1380*V$1159,2)</f>
        <v>0</v>
      </c>
      <c r="W1380" s="17">
        <f>ROUND($B1380*W$1288,2)</f>
        <v>0</v>
      </c>
      <c r="X1380" s="17">
        <f>ROUND($B1380*X$1288,2)</f>
        <v>-0.01</v>
      </c>
      <c r="Y1380" s="17">
        <f>ROUND($B1380*Y$1288,2)</f>
        <v>0</v>
      </c>
      <c r="Z1380" s="17">
        <f>ROUND($B1380*Z$1288,2)</f>
        <v>0</v>
      </c>
      <c r="AA1380" s="17">
        <f>ROUND($B1380*AA$1288,2)</f>
        <v>0</v>
      </c>
      <c r="AB1380" s="19">
        <f>SUM(V1343:AA1343)</f>
        <v>-0.01</v>
      </c>
      <c r="AC1380" s="67" t="str">
        <f>+F1380</f>
        <v>HL44</v>
      </c>
    </row>
    <row r="1381" spans="1:29" x14ac:dyDescent="0.2">
      <c r="A1381" s="9"/>
      <c r="B1381" s="103">
        <v>-1</v>
      </c>
      <c r="D1381" s="8"/>
      <c r="E1381" s="9"/>
      <c r="F1381" s="36"/>
      <c r="G1381" s="17"/>
      <c r="H1381" s="19"/>
      <c r="J1381" s="8"/>
      <c r="K1381" s="17"/>
      <c r="L1381" s="17"/>
      <c r="M1381" s="17"/>
      <c r="N1381" s="17"/>
      <c r="O1381" s="17"/>
      <c r="P1381" s="17"/>
      <c r="Q1381" s="17"/>
      <c r="R1381" s="38" t="e">
        <f>VLOOKUP((D1382),'Pwr Factor'!$A$1:$B$52,2)</f>
        <v>#N/A</v>
      </c>
      <c r="S1381" s="50">
        <v>0</v>
      </c>
      <c r="T1381" s="17"/>
      <c r="U1381" s="17"/>
      <c r="V1381" s="17"/>
      <c r="W1381" s="17"/>
      <c r="X1381" s="17"/>
      <c r="Y1381" s="17"/>
      <c r="Z1381" s="17"/>
      <c r="AA1381" s="17"/>
    </row>
    <row r="1382" spans="1:29" x14ac:dyDescent="0.2">
      <c r="A1382" s="1" t="s">
        <v>137</v>
      </c>
      <c r="B1382" s="103">
        <f>IF(AND('AES Indiana Bill Calc.'!$D$17="HL4",'AES Indiana Bill Calc.'!$D$18="No",'AES Indiana Bill Calc.'!$D$20="Yes 2024"),'AES Indiana Bill Calc.'!$D$19,-1)</f>
        <v>-1</v>
      </c>
      <c r="C1382" s="103">
        <f>MAX(E1382,$C$905)</f>
        <v>2000</v>
      </c>
      <c r="D1382" s="103" t="b">
        <f>IF(AND('AES Indiana Bill Calc.'!$D$17="HL4",'AES Indiana Bill Calc.'!$D$18="No",'AES Indiana Bill Calc.'!$D$20="Yes 2024"),'AES Indiana Bill Calc.'!$D$22)</f>
        <v>0</v>
      </c>
      <c r="E1382" s="103" t="b">
        <f>IF(AND('AES Indiana Bill Calc.'!$D$17="HL4",'AES Indiana Bill Calc.'!$D$18="No",'AES Indiana Bill Calc.'!$D$20="Yes 2024"),'AES Indiana Bill Calc.'!$D$21)</f>
        <v>0</v>
      </c>
      <c r="F1382" s="36" t="s">
        <v>283</v>
      </c>
      <c r="G1382" s="92" t="e">
        <f>SUM(J1382:M1382,R1382:AA1382)</f>
        <v>#N/A</v>
      </c>
      <c r="H1382" s="19" t="e">
        <f>IF(ISBLANK(B1382),0,+#REF!/B1382)</f>
        <v>#REF!</v>
      </c>
      <c r="J1382" s="51">
        <f>IF(ISBLANK(B1382),0,+J$1162)</f>
        <v>500</v>
      </c>
      <c r="K1382" s="17">
        <f>ROUND($B1382*K$1288,2)</f>
        <v>-0.06</v>
      </c>
      <c r="L1382" s="17">
        <f>IF(ISBLANK($C1382),0,IF($C1382&lt;$C$1163,ROUND($C$1163*$L$1288,2),IF($C1382&gt;L$1289,ROUND(L$1289*L$1288,2),ROUND($C1382*L$1288,2))))</f>
        <v>30120</v>
      </c>
      <c r="M1382" s="17">
        <f>IF($C1382&gt;L$1037,ROUND(($C1382-L$1037)*M$1036,2),0)</f>
        <v>0</v>
      </c>
      <c r="N1382" s="17">
        <f>K1382</f>
        <v>-0.06</v>
      </c>
      <c r="O1382" s="17"/>
      <c r="P1382" s="17"/>
      <c r="Q1382" s="17">
        <f>SUM(L1382:M1382)</f>
        <v>30120</v>
      </c>
      <c r="R1382" s="16" t="e">
        <f>ROUND(SUM(K1382:M1382)*(R1381-1),2)</f>
        <v>#N/A</v>
      </c>
      <c r="S1382" s="17">
        <f>ROUND($B1382*S$1162*S1381,2)</f>
        <v>0</v>
      </c>
      <c r="T1382" s="17">
        <f>ROUND($B1382*T$1288,2)</f>
        <v>0</v>
      </c>
      <c r="U1382" s="17">
        <f>ROUND($B1382*U$1288,2)</f>
        <v>0</v>
      </c>
      <c r="V1382" s="17">
        <f>ROUND($B1382*V$1159,2)</f>
        <v>0</v>
      </c>
      <c r="W1382" s="17">
        <f>ROUND($B1382*W$1288,2)</f>
        <v>0</v>
      </c>
      <c r="X1382" s="17">
        <f>ROUND($B1382*X$1288,2)</f>
        <v>-0.01</v>
      </c>
      <c r="Y1382" s="17">
        <f>ROUND($B1382*Y$1288,2)</f>
        <v>0</v>
      </c>
      <c r="Z1382" s="17">
        <f>ROUND($B1382*Z$1288,2)</f>
        <v>0</v>
      </c>
      <c r="AA1382" s="17">
        <f>ROUND($B1382*AA$1288,2)</f>
        <v>0</v>
      </c>
      <c r="AB1382" s="19">
        <f>SUM(V1345:AA1345)</f>
        <v>-0.01</v>
      </c>
      <c r="AC1382" s="67" t="str">
        <f>+F1382</f>
        <v>HL44</v>
      </c>
    </row>
    <row r="1383" spans="1:29" x14ac:dyDescent="0.2">
      <c r="B1383" s="103">
        <v>-1</v>
      </c>
      <c r="D1383" s="8"/>
      <c r="E1383" s="9"/>
      <c r="F1383" s="36"/>
      <c r="G1383" s="17"/>
      <c r="H1383" s="19"/>
      <c r="J1383" s="8"/>
      <c r="K1383" s="17"/>
      <c r="L1383" s="17"/>
      <c r="M1383" s="17"/>
      <c r="N1383" s="17"/>
      <c r="O1383" s="17"/>
      <c r="P1383" s="17"/>
      <c r="Q1383" s="17"/>
      <c r="R1383" s="38" t="e">
        <f>VLOOKUP((D1384),'Pwr Factor'!$A$1:$B$52,2)</f>
        <v>#N/A</v>
      </c>
      <c r="S1383" s="50">
        <v>1</v>
      </c>
      <c r="T1383" s="17"/>
      <c r="U1383" s="17"/>
      <c r="V1383" s="17"/>
      <c r="W1383" s="17"/>
      <c r="X1383" s="17"/>
      <c r="Y1383" s="17"/>
      <c r="Z1383" s="17"/>
      <c r="AA1383" s="17"/>
    </row>
    <row r="1384" spans="1:29" x14ac:dyDescent="0.2">
      <c r="A1384" s="1" t="s">
        <v>138</v>
      </c>
      <c r="B1384" s="103">
        <f>IF(AND('AES Indiana Bill Calc.'!$D$17="HL4",'AES Indiana Bill Calc.'!$D$18="Yes 100%",'AES Indiana Bill Calc.'!$D$20="Yes 2025"),'AES Indiana Bill Calc.'!$D$19,-1)</f>
        <v>-1</v>
      </c>
      <c r="C1384" s="103">
        <f>MAX(E1384,$C$905)</f>
        <v>2000</v>
      </c>
      <c r="D1384" s="103" t="b">
        <f>IF(AND('AES Indiana Bill Calc.'!$D$17="HL4",'AES Indiana Bill Calc.'!$D$18="Yes 100%",'AES Indiana Bill Calc.'!$D$20="Yes 2025"),'AES Indiana Bill Calc.'!$D$22)</f>
        <v>0</v>
      </c>
      <c r="E1384" s="103" t="b">
        <f>IF(AND('AES Indiana Bill Calc.'!$D$17="HL4",'AES Indiana Bill Calc.'!$D$18="Yes 100%",'AES Indiana Bill Calc.'!$D$20="Yes 2025"),'AES Indiana Bill Calc.'!$D$21)</f>
        <v>0</v>
      </c>
      <c r="F1384" s="36" t="s">
        <v>324</v>
      </c>
      <c r="G1384" s="92" t="e">
        <f>SUM(J1384:M1384,R1384:AA1384)</f>
        <v>#N/A</v>
      </c>
      <c r="H1384" s="19" t="e">
        <f>IF(ISBLANK(B1384),0,+#REF!/B1384)</f>
        <v>#REF!</v>
      </c>
      <c r="J1384" s="51">
        <f>IF(ISBLANK(B1384),0,+J$1162)</f>
        <v>500</v>
      </c>
      <c r="K1384" s="17">
        <f>ROUND($B1384*K$1288,2)</f>
        <v>-0.06</v>
      </c>
      <c r="L1384" s="17">
        <f>IF(ISBLANK($C1384),0,IF($C1384&lt;$C$1163,ROUND($C$1163*$L$1288,2),IF($C1384&gt;L$1289,ROUND(L$1289*L$1288,2),ROUND($C1384*L$1288,2))))</f>
        <v>30120</v>
      </c>
      <c r="M1384" s="17">
        <f>IF($C1384&gt;L$1037,ROUND(($C1384-L$1037)*M$1036,2),0)</f>
        <v>0</v>
      </c>
      <c r="N1384" s="17">
        <f>K1384</f>
        <v>-0.06</v>
      </c>
      <c r="O1384" s="17"/>
      <c r="P1384" s="17"/>
      <c r="Q1384" s="17">
        <f>SUM(L1384:M1384)</f>
        <v>30120</v>
      </c>
      <c r="R1384" s="16" t="e">
        <f>ROUND(SUM(K1384:M1384)*(R1383-1),2)</f>
        <v>#N/A</v>
      </c>
      <c r="S1384" s="17">
        <f>ROUND($B1384*S$1162*S1383,2)</f>
        <v>0</v>
      </c>
      <c r="T1384" s="17">
        <f>ROUND($B1384*T$1288,2)</f>
        <v>0</v>
      </c>
      <c r="U1384" s="17">
        <f>ROUND($B1384*U$1288,2)</f>
        <v>0</v>
      </c>
      <c r="V1384" s="17">
        <f>ROUND($B1384*V$1160,2)</f>
        <v>-0.01</v>
      </c>
      <c r="W1384" s="17">
        <f>ROUND($B1384*W$1288,2)</f>
        <v>0</v>
      </c>
      <c r="X1384" s="17">
        <f>ROUND($B1384*X$1288,2)</f>
        <v>-0.01</v>
      </c>
      <c r="Y1384" s="17">
        <f>ROUND($B1384*Y$1288,2)</f>
        <v>0</v>
      </c>
      <c r="Z1384" s="17">
        <f>ROUND($B1384*Z$1288,2)</f>
        <v>0</v>
      </c>
      <c r="AA1384" s="17">
        <f>ROUND($B1384*AA$1288,2)</f>
        <v>0</v>
      </c>
      <c r="AB1384" s="19">
        <f>SUM(V1347:AA1347)</f>
        <v>-0.01</v>
      </c>
      <c r="AC1384" s="67" t="str">
        <f>+F1384</f>
        <v>HL45</v>
      </c>
    </row>
    <row r="1385" spans="1:29" x14ac:dyDescent="0.2">
      <c r="A1385" s="48"/>
      <c r="B1385" s="103">
        <v>-1</v>
      </c>
      <c r="D1385" s="8"/>
      <c r="E1385" s="9"/>
      <c r="F1385" s="36"/>
      <c r="G1385" s="17"/>
      <c r="H1385" s="19"/>
      <c r="J1385" s="8"/>
      <c r="K1385" s="17"/>
      <c r="L1385" s="17"/>
      <c r="M1385" s="17"/>
      <c r="N1385" s="17"/>
      <c r="O1385" s="17"/>
      <c r="P1385" s="17"/>
      <c r="Q1385" s="17"/>
      <c r="R1385" s="38" t="e">
        <f>VLOOKUP((D1386),'Pwr Factor'!$A$1:$B$52,2)</f>
        <v>#N/A</v>
      </c>
      <c r="S1385" s="50">
        <v>0.5</v>
      </c>
      <c r="T1385" s="17"/>
      <c r="U1385" s="17"/>
      <c r="V1385" s="17"/>
      <c r="W1385" s="17"/>
      <c r="X1385" s="17"/>
      <c r="Y1385" s="17"/>
      <c r="Z1385" s="17"/>
      <c r="AA1385" s="17"/>
    </row>
    <row r="1386" spans="1:29" x14ac:dyDescent="0.2">
      <c r="A1386" s="1" t="s">
        <v>139</v>
      </c>
      <c r="B1386" s="103">
        <f>IF(AND('AES Indiana Bill Calc.'!$D$17="HL4",'AES Indiana Bill Calc.'!$D$18="Yes 50%",'AES Indiana Bill Calc.'!$D$20="Yes 2025"),'AES Indiana Bill Calc.'!$D$19,-1)</f>
        <v>-1</v>
      </c>
      <c r="C1386" s="103">
        <f>MAX(E1386,$C$905)</f>
        <v>2000</v>
      </c>
      <c r="D1386" s="103" t="b">
        <f>IF(AND('AES Indiana Bill Calc.'!$D$17="HL4",'AES Indiana Bill Calc.'!$D$18="Yes 50%",'AES Indiana Bill Calc.'!$D$20="Yes 2025"),'AES Indiana Bill Calc.'!$D$22)</f>
        <v>0</v>
      </c>
      <c r="E1386" s="103" t="b">
        <f>IF(AND('AES Indiana Bill Calc.'!$D$17="HL4",'AES Indiana Bill Calc.'!$D$18="Yes 50%",'AES Indiana Bill Calc.'!$D$20="Yes 2025"),'AES Indiana Bill Calc.'!$D$21)</f>
        <v>0</v>
      </c>
      <c r="F1386" s="36" t="s">
        <v>324</v>
      </c>
      <c r="G1386" s="92" t="e">
        <f>SUM(J1386:M1386,R1386:AA1386)</f>
        <v>#N/A</v>
      </c>
      <c r="H1386" s="19" t="e">
        <f>IF(ISBLANK(B1386),0,+#REF!/B1386)</f>
        <v>#REF!</v>
      </c>
      <c r="J1386" s="51">
        <f>IF(ISBLANK(B1386),0,+J$1162)</f>
        <v>500</v>
      </c>
      <c r="K1386" s="17">
        <f>ROUND($B1386*K$1288,2)</f>
        <v>-0.06</v>
      </c>
      <c r="L1386" s="17">
        <f>IF(ISBLANK($C1386),0,IF($C1386&lt;$C$1163,ROUND($C$1163*$L$1288,2),IF($C1386&gt;L$1289,ROUND(L$1289*L$1288,2),ROUND($C1386*L$1288,2))))</f>
        <v>30120</v>
      </c>
      <c r="M1386" s="17">
        <f>IF($C1386&gt;L$1037,ROUND(($C1386-L$1037)*M$1036,2),0)</f>
        <v>0</v>
      </c>
      <c r="N1386" s="17">
        <f>K1386</f>
        <v>-0.06</v>
      </c>
      <c r="O1386" s="17"/>
      <c r="P1386" s="17"/>
      <c r="Q1386" s="17">
        <f>SUM(L1386:M1386)</f>
        <v>30120</v>
      </c>
      <c r="R1386" s="16" t="e">
        <f>ROUND(SUM(K1386:M1386)*(R1385-1),2)</f>
        <v>#N/A</v>
      </c>
      <c r="S1386" s="17">
        <f>ROUND($B1386*S$1162*S1385,2)</f>
        <v>0</v>
      </c>
      <c r="T1386" s="17">
        <f>ROUND($B1386*T$1288,2)</f>
        <v>0</v>
      </c>
      <c r="U1386" s="17">
        <f>ROUND($B1386*U$1288,2)</f>
        <v>0</v>
      </c>
      <c r="V1386" s="17">
        <f>ROUND($B1386*V$1160,2)</f>
        <v>-0.01</v>
      </c>
      <c r="W1386" s="17">
        <f>ROUND($B1386*W$1288,2)</f>
        <v>0</v>
      </c>
      <c r="X1386" s="17">
        <f>ROUND($B1386*X$1288,2)</f>
        <v>-0.01</v>
      </c>
      <c r="Y1386" s="17">
        <f>ROUND($B1386*Y$1288,2)</f>
        <v>0</v>
      </c>
      <c r="Z1386" s="17">
        <f>ROUND($B1386*Z$1288,2)</f>
        <v>0</v>
      </c>
      <c r="AA1386" s="17">
        <f>ROUND($B1386*AA$1288,2)</f>
        <v>0</v>
      </c>
      <c r="AB1386" s="19">
        <f>SUM(V1349:AA1349)</f>
        <v>-0.01</v>
      </c>
      <c r="AC1386" s="67" t="str">
        <f>+F1386</f>
        <v>HL45</v>
      </c>
    </row>
    <row r="1387" spans="1:29" x14ac:dyDescent="0.2">
      <c r="A1387" s="9"/>
      <c r="B1387" s="103">
        <v>-1</v>
      </c>
      <c r="D1387" s="8"/>
      <c r="E1387" s="9"/>
      <c r="F1387" s="36"/>
      <c r="G1387" s="17"/>
      <c r="H1387" s="19"/>
      <c r="J1387" s="8"/>
      <c r="K1387" s="17"/>
      <c r="L1387" s="17"/>
      <c r="M1387" s="17"/>
      <c r="N1387" s="17"/>
      <c r="O1387" s="17"/>
      <c r="P1387" s="17"/>
      <c r="Q1387" s="17"/>
      <c r="R1387" s="38" t="e">
        <f>VLOOKUP((D1388),'Pwr Factor'!$A$1:$B$52,2)</f>
        <v>#N/A</v>
      </c>
      <c r="S1387" s="50">
        <v>0.25</v>
      </c>
      <c r="T1387" s="17"/>
      <c r="U1387" s="17"/>
      <c r="V1387" s="17"/>
      <c r="W1387" s="17"/>
      <c r="X1387" s="17"/>
      <c r="Y1387" s="17"/>
      <c r="Z1387" s="17"/>
      <c r="AA1387" s="17"/>
    </row>
    <row r="1388" spans="1:29" x14ac:dyDescent="0.2">
      <c r="A1388" s="1" t="s">
        <v>140</v>
      </c>
      <c r="B1388" s="103">
        <f>IF(AND('AES Indiana Bill Calc.'!$D$17="HL4",'AES Indiana Bill Calc.'!$D$18="Yes 25%",'AES Indiana Bill Calc.'!$D$20="Yes 2025"),'AES Indiana Bill Calc.'!$D$19,-1)</f>
        <v>-1</v>
      </c>
      <c r="C1388" s="103">
        <f>MAX(E1388,$C$905)</f>
        <v>2000</v>
      </c>
      <c r="D1388" s="103" t="b">
        <f>IF(AND('AES Indiana Bill Calc.'!$D$17="HL4",'AES Indiana Bill Calc.'!$D$18="Yes 25%",'AES Indiana Bill Calc.'!$D$20="Yes 2025"),'AES Indiana Bill Calc.'!$D$22)</f>
        <v>0</v>
      </c>
      <c r="E1388" s="103" t="b">
        <f>IF(AND('AES Indiana Bill Calc.'!$D$17="HL4",'AES Indiana Bill Calc.'!$D$18="Yes 25%",'AES Indiana Bill Calc.'!$D$20="Yes 2025"),'AES Indiana Bill Calc.'!$D$21)</f>
        <v>0</v>
      </c>
      <c r="F1388" s="36" t="s">
        <v>324</v>
      </c>
      <c r="G1388" s="92" t="e">
        <f>SUM(J1388:M1388,R1388:AA1388)</f>
        <v>#N/A</v>
      </c>
      <c r="H1388" s="19" t="e">
        <f>IF(ISBLANK(B1388),0,+#REF!/B1388)</f>
        <v>#REF!</v>
      </c>
      <c r="J1388" s="51">
        <f>IF(ISBLANK(B1388),0,+J$1162)</f>
        <v>500</v>
      </c>
      <c r="K1388" s="17">
        <f>ROUND($B1388*K$1288,2)</f>
        <v>-0.06</v>
      </c>
      <c r="L1388" s="17">
        <f>IF(ISBLANK($C1388),0,IF($C1388&lt;$C$1163,ROUND($C$1163*$L$1288,2),IF($C1388&gt;L$1289,ROUND(L$1289*L$1288,2),ROUND($C1388*L$1288,2))))</f>
        <v>30120</v>
      </c>
      <c r="M1388" s="17">
        <f>IF($C1388&gt;L$1037,ROUND(($C1388-L$1037)*M$1036,2),0)</f>
        <v>0</v>
      </c>
      <c r="N1388" s="17">
        <f>K1388</f>
        <v>-0.06</v>
      </c>
      <c r="O1388" s="17"/>
      <c r="P1388" s="17"/>
      <c r="Q1388" s="17">
        <f>SUM(L1388:M1388)</f>
        <v>30120</v>
      </c>
      <c r="R1388" s="16" t="e">
        <f>ROUND(SUM(K1388:M1388)*(R1387-1),2)</f>
        <v>#N/A</v>
      </c>
      <c r="S1388" s="17">
        <f>ROUND($B1388*S$1162*S1387,2)</f>
        <v>0</v>
      </c>
      <c r="T1388" s="17">
        <f>ROUND($B1388*T$1288,2)</f>
        <v>0</v>
      </c>
      <c r="U1388" s="17">
        <f>ROUND($B1388*U$1288,2)</f>
        <v>0</v>
      </c>
      <c r="V1388" s="17">
        <f>ROUND($B1388*V$1160,2)</f>
        <v>-0.01</v>
      </c>
      <c r="W1388" s="17">
        <f>ROUND($B1388*W$1288,2)</f>
        <v>0</v>
      </c>
      <c r="X1388" s="17">
        <f>ROUND($B1388*X$1288,2)</f>
        <v>-0.01</v>
      </c>
      <c r="Y1388" s="17">
        <f>ROUND($B1388*Y$1288,2)</f>
        <v>0</v>
      </c>
      <c r="Z1388" s="17">
        <f>ROUND($B1388*Z$1288,2)</f>
        <v>0</v>
      </c>
      <c r="AA1388" s="17">
        <f>ROUND($B1388*AA$1288,2)</f>
        <v>0</v>
      </c>
      <c r="AB1388" s="19">
        <f>SUM(V1351:AA1351)</f>
        <v>-0.01</v>
      </c>
      <c r="AC1388" s="67" t="str">
        <f>+F1388</f>
        <v>HL45</v>
      </c>
    </row>
    <row r="1389" spans="1:29" x14ac:dyDescent="0.2">
      <c r="A1389" s="9"/>
      <c r="B1389" s="103">
        <v>-1</v>
      </c>
      <c r="D1389" s="8"/>
      <c r="E1389" s="9"/>
      <c r="F1389" s="36"/>
      <c r="G1389" s="17"/>
      <c r="H1389" s="19"/>
      <c r="J1389" s="8"/>
      <c r="K1389" s="17"/>
      <c r="L1389" s="17"/>
      <c r="M1389" s="17"/>
      <c r="N1389" s="17"/>
      <c r="O1389" s="17"/>
      <c r="P1389" s="17"/>
      <c r="Q1389" s="17"/>
      <c r="R1389" s="38" t="e">
        <f>VLOOKUP((D1390),'Pwr Factor'!$A$1:$B$52,2)</f>
        <v>#N/A</v>
      </c>
      <c r="S1389" s="50">
        <v>0.1</v>
      </c>
      <c r="T1389" s="17"/>
      <c r="U1389" s="17"/>
      <c r="V1389" s="17"/>
      <c r="W1389" s="17"/>
      <c r="X1389" s="17"/>
      <c r="Y1389" s="17"/>
      <c r="Z1389" s="17"/>
      <c r="AA1389" s="17"/>
    </row>
    <row r="1390" spans="1:29" x14ac:dyDescent="0.2">
      <c r="A1390" s="1" t="s">
        <v>154</v>
      </c>
      <c r="B1390" s="103">
        <f>IF(AND('AES Indiana Bill Calc.'!$D$17="HL4",'AES Indiana Bill Calc.'!$D$18="Yes 10%",'AES Indiana Bill Calc.'!$D$20="Yes 2025"),'AES Indiana Bill Calc.'!$D$19,-1)</f>
        <v>-1</v>
      </c>
      <c r="C1390" s="103">
        <f>MAX(E1390,$C$905)</f>
        <v>2000</v>
      </c>
      <c r="D1390" s="103" t="b">
        <f>IF(AND('AES Indiana Bill Calc.'!$D$17="HL4",'AES Indiana Bill Calc.'!$D$18="Yes 10%",'AES Indiana Bill Calc.'!$D$20="Yes 2025"),'AES Indiana Bill Calc.'!$D$22)</f>
        <v>0</v>
      </c>
      <c r="E1390" s="103" t="b">
        <f>IF(AND('AES Indiana Bill Calc.'!$D$17="HL4",'AES Indiana Bill Calc.'!$D$18="Yes 10%",'AES Indiana Bill Calc.'!$D$20="Yes 2025"),'AES Indiana Bill Calc.'!$D$21)</f>
        <v>0</v>
      </c>
      <c r="F1390" s="36" t="s">
        <v>324</v>
      </c>
      <c r="G1390" s="92" t="e">
        <f>SUM(J1390:M1390,R1390:AA1390)</f>
        <v>#N/A</v>
      </c>
      <c r="H1390" s="19" t="e">
        <f>IF(ISBLANK(B1390),0,+#REF!/B1390)</f>
        <v>#REF!</v>
      </c>
      <c r="J1390" s="51">
        <f>IF(ISBLANK(B1390),0,+J$1162)</f>
        <v>500</v>
      </c>
      <c r="K1390" s="17">
        <f>ROUND($B1390*K$1288,2)</f>
        <v>-0.06</v>
      </c>
      <c r="L1390" s="17">
        <f>IF(ISBLANK($C1390),0,IF($C1390&lt;$C$1163,ROUND($C$1163*$L$1288,2),IF($C1390&gt;L$1289,ROUND(L$1289*L$1288,2),ROUND($C1390*L$1288,2))))</f>
        <v>30120</v>
      </c>
      <c r="M1390" s="17">
        <f>IF($C1390&gt;L$1037,ROUND(($C1390-L$1037)*M$1036,2),0)</f>
        <v>0</v>
      </c>
      <c r="N1390" s="17">
        <f>K1390</f>
        <v>-0.06</v>
      </c>
      <c r="O1390" s="17"/>
      <c r="P1390" s="17"/>
      <c r="Q1390" s="17">
        <f>SUM(L1390:M1390)</f>
        <v>30120</v>
      </c>
      <c r="R1390" s="16" t="e">
        <f>ROUND(SUM(K1390:M1390)*(R1389-1),2)</f>
        <v>#N/A</v>
      </c>
      <c r="S1390" s="17">
        <f>ROUND($B1390*S$1162*S1389,2)</f>
        <v>0</v>
      </c>
      <c r="T1390" s="17">
        <f>ROUND($B1390*T$1288,2)</f>
        <v>0</v>
      </c>
      <c r="U1390" s="17">
        <f>ROUND($B1390*U$1288,2)</f>
        <v>0</v>
      </c>
      <c r="V1390" s="17">
        <f>ROUND($B1390*V$1160,2)</f>
        <v>-0.01</v>
      </c>
      <c r="W1390" s="17">
        <f>ROUND($B1390*W$1288,2)</f>
        <v>0</v>
      </c>
      <c r="X1390" s="17">
        <f>ROUND($B1390*X$1288,2)</f>
        <v>-0.01</v>
      </c>
      <c r="Y1390" s="17">
        <f>ROUND($B1390*Y$1288,2)</f>
        <v>0</v>
      </c>
      <c r="Z1390" s="17">
        <f>ROUND($B1390*Z$1288,2)</f>
        <v>0</v>
      </c>
      <c r="AA1390" s="17">
        <f>ROUND($B1390*AA$1288,2)</f>
        <v>0</v>
      </c>
      <c r="AB1390" s="19">
        <f>SUM(V1353:AA1353)</f>
        <v>-0.01</v>
      </c>
      <c r="AC1390" s="67" t="str">
        <f>+F1390</f>
        <v>HL45</v>
      </c>
    </row>
    <row r="1391" spans="1:29" x14ac:dyDescent="0.2">
      <c r="A1391" s="9"/>
      <c r="B1391" s="103">
        <v>-1</v>
      </c>
      <c r="D1391" s="8"/>
      <c r="E1391" s="9"/>
      <c r="F1391" s="36"/>
      <c r="G1391" s="17"/>
      <c r="H1391" s="19"/>
      <c r="J1391" s="8"/>
      <c r="K1391" s="17"/>
      <c r="L1391" s="17"/>
      <c r="M1391" s="17"/>
      <c r="N1391" s="17"/>
      <c r="O1391" s="17"/>
      <c r="P1391" s="17"/>
      <c r="Q1391" s="17"/>
      <c r="R1391" s="38" t="e">
        <f>VLOOKUP((D1392),'Pwr Factor'!$A$1:$B$52,2)</f>
        <v>#N/A</v>
      </c>
      <c r="S1391" s="50">
        <v>0</v>
      </c>
      <c r="T1391" s="17"/>
      <c r="U1391" s="17"/>
      <c r="V1391" s="17"/>
      <c r="W1391" s="17"/>
      <c r="X1391" s="17"/>
      <c r="Y1391" s="17"/>
      <c r="Z1391" s="17"/>
      <c r="AA1391" s="17"/>
    </row>
    <row r="1392" spans="1:29" x14ac:dyDescent="0.2">
      <c r="A1392" s="1" t="s">
        <v>137</v>
      </c>
      <c r="B1392" s="103">
        <f>IF(AND('AES Indiana Bill Calc.'!$D$17="HL4",'AES Indiana Bill Calc.'!$D$18="No",'AES Indiana Bill Calc.'!$D$20="Yes 2025"),'AES Indiana Bill Calc.'!$D$19,-1)</f>
        <v>-1</v>
      </c>
      <c r="C1392" s="103">
        <f>MAX(E1392,$C$905)</f>
        <v>2000</v>
      </c>
      <c r="D1392" s="103" t="b">
        <f>IF(AND('AES Indiana Bill Calc.'!$D$17="HL4",'AES Indiana Bill Calc.'!$D$18="No",'AES Indiana Bill Calc.'!$D$20="Yes 2025"),'AES Indiana Bill Calc.'!$D$22)</f>
        <v>0</v>
      </c>
      <c r="E1392" s="103" t="b">
        <f>IF(AND('AES Indiana Bill Calc.'!$D$17="HL4",'AES Indiana Bill Calc.'!$D$18="No",'AES Indiana Bill Calc.'!$D$20="Yes 2025"),'AES Indiana Bill Calc.'!$D$21)</f>
        <v>0</v>
      </c>
      <c r="F1392" s="36" t="s">
        <v>324</v>
      </c>
      <c r="G1392" s="92" t="e">
        <f>SUM(J1392:M1392,R1392:AA1392)</f>
        <v>#N/A</v>
      </c>
      <c r="H1392" s="19" t="e">
        <f>IF(ISBLANK(B1392),0,+#REF!/B1392)</f>
        <v>#REF!</v>
      </c>
      <c r="J1392" s="51">
        <f>IF(ISBLANK(B1392),0,+J$1162)</f>
        <v>500</v>
      </c>
      <c r="K1392" s="17">
        <f>ROUND($B1392*K$1288,2)</f>
        <v>-0.06</v>
      </c>
      <c r="L1392" s="17">
        <f>IF(ISBLANK($C1392),0,IF($C1392&lt;$C$1163,ROUND($C$1163*$L$1288,2),IF($C1392&gt;L$1289,ROUND(L$1289*L$1288,2),ROUND($C1392*L$1288,2))))</f>
        <v>30120</v>
      </c>
      <c r="M1392" s="17">
        <f>IF($C1392&gt;L$1037,ROUND(($C1392-L$1037)*M$1036,2),0)</f>
        <v>0</v>
      </c>
      <c r="N1392" s="17">
        <f>K1392</f>
        <v>-0.06</v>
      </c>
      <c r="O1392" s="17"/>
      <c r="P1392" s="17"/>
      <c r="Q1392" s="17">
        <f>SUM(L1392:M1392)</f>
        <v>30120</v>
      </c>
      <c r="R1392" s="16" t="e">
        <f>ROUND(SUM(K1392:M1392)*(R1391-1),2)</f>
        <v>#N/A</v>
      </c>
      <c r="S1392" s="17">
        <f>ROUND($B1392*S$1162*S1391,2)</f>
        <v>0</v>
      </c>
      <c r="T1392" s="17">
        <f>ROUND($B1392*T$1288,2)</f>
        <v>0</v>
      </c>
      <c r="U1392" s="17">
        <f>ROUND($B1392*U$1288,2)</f>
        <v>0</v>
      </c>
      <c r="V1392" s="17">
        <f>ROUND($B1392*V$1160,2)</f>
        <v>-0.01</v>
      </c>
      <c r="W1392" s="17">
        <f>ROUND($B1392*W$1288,2)</f>
        <v>0</v>
      </c>
      <c r="X1392" s="17">
        <f>ROUND($B1392*X$1288,2)</f>
        <v>-0.01</v>
      </c>
      <c r="Y1392" s="17">
        <f>ROUND($B1392*Y$1288,2)</f>
        <v>0</v>
      </c>
      <c r="Z1392" s="17">
        <f>ROUND($B1392*Z$1288,2)</f>
        <v>0</v>
      </c>
      <c r="AA1392" s="17">
        <f>ROUND($B1392*AA$1288,2)</f>
        <v>0</v>
      </c>
      <c r="AB1392" s="19">
        <f>SUM(V1355:AA1355)</f>
        <v>-0.01</v>
      </c>
      <c r="AC1392" s="67" t="str">
        <f>+F1392</f>
        <v>HL45</v>
      </c>
    </row>
    <row r="1393" spans="1:29" x14ac:dyDescent="0.2">
      <c r="B1393" s="103">
        <v>-1</v>
      </c>
      <c r="D1393" s="8"/>
      <c r="E1393" s="9"/>
      <c r="F1393" s="36"/>
      <c r="G1393" s="17"/>
      <c r="H1393" s="19"/>
      <c r="J1393" s="8"/>
      <c r="K1393" s="17"/>
      <c r="L1393" s="17"/>
      <c r="M1393" s="17"/>
      <c r="N1393" s="17"/>
      <c r="O1393" s="17"/>
      <c r="P1393" s="17"/>
      <c r="Q1393" s="17"/>
      <c r="R1393" s="38" t="e">
        <f>VLOOKUP((D1394),'Pwr Factor'!$A$1:$B$52,2)</f>
        <v>#N/A</v>
      </c>
      <c r="S1393" s="50">
        <v>1</v>
      </c>
      <c r="T1393" s="17"/>
      <c r="U1393" s="17"/>
      <c r="V1393" s="17"/>
      <c r="W1393" s="17"/>
      <c r="X1393" s="17"/>
      <c r="Y1393" s="17"/>
      <c r="Z1393" s="17"/>
      <c r="AA1393" s="17"/>
    </row>
    <row r="1394" spans="1:29" x14ac:dyDescent="0.2">
      <c r="A1394" s="1" t="s">
        <v>138</v>
      </c>
      <c r="B1394" s="103">
        <f>IF(AND('AES Indiana Bill Calc.'!$D$17="HL4",'AES Indiana Bill Calc.'!$D$18="Yes 100%",'AES Indiana Bill Calc.'!$D$20="Yes 2026"),'AES Indiana Bill Calc.'!$D$19,-1)</f>
        <v>-1</v>
      </c>
      <c r="C1394" s="103">
        <f>MAX(E1394,$C$905)</f>
        <v>2000</v>
      </c>
      <c r="D1394" s="103" t="b">
        <f>IF(AND('AES Indiana Bill Calc.'!$D$17="HL4",'AES Indiana Bill Calc.'!$D$18="Yes 100%",'AES Indiana Bill Calc.'!$D$20="Yes 2025"),'AES Indiana Bill Calc.'!$D$22)</f>
        <v>0</v>
      </c>
      <c r="E1394" s="103" t="b">
        <f>IF(AND('AES Indiana Bill Calc.'!$D$17="HL4",'AES Indiana Bill Calc.'!$D$18="Yes 100%",'AES Indiana Bill Calc.'!$D$20="Yes 2025"),'AES Indiana Bill Calc.'!$D$21)</f>
        <v>0</v>
      </c>
      <c r="F1394" s="36" t="s">
        <v>397</v>
      </c>
      <c r="G1394" s="92" t="e">
        <f>SUM(J1394:M1394,R1394:AA1394)</f>
        <v>#N/A</v>
      </c>
      <c r="H1394" s="19" t="e">
        <f>IF(ISBLANK(B1394),0,+#REF!/B1394)</f>
        <v>#REF!</v>
      </c>
      <c r="J1394" s="51">
        <f>IF(ISBLANK(B1394),0,+J$1162)</f>
        <v>500</v>
      </c>
      <c r="K1394" s="17">
        <f>ROUND($B1394*K$1288,2)</f>
        <v>-0.06</v>
      </c>
      <c r="L1394" s="17">
        <f>IF(ISBLANK($C1394),0,IF($C1394&lt;$C$1163,ROUND($C$1163*$L$1288,2),IF($C1394&gt;L$1289,ROUND(L$1289*L$1288,2),ROUND($C1394*L$1288,2))))</f>
        <v>30120</v>
      </c>
      <c r="M1394" s="17">
        <f>IF($C1394&gt;L$1037,ROUND(($C1394-L$1037)*M$1036,2),0)</f>
        <v>0</v>
      </c>
      <c r="N1394" s="17">
        <f>K1394</f>
        <v>-0.06</v>
      </c>
      <c r="O1394" s="17"/>
      <c r="P1394" s="17"/>
      <c r="Q1394" s="17">
        <f>SUM(L1394:M1394)</f>
        <v>30120</v>
      </c>
      <c r="R1394" s="16" t="e">
        <f>ROUND(SUM(K1394:M1394)*(R1393-1),2)</f>
        <v>#N/A</v>
      </c>
      <c r="S1394" s="17">
        <f>ROUND($B1394*S$1162*S1393,2)</f>
        <v>0</v>
      </c>
      <c r="T1394" s="17">
        <f>ROUND($B1394*T$1288,2)</f>
        <v>0</v>
      </c>
      <c r="U1394" s="17">
        <f>ROUND($B1394*U$1288,2)</f>
        <v>0</v>
      </c>
      <c r="V1394" s="17">
        <f>ROUND($B1394*V$1161,2)</f>
        <v>-0.01</v>
      </c>
      <c r="W1394" s="17">
        <f>ROUND($B1394*W$1288,2)</f>
        <v>0</v>
      </c>
      <c r="X1394" s="17">
        <f>ROUND($B1394*X$1288,2)</f>
        <v>-0.01</v>
      </c>
      <c r="Y1394" s="17">
        <f>ROUND($B1394*Y$1288,2)</f>
        <v>0</v>
      </c>
      <c r="Z1394" s="17">
        <f>ROUND($B1394*Z$1288,2)</f>
        <v>0</v>
      </c>
      <c r="AA1394" s="17">
        <f>ROUND($B1394*AA$1288,2)</f>
        <v>0</v>
      </c>
      <c r="AB1394" s="19">
        <f>SUM(V1357:AA1357)</f>
        <v>-0.01</v>
      </c>
      <c r="AC1394" s="67" t="str">
        <f>+F1394</f>
        <v>HL46</v>
      </c>
    </row>
    <row r="1395" spans="1:29" x14ac:dyDescent="0.2">
      <c r="A1395" s="48"/>
      <c r="B1395" s="103">
        <v>-1</v>
      </c>
      <c r="D1395" s="8"/>
      <c r="E1395" s="9"/>
      <c r="F1395" s="36"/>
      <c r="G1395" s="17"/>
      <c r="H1395" s="19"/>
      <c r="J1395" s="8"/>
      <c r="K1395" s="17"/>
      <c r="L1395" s="17"/>
      <c r="M1395" s="17"/>
      <c r="N1395" s="17"/>
      <c r="O1395" s="17"/>
      <c r="P1395" s="17"/>
      <c r="Q1395" s="17"/>
      <c r="R1395" s="38" t="e">
        <f>VLOOKUP((D1396),'Pwr Factor'!$A$1:$B$52,2)</f>
        <v>#N/A</v>
      </c>
      <c r="S1395" s="50">
        <v>0.5</v>
      </c>
      <c r="T1395" s="17"/>
      <c r="U1395" s="17"/>
      <c r="V1395" s="17"/>
      <c r="W1395" s="17"/>
      <c r="X1395" s="17"/>
      <c r="Y1395" s="17"/>
      <c r="Z1395" s="17"/>
      <c r="AA1395" s="17"/>
    </row>
    <row r="1396" spans="1:29" x14ac:dyDescent="0.2">
      <c r="A1396" s="1" t="s">
        <v>139</v>
      </c>
      <c r="B1396" s="103">
        <f>IF(AND('AES Indiana Bill Calc.'!$D$17="HL4",'AES Indiana Bill Calc.'!$D$18="Yes 50%",'AES Indiana Bill Calc.'!$D$20="Yes 2026"),'AES Indiana Bill Calc.'!$D$19,-1)</f>
        <v>-1</v>
      </c>
      <c r="C1396" s="103">
        <f>MAX(E1396,$C$905)</f>
        <v>2000</v>
      </c>
      <c r="D1396" s="103" t="b">
        <f>IF(AND('AES Indiana Bill Calc.'!$D$17="HL4",'AES Indiana Bill Calc.'!$D$18="Yes 50%",'AES Indiana Bill Calc.'!$D$20="Yes 2025"),'AES Indiana Bill Calc.'!$D$22)</f>
        <v>0</v>
      </c>
      <c r="E1396" s="103" t="b">
        <f>IF(AND('AES Indiana Bill Calc.'!$D$17="HL4",'AES Indiana Bill Calc.'!$D$18="Yes 50%",'AES Indiana Bill Calc.'!$D$20="Yes 2025"),'AES Indiana Bill Calc.'!$D$21)</f>
        <v>0</v>
      </c>
      <c r="F1396" s="36" t="s">
        <v>397</v>
      </c>
      <c r="G1396" s="92" t="e">
        <f>SUM(J1396:M1396,R1396:AA1396)</f>
        <v>#N/A</v>
      </c>
      <c r="H1396" s="19" t="e">
        <f>IF(ISBLANK(B1396),0,+#REF!/B1396)</f>
        <v>#REF!</v>
      </c>
      <c r="J1396" s="51">
        <f>IF(ISBLANK(B1396),0,+J$1162)</f>
        <v>500</v>
      </c>
      <c r="K1396" s="17">
        <f>ROUND($B1396*K$1288,2)</f>
        <v>-0.06</v>
      </c>
      <c r="L1396" s="17">
        <f>IF(ISBLANK($C1396),0,IF($C1396&lt;$C$1163,ROUND($C$1163*$L$1288,2),IF($C1396&gt;L$1289,ROUND(L$1289*L$1288,2),ROUND($C1396*L$1288,2))))</f>
        <v>30120</v>
      </c>
      <c r="M1396" s="17">
        <f>IF($C1396&gt;L$1037,ROUND(($C1396-L$1037)*M$1036,2),0)</f>
        <v>0</v>
      </c>
      <c r="N1396" s="17">
        <f>K1396</f>
        <v>-0.06</v>
      </c>
      <c r="O1396" s="17"/>
      <c r="P1396" s="17"/>
      <c r="Q1396" s="17">
        <f>SUM(L1396:M1396)</f>
        <v>30120</v>
      </c>
      <c r="R1396" s="16" t="e">
        <f>ROUND(SUM(K1396:M1396)*(R1395-1),2)</f>
        <v>#N/A</v>
      </c>
      <c r="S1396" s="17">
        <f>ROUND($B1396*S$1162*S1395,2)</f>
        <v>0</v>
      </c>
      <c r="T1396" s="17">
        <f>ROUND($B1396*T$1288,2)</f>
        <v>0</v>
      </c>
      <c r="U1396" s="17">
        <f>ROUND($B1396*U$1288,2)</f>
        <v>0</v>
      </c>
      <c r="V1396" s="17">
        <f>ROUND($B1396*V$1161,2)</f>
        <v>-0.01</v>
      </c>
      <c r="W1396" s="17">
        <f>ROUND($B1396*W$1288,2)</f>
        <v>0</v>
      </c>
      <c r="X1396" s="17">
        <f>ROUND($B1396*X$1288,2)</f>
        <v>-0.01</v>
      </c>
      <c r="Y1396" s="17">
        <f>ROUND($B1396*Y$1288,2)</f>
        <v>0</v>
      </c>
      <c r="Z1396" s="17">
        <f>ROUND($B1396*Z$1288,2)</f>
        <v>0</v>
      </c>
      <c r="AA1396" s="17">
        <f>ROUND($B1396*AA$1288,2)</f>
        <v>0</v>
      </c>
      <c r="AB1396" s="19">
        <f>SUM(V1359:AA1359)</f>
        <v>-0.01</v>
      </c>
      <c r="AC1396" s="67" t="str">
        <f>+F1396</f>
        <v>HL46</v>
      </c>
    </row>
    <row r="1397" spans="1:29" x14ac:dyDescent="0.2">
      <c r="A1397" s="9"/>
      <c r="B1397" s="103">
        <v>-1</v>
      </c>
      <c r="D1397" s="8"/>
      <c r="E1397" s="9"/>
      <c r="F1397" s="36"/>
      <c r="G1397" s="17"/>
      <c r="H1397" s="19"/>
      <c r="J1397" s="8"/>
      <c r="K1397" s="17"/>
      <c r="L1397" s="17"/>
      <c r="M1397" s="17"/>
      <c r="N1397" s="17"/>
      <c r="O1397" s="17"/>
      <c r="P1397" s="17"/>
      <c r="Q1397" s="17"/>
      <c r="R1397" s="38" t="e">
        <f>VLOOKUP((D1398),'Pwr Factor'!$A$1:$B$52,2)</f>
        <v>#N/A</v>
      </c>
      <c r="S1397" s="50">
        <v>0.25</v>
      </c>
      <c r="T1397" s="17"/>
      <c r="U1397" s="17"/>
      <c r="V1397" s="17"/>
      <c r="W1397" s="17"/>
      <c r="X1397" s="17"/>
      <c r="Y1397" s="17"/>
      <c r="Z1397" s="17"/>
      <c r="AA1397" s="17"/>
    </row>
    <row r="1398" spans="1:29" x14ac:dyDescent="0.2">
      <c r="A1398" s="1" t="s">
        <v>140</v>
      </c>
      <c r="B1398" s="103">
        <f>IF(AND('AES Indiana Bill Calc.'!$D$17="HL4",'AES Indiana Bill Calc.'!$D$18="Yes 25%",'AES Indiana Bill Calc.'!$D$20="Yes 2026"),'AES Indiana Bill Calc.'!$D$19,-1)</f>
        <v>-1</v>
      </c>
      <c r="C1398" s="103">
        <f>MAX(E1398,$C$905)</f>
        <v>2000</v>
      </c>
      <c r="D1398" s="103" t="b">
        <f>IF(AND('AES Indiana Bill Calc.'!$D$17="HL4",'AES Indiana Bill Calc.'!$D$18="Yes 25%",'AES Indiana Bill Calc.'!$D$20="Yes 2025"),'AES Indiana Bill Calc.'!$D$22)</f>
        <v>0</v>
      </c>
      <c r="E1398" s="103" t="b">
        <f>IF(AND('AES Indiana Bill Calc.'!$D$17="HL4",'AES Indiana Bill Calc.'!$D$18="Yes 25%",'AES Indiana Bill Calc.'!$D$20="Yes 2025"),'AES Indiana Bill Calc.'!$D$21)</f>
        <v>0</v>
      </c>
      <c r="F1398" s="36" t="s">
        <v>397</v>
      </c>
      <c r="G1398" s="92" t="e">
        <f>SUM(J1398:M1398,R1398:AA1398)</f>
        <v>#N/A</v>
      </c>
      <c r="H1398" s="19" t="e">
        <f>IF(ISBLANK(B1398),0,+#REF!/B1398)</f>
        <v>#REF!</v>
      </c>
      <c r="J1398" s="51">
        <f>IF(ISBLANK(B1398),0,+J$1162)</f>
        <v>500</v>
      </c>
      <c r="K1398" s="17">
        <f>ROUND($B1398*K$1288,2)</f>
        <v>-0.06</v>
      </c>
      <c r="L1398" s="17">
        <f>IF(ISBLANK($C1398),0,IF($C1398&lt;$C$1163,ROUND($C$1163*$L$1288,2),IF($C1398&gt;L$1289,ROUND(L$1289*L$1288,2),ROUND($C1398*L$1288,2))))</f>
        <v>30120</v>
      </c>
      <c r="M1398" s="17">
        <f>IF($C1398&gt;L$1037,ROUND(($C1398-L$1037)*M$1036,2),0)</f>
        <v>0</v>
      </c>
      <c r="N1398" s="17">
        <f>K1398</f>
        <v>-0.06</v>
      </c>
      <c r="O1398" s="17"/>
      <c r="P1398" s="17"/>
      <c r="Q1398" s="17">
        <f>SUM(L1398:M1398)</f>
        <v>30120</v>
      </c>
      <c r="R1398" s="16" t="e">
        <f>ROUND(SUM(K1398:M1398)*(R1397-1),2)</f>
        <v>#N/A</v>
      </c>
      <c r="S1398" s="17">
        <f>ROUND($B1398*S$1162*S1397,2)</f>
        <v>0</v>
      </c>
      <c r="T1398" s="17">
        <f>ROUND($B1398*T$1288,2)</f>
        <v>0</v>
      </c>
      <c r="U1398" s="17">
        <f>ROUND($B1398*U$1288,2)</f>
        <v>0</v>
      </c>
      <c r="V1398" s="17">
        <f>ROUND($B1398*V$1161,2)</f>
        <v>-0.01</v>
      </c>
      <c r="W1398" s="17">
        <f>ROUND($B1398*W$1288,2)</f>
        <v>0</v>
      </c>
      <c r="X1398" s="17">
        <f>ROUND($B1398*X$1288,2)</f>
        <v>-0.01</v>
      </c>
      <c r="Y1398" s="17">
        <f>ROUND($B1398*Y$1288,2)</f>
        <v>0</v>
      </c>
      <c r="Z1398" s="17">
        <f>ROUND($B1398*Z$1288,2)</f>
        <v>0</v>
      </c>
      <c r="AA1398" s="17">
        <f>ROUND($B1398*AA$1288,2)</f>
        <v>0</v>
      </c>
      <c r="AB1398" s="19">
        <f>SUM(V1361:AA1361)</f>
        <v>-0.01</v>
      </c>
      <c r="AC1398" s="67" t="str">
        <f>+F1398</f>
        <v>HL46</v>
      </c>
    </row>
    <row r="1399" spans="1:29" x14ac:dyDescent="0.2">
      <c r="A1399" s="9"/>
      <c r="B1399" s="103">
        <v>-1</v>
      </c>
      <c r="D1399" s="8"/>
      <c r="E1399" s="9"/>
      <c r="F1399" s="36"/>
      <c r="G1399" s="17"/>
      <c r="H1399" s="19"/>
      <c r="J1399" s="8"/>
      <c r="K1399" s="17"/>
      <c r="L1399" s="17"/>
      <c r="M1399" s="17"/>
      <c r="N1399" s="17"/>
      <c r="O1399" s="17"/>
      <c r="P1399" s="17"/>
      <c r="Q1399" s="17"/>
      <c r="R1399" s="38" t="e">
        <f>VLOOKUP((D1400),'Pwr Factor'!$A$1:$B$52,2)</f>
        <v>#N/A</v>
      </c>
      <c r="S1399" s="50">
        <v>0.1</v>
      </c>
      <c r="T1399" s="17"/>
      <c r="U1399" s="17"/>
      <c r="V1399" s="17"/>
      <c r="W1399" s="17"/>
      <c r="X1399" s="17"/>
      <c r="Y1399" s="17"/>
      <c r="Z1399" s="17"/>
      <c r="AA1399" s="17"/>
    </row>
    <row r="1400" spans="1:29" x14ac:dyDescent="0.2">
      <c r="A1400" s="1" t="s">
        <v>154</v>
      </c>
      <c r="B1400" s="103">
        <f>IF(AND('AES Indiana Bill Calc.'!$D$17="HL4",'AES Indiana Bill Calc.'!$D$18="Yes 10%",'AES Indiana Bill Calc.'!$D$20="Yes 2026"),'AES Indiana Bill Calc.'!$D$19,-1)</f>
        <v>-1</v>
      </c>
      <c r="C1400" s="103">
        <f>MAX(E1400,$C$905)</f>
        <v>2000</v>
      </c>
      <c r="D1400" s="103" t="b">
        <f>IF(AND('AES Indiana Bill Calc.'!$D$17="HL4",'AES Indiana Bill Calc.'!$D$18="Yes 10%",'AES Indiana Bill Calc.'!$D$20="Yes 2025"),'AES Indiana Bill Calc.'!$D$22)</f>
        <v>0</v>
      </c>
      <c r="E1400" s="103" t="b">
        <f>IF(AND('AES Indiana Bill Calc.'!$D$17="HL4",'AES Indiana Bill Calc.'!$D$18="Yes 10%",'AES Indiana Bill Calc.'!$D$20="Yes 2025"),'AES Indiana Bill Calc.'!$D$21)</f>
        <v>0</v>
      </c>
      <c r="F1400" s="36" t="s">
        <v>397</v>
      </c>
      <c r="G1400" s="92" t="e">
        <f>SUM(J1400:M1400,R1400:AA1400)</f>
        <v>#N/A</v>
      </c>
      <c r="H1400" s="19" t="e">
        <f>IF(ISBLANK(B1400),0,+#REF!/B1400)</f>
        <v>#REF!</v>
      </c>
      <c r="J1400" s="51">
        <f>IF(ISBLANK(B1400),0,+J$1162)</f>
        <v>500</v>
      </c>
      <c r="K1400" s="17">
        <f>ROUND($B1400*K$1288,2)</f>
        <v>-0.06</v>
      </c>
      <c r="L1400" s="17">
        <f>IF(ISBLANK($C1400),0,IF($C1400&lt;$C$1163,ROUND($C$1163*$L$1288,2),IF($C1400&gt;L$1289,ROUND(L$1289*L$1288,2),ROUND($C1400*L$1288,2))))</f>
        <v>30120</v>
      </c>
      <c r="M1400" s="17">
        <f>IF($C1400&gt;L$1037,ROUND(($C1400-L$1037)*M$1036,2),0)</f>
        <v>0</v>
      </c>
      <c r="N1400" s="17">
        <f>K1400</f>
        <v>-0.06</v>
      </c>
      <c r="O1400" s="17"/>
      <c r="P1400" s="17"/>
      <c r="Q1400" s="17">
        <f>SUM(L1400:M1400)</f>
        <v>30120</v>
      </c>
      <c r="R1400" s="16" t="e">
        <f>ROUND(SUM(K1400:M1400)*(R1399-1),2)</f>
        <v>#N/A</v>
      </c>
      <c r="S1400" s="17">
        <f>ROUND($B1400*S$1162*S1399,2)</f>
        <v>0</v>
      </c>
      <c r="T1400" s="17">
        <f>ROUND($B1400*T$1288,2)</f>
        <v>0</v>
      </c>
      <c r="U1400" s="17">
        <f>ROUND($B1400*U$1288,2)</f>
        <v>0</v>
      </c>
      <c r="V1400" s="17">
        <f>ROUND($B1400*V$1161,2)</f>
        <v>-0.01</v>
      </c>
      <c r="W1400" s="17">
        <f>ROUND($B1400*W$1288,2)</f>
        <v>0</v>
      </c>
      <c r="X1400" s="17">
        <f>ROUND($B1400*X$1288,2)</f>
        <v>-0.01</v>
      </c>
      <c r="Y1400" s="17">
        <f>ROUND($B1400*Y$1288,2)</f>
        <v>0</v>
      </c>
      <c r="Z1400" s="17">
        <f>ROUND($B1400*Z$1288,2)</f>
        <v>0</v>
      </c>
      <c r="AA1400" s="17">
        <f>ROUND($B1400*AA$1288,2)</f>
        <v>0</v>
      </c>
      <c r="AB1400" s="19">
        <f>SUM(V1363:AA1363)</f>
        <v>-0.01</v>
      </c>
      <c r="AC1400" s="67" t="str">
        <f>+F1400</f>
        <v>HL46</v>
      </c>
    </row>
    <row r="1401" spans="1:29" x14ac:dyDescent="0.2">
      <c r="A1401" s="9"/>
      <c r="B1401" s="103">
        <v>-1</v>
      </c>
      <c r="D1401" s="8"/>
      <c r="E1401" s="9"/>
      <c r="F1401" s="36"/>
      <c r="G1401" s="17"/>
      <c r="H1401" s="19"/>
      <c r="J1401" s="8"/>
      <c r="K1401" s="17"/>
      <c r="L1401" s="17"/>
      <c r="M1401" s="17"/>
      <c r="N1401" s="17"/>
      <c r="O1401" s="17"/>
      <c r="P1401" s="17"/>
      <c r="Q1401" s="17"/>
      <c r="R1401" s="38" t="e">
        <f>VLOOKUP((D1402),'Pwr Factor'!$A$1:$B$52,2)</f>
        <v>#N/A</v>
      </c>
      <c r="S1401" s="50">
        <v>0</v>
      </c>
      <c r="T1401" s="17"/>
      <c r="U1401" s="17"/>
      <c r="V1401" s="17"/>
      <c r="W1401" s="17"/>
      <c r="X1401" s="17"/>
      <c r="Y1401" s="17"/>
      <c r="Z1401" s="17"/>
      <c r="AA1401" s="17"/>
    </row>
    <row r="1402" spans="1:29" x14ac:dyDescent="0.2">
      <c r="A1402" s="1" t="s">
        <v>137</v>
      </c>
      <c r="B1402" s="103">
        <f>IF(AND('AES Indiana Bill Calc.'!$D$17="HL4",'AES Indiana Bill Calc.'!$D$18="No",'AES Indiana Bill Calc.'!$D$20="Yes 2026"),'AES Indiana Bill Calc.'!$D$19,-1)</f>
        <v>-1</v>
      </c>
      <c r="C1402" s="103">
        <f>MAX(E1402,$C$905)</f>
        <v>2000</v>
      </c>
      <c r="D1402" s="103" t="b">
        <f>IF(AND('AES Indiana Bill Calc.'!$D$17="HL4",'AES Indiana Bill Calc.'!$D$18="No",'AES Indiana Bill Calc.'!$D$20="Yes 2025"),'AES Indiana Bill Calc.'!$D$22)</f>
        <v>0</v>
      </c>
      <c r="E1402" s="103" t="b">
        <f>IF(AND('AES Indiana Bill Calc.'!$D$17="HL4",'AES Indiana Bill Calc.'!$D$18="No",'AES Indiana Bill Calc.'!$D$20="Yes 2025"),'AES Indiana Bill Calc.'!$D$21)</f>
        <v>0</v>
      </c>
      <c r="F1402" s="36" t="s">
        <v>397</v>
      </c>
      <c r="G1402" s="92" t="e">
        <f>SUM(J1402:M1402,R1402:AA1402)</f>
        <v>#N/A</v>
      </c>
      <c r="H1402" s="19" t="e">
        <f>IF(ISBLANK(B1402),0,+#REF!/B1402)</f>
        <v>#REF!</v>
      </c>
      <c r="J1402" s="51">
        <f>IF(ISBLANK(B1402),0,+J$1162)</f>
        <v>500</v>
      </c>
      <c r="K1402" s="17">
        <f>ROUND($B1402*K$1288,2)</f>
        <v>-0.06</v>
      </c>
      <c r="L1402" s="17">
        <f>IF(ISBLANK($C1402),0,IF($C1402&lt;$C$1163,ROUND($C$1163*$L$1288,2),IF($C1402&gt;L$1289,ROUND(L$1289*L$1288,2),ROUND($C1402*L$1288,2))))</f>
        <v>30120</v>
      </c>
      <c r="M1402" s="17">
        <f>IF($C1402&gt;L$1037,ROUND(($C1402-L$1037)*M$1036,2),0)</f>
        <v>0</v>
      </c>
      <c r="N1402" s="17">
        <f>K1402</f>
        <v>-0.06</v>
      </c>
      <c r="O1402" s="17"/>
      <c r="P1402" s="17"/>
      <c r="Q1402" s="17">
        <f>SUM(L1402:M1402)</f>
        <v>30120</v>
      </c>
      <c r="R1402" s="16" t="e">
        <f>ROUND(SUM(K1402:M1402)*(R1401-1),2)</f>
        <v>#N/A</v>
      </c>
      <c r="S1402" s="17">
        <f>ROUND($B1402*S$1162*S1401,2)</f>
        <v>0</v>
      </c>
      <c r="T1402" s="17">
        <f>ROUND($B1402*T$1288,2)</f>
        <v>0</v>
      </c>
      <c r="U1402" s="17">
        <f>ROUND($B1402*U$1288,2)</f>
        <v>0</v>
      </c>
      <c r="V1402" s="17">
        <f>ROUND($B1402*V$1161,2)</f>
        <v>-0.01</v>
      </c>
      <c r="W1402" s="17">
        <f>ROUND($B1402*W$1288,2)</f>
        <v>0</v>
      </c>
      <c r="X1402" s="17">
        <f>ROUND($B1402*X$1288,2)</f>
        <v>-0.01</v>
      </c>
      <c r="Y1402" s="17">
        <f>ROUND($B1402*Y$1288,2)</f>
        <v>0</v>
      </c>
      <c r="Z1402" s="17">
        <f>ROUND($B1402*Z$1288,2)</f>
        <v>0</v>
      </c>
      <c r="AA1402" s="17">
        <f>ROUND($B1402*AA$1288,2)</f>
        <v>0</v>
      </c>
      <c r="AB1402" s="19">
        <f>SUM(V1365:AA1365)</f>
        <v>-0.01</v>
      </c>
      <c r="AC1402" s="67" t="str">
        <f>+F1402</f>
        <v>HL46</v>
      </c>
    </row>
    <row r="1403" spans="1:29" s="163" customFormat="1" ht="13.5" thickBot="1" x14ac:dyDescent="0.25">
      <c r="A1403" s="170"/>
      <c r="B1403" s="106">
        <v>-1</v>
      </c>
      <c r="C1403" s="106"/>
      <c r="D1403" s="111"/>
      <c r="E1403" s="170"/>
      <c r="F1403" s="170"/>
      <c r="G1403" s="95"/>
      <c r="H1403" s="171"/>
      <c r="I1403" s="170"/>
      <c r="J1403" s="112"/>
      <c r="K1403" s="95"/>
      <c r="L1403" s="95"/>
      <c r="M1403" s="95"/>
      <c r="N1403" s="95"/>
      <c r="O1403" s="95"/>
      <c r="P1403" s="95"/>
      <c r="Q1403" s="95"/>
      <c r="R1403" s="113"/>
      <c r="S1403" s="95"/>
      <c r="T1403" s="95"/>
      <c r="U1403" s="95"/>
      <c r="V1403" s="95"/>
      <c r="W1403" s="95"/>
      <c r="X1403" s="95"/>
      <c r="Y1403" s="95"/>
      <c r="Z1403" s="95"/>
      <c r="AA1403" s="95"/>
      <c r="AB1403" s="171"/>
      <c r="AC1403" s="114"/>
    </row>
    <row r="1404" spans="1:29" x14ac:dyDescent="0.2">
      <c r="B1404" s="103"/>
    </row>
    <row r="1405" spans="1:29" x14ac:dyDescent="0.2">
      <c r="B1405" s="103"/>
    </row>
    <row r="1406" spans="1:29" x14ac:dyDescent="0.2">
      <c r="A1406" s="12"/>
      <c r="B1406" s="149"/>
      <c r="C1406" s="12"/>
      <c r="D1406" s="12"/>
      <c r="F1406" s="12"/>
      <c r="G1406" s="12"/>
      <c r="H1406" s="12"/>
      <c r="I1406" s="150"/>
      <c r="J1406" s="12"/>
      <c r="K1406" s="12"/>
      <c r="L1406" s="12"/>
      <c r="M1406" s="12"/>
      <c r="N1406" s="12"/>
      <c r="O1406" s="12"/>
      <c r="P1406" s="12"/>
      <c r="Q1406" s="12"/>
      <c r="R1406" s="12"/>
      <c r="S1406" s="12"/>
      <c r="T1406" s="12"/>
      <c r="U1406" s="140"/>
      <c r="V1406" s="140"/>
      <c r="W1406" s="140"/>
      <c r="X1406" s="259"/>
      <c r="Y1406" s="259"/>
    </row>
    <row r="1407" spans="1:29" x14ac:dyDescent="0.2">
      <c r="A1407" s="12"/>
      <c r="B1407" s="149"/>
      <c r="C1407" s="12"/>
      <c r="D1407" s="12"/>
      <c r="F1407" s="12"/>
      <c r="G1407" s="12"/>
      <c r="J1407" s="12"/>
      <c r="K1407" s="12"/>
      <c r="L1407" s="12"/>
      <c r="M1407" s="12"/>
      <c r="N1407" s="12"/>
      <c r="O1407" s="12"/>
      <c r="P1407" s="12"/>
      <c r="Q1407" s="12"/>
      <c r="R1407" s="12"/>
      <c r="S1407" s="12"/>
      <c r="T1407" s="12"/>
      <c r="U1407" s="12"/>
      <c r="V1407" s="12"/>
      <c r="W1407" s="12"/>
      <c r="X1407" s="81"/>
      <c r="Y1407" s="81"/>
    </row>
    <row r="1408" spans="1:29" x14ac:dyDescent="0.2">
      <c r="A1408" s="151"/>
      <c r="B1408" s="152"/>
      <c r="C1408" s="36"/>
      <c r="D1408" s="42"/>
      <c r="F1408" s="18"/>
      <c r="G1408" s="41"/>
      <c r="H1408" s="153"/>
      <c r="I1408" s="80"/>
      <c r="J1408" s="18"/>
      <c r="K1408" s="18"/>
      <c r="L1408" s="18"/>
      <c r="M1408" s="18"/>
      <c r="N1408" s="18"/>
      <c r="O1408" s="18"/>
      <c r="P1408" s="18"/>
      <c r="Q1408" s="18"/>
      <c r="R1408" s="18"/>
      <c r="S1408" s="18"/>
      <c r="T1408" s="18"/>
      <c r="U1408" s="18"/>
      <c r="V1408" s="18"/>
      <c r="W1408" s="18"/>
      <c r="X1408" s="260"/>
      <c r="Y1408" s="260"/>
    </row>
    <row r="1409" spans="1:25" x14ac:dyDescent="0.2">
      <c r="A1409" s="151"/>
      <c r="B1409" s="152"/>
      <c r="C1409" s="36"/>
      <c r="D1409" s="42"/>
      <c r="F1409" s="18"/>
      <c r="G1409" s="41"/>
      <c r="H1409" s="153"/>
      <c r="I1409" s="80"/>
      <c r="J1409" s="18"/>
      <c r="K1409" s="18"/>
      <c r="L1409" s="18"/>
      <c r="M1409" s="18"/>
      <c r="N1409" s="18"/>
      <c r="O1409" s="18"/>
      <c r="P1409" s="18"/>
      <c r="Q1409" s="18"/>
      <c r="R1409" s="18"/>
      <c r="S1409" s="18"/>
      <c r="T1409" s="18"/>
      <c r="U1409" s="18"/>
      <c r="V1409" s="18"/>
      <c r="W1409" s="18"/>
      <c r="X1409" s="83"/>
      <c r="Y1409" s="83"/>
    </row>
    <row r="1410" spans="1:25" x14ac:dyDescent="0.2">
      <c r="A1410" s="151"/>
      <c r="B1410" s="152"/>
      <c r="C1410" s="36"/>
      <c r="D1410" s="42"/>
      <c r="F1410" s="18"/>
      <c r="G1410" s="41"/>
      <c r="H1410" s="153"/>
      <c r="I1410" s="80"/>
      <c r="J1410" s="18"/>
      <c r="K1410" s="18"/>
      <c r="L1410" s="18"/>
      <c r="M1410" s="18"/>
      <c r="N1410" s="18"/>
      <c r="O1410" s="18"/>
      <c r="P1410" s="18"/>
      <c r="Q1410" s="18"/>
      <c r="R1410" s="18"/>
      <c r="S1410" s="18"/>
      <c r="T1410" s="18"/>
      <c r="U1410" s="18"/>
      <c r="V1410" s="18"/>
      <c r="W1410" s="18"/>
      <c r="X1410" s="83"/>
      <c r="Y1410" s="83"/>
    </row>
    <row r="1411" spans="1:25" x14ac:dyDescent="0.2">
      <c r="B1411" s="40"/>
      <c r="C1411" s="40"/>
      <c r="X1411" s="258"/>
      <c r="Y1411" s="258"/>
    </row>
    <row r="1412" spans="1:25" x14ac:dyDescent="0.2">
      <c r="B1412" s="40"/>
      <c r="C1412" s="40"/>
    </row>
  </sheetData>
  <mergeCells count="19">
    <mergeCell ref="X1411:Y1411"/>
    <mergeCell ref="L911:M911"/>
    <mergeCell ref="L1038:M1038"/>
    <mergeCell ref="L1164:M1164"/>
    <mergeCell ref="L1290:M1290"/>
    <mergeCell ref="X1406:Y1406"/>
    <mergeCell ref="X1408:Y1408"/>
    <mergeCell ref="K784:L784"/>
    <mergeCell ref="B2:E2"/>
    <mergeCell ref="K46:L46"/>
    <mergeCell ref="K62:M62"/>
    <mergeCell ref="K76:M76"/>
    <mergeCell ref="K101:L101"/>
    <mergeCell ref="K229:L229"/>
    <mergeCell ref="K356:L356"/>
    <mergeCell ref="K473:L473"/>
    <mergeCell ref="K491:L491"/>
    <mergeCell ref="K507:L507"/>
    <mergeCell ref="L659:M659"/>
  </mergeCells>
  <phoneticPr fontId="5" type="noConversion"/>
  <pageMargins left="0.5" right="0.5" top="0.5" bottom="0.5" header="0.5" footer="0.5"/>
  <pageSetup scale="36" fitToHeight="0" orientation="landscape" r:id="rId1"/>
  <headerFooter alignWithMargins="0">
    <oddFooter>Page &amp;P of &amp;N</oddFooter>
  </headerFooter>
  <rowBreaks count="2" manualBreakCount="2">
    <brk id="342" max="16383" man="1"/>
    <brk id="6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75" x14ac:dyDescent="0.2"/>
  <cols>
    <col min="1" max="1" width="12" bestFit="1" customWidth="1"/>
    <col min="2" max="2" width="9.5703125" bestFit="1" customWidth="1"/>
  </cols>
  <sheetData>
    <row r="1" spans="1:2" x14ac:dyDescent="0.2">
      <c r="A1" t="s">
        <v>31</v>
      </c>
      <c r="B1" s="1" t="s">
        <v>185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G70" sqref="G70"/>
      <selection pane="topRight" activeCell="G70" sqref="G70"/>
      <selection pane="bottomLeft" activeCell="G70" sqref="G70"/>
      <selection pane="bottomRight" activeCell="G70" sqref="G70"/>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252</v>
      </c>
      <c r="O2">
        <v>2008</v>
      </c>
      <c r="P2" t="s">
        <v>253</v>
      </c>
      <c r="R2">
        <v>2008</v>
      </c>
      <c r="S2" t="s">
        <v>254</v>
      </c>
      <c r="U2">
        <v>2008</v>
      </c>
      <c r="V2" t="s">
        <v>255</v>
      </c>
      <c r="X2" s="10">
        <v>2009</v>
      </c>
      <c r="Y2" t="s">
        <v>252</v>
      </c>
      <c r="AA2">
        <f>+X2</f>
        <v>2009</v>
      </c>
      <c r="AB2" t="s">
        <v>253</v>
      </c>
      <c r="AD2">
        <f>+AA2</f>
        <v>2009</v>
      </c>
      <c r="AE2" t="s">
        <v>254</v>
      </c>
      <c r="AG2">
        <f>+AD2</f>
        <v>2009</v>
      </c>
      <c r="AH2" t="s">
        <v>255</v>
      </c>
      <c r="AJ2" s="56"/>
      <c r="AK2" s="154">
        <v>2015</v>
      </c>
      <c r="AL2" s="154" t="s">
        <v>256</v>
      </c>
      <c r="AM2" s="57"/>
      <c r="AN2" s="56"/>
      <c r="AO2" s="154">
        <v>2015</v>
      </c>
      <c r="AP2" s="154" t="s">
        <v>257</v>
      </c>
      <c r="AQ2" s="57"/>
      <c r="AR2" s="56"/>
      <c r="AS2" s="154">
        <v>2015</v>
      </c>
      <c r="AT2" s="154" t="s">
        <v>258</v>
      </c>
      <c r="AU2" s="57"/>
      <c r="AV2" s="56"/>
      <c r="AW2" s="154">
        <v>2015</v>
      </c>
      <c r="AX2" s="154" t="s">
        <v>259</v>
      </c>
      <c r="AY2" s="57"/>
      <c r="AZ2" s="56"/>
      <c r="BA2" s="154">
        <v>2015</v>
      </c>
      <c r="BB2" s="154" t="s">
        <v>260</v>
      </c>
      <c r="BC2" s="57"/>
      <c r="BD2" s="56"/>
      <c r="BE2" s="154">
        <v>2015</v>
      </c>
      <c r="BF2" s="154" t="s">
        <v>261</v>
      </c>
      <c r="BG2" s="57"/>
      <c r="BH2" s="56"/>
      <c r="BI2" s="154">
        <v>2015</v>
      </c>
      <c r="BJ2" s="154" t="s">
        <v>255</v>
      </c>
      <c r="BK2" s="57"/>
      <c r="BL2" s="56"/>
      <c r="BM2" s="154">
        <v>2016</v>
      </c>
      <c r="BN2" s="154" t="s">
        <v>262</v>
      </c>
      <c r="BO2" s="57"/>
      <c r="BP2" s="56"/>
      <c r="BQ2" s="154">
        <v>2016</v>
      </c>
      <c r="BR2" s="154" t="s">
        <v>263</v>
      </c>
      <c r="BS2" s="57"/>
      <c r="BT2" s="56"/>
      <c r="BU2" s="154">
        <v>2016</v>
      </c>
      <c r="BV2" s="154" t="s">
        <v>264</v>
      </c>
      <c r="BW2" s="57"/>
      <c r="BX2" s="56"/>
      <c r="BY2" s="68">
        <v>2016</v>
      </c>
      <c r="BZ2" s="154" t="s">
        <v>265</v>
      </c>
      <c r="CA2" s="57"/>
      <c r="CB2" s="56"/>
      <c r="CC2" s="68">
        <v>2016</v>
      </c>
      <c r="CD2" s="154" t="s">
        <v>266</v>
      </c>
      <c r="CE2" s="57"/>
      <c r="CF2" s="56"/>
      <c r="CG2" s="68">
        <v>2016</v>
      </c>
      <c r="CH2" s="154" t="s">
        <v>256</v>
      </c>
      <c r="CI2" s="57"/>
      <c r="CJ2" s="56"/>
      <c r="CK2" s="68">
        <v>2016</v>
      </c>
      <c r="CL2" s="154" t="s">
        <v>257</v>
      </c>
      <c r="CM2" s="57"/>
      <c r="CN2" s="56"/>
      <c r="CO2" s="68">
        <v>2016</v>
      </c>
      <c r="CP2" s="154" t="s">
        <v>258</v>
      </c>
      <c r="CQ2" s="57"/>
      <c r="CR2" s="56"/>
      <c r="CS2" s="68">
        <v>2016</v>
      </c>
      <c r="CT2" s="154" t="s">
        <v>254</v>
      </c>
      <c r="CU2" s="57"/>
      <c r="CV2" s="56"/>
      <c r="CW2" s="68">
        <v>2016</v>
      </c>
      <c r="CX2" s="154" t="s">
        <v>260</v>
      </c>
      <c r="CY2" s="57"/>
      <c r="CZ2" s="56"/>
      <c r="DA2" s="68">
        <v>2016</v>
      </c>
      <c r="DB2" s="154" t="s">
        <v>261</v>
      </c>
      <c r="DC2" s="57"/>
      <c r="DD2" s="56"/>
      <c r="DE2" s="68">
        <v>2016</v>
      </c>
      <c r="DF2" s="154" t="s">
        <v>255</v>
      </c>
      <c r="DG2" s="57"/>
      <c r="DH2" s="56"/>
      <c r="DI2" s="68">
        <v>2017</v>
      </c>
      <c r="DJ2" s="154" t="s">
        <v>262</v>
      </c>
      <c r="DK2" s="57"/>
      <c r="DL2" s="56"/>
      <c r="DM2" s="68">
        <v>2017</v>
      </c>
      <c r="DN2" s="154" t="s">
        <v>263</v>
      </c>
      <c r="DO2" s="57"/>
      <c r="DP2" s="56"/>
      <c r="DQ2" s="68">
        <v>2017</v>
      </c>
      <c r="DR2" s="154" t="s">
        <v>264</v>
      </c>
      <c r="DS2" s="57"/>
      <c r="DT2" s="56"/>
      <c r="DU2" s="68">
        <v>2019</v>
      </c>
      <c r="DV2" s="154" t="s">
        <v>264</v>
      </c>
      <c r="DW2" s="57"/>
      <c r="DX2" s="56"/>
      <c r="DY2" s="68">
        <v>2019</v>
      </c>
      <c r="DZ2" s="154" t="s">
        <v>265</v>
      </c>
      <c r="EA2" s="57"/>
      <c r="EB2" s="56"/>
      <c r="EC2" s="68">
        <v>2019</v>
      </c>
      <c r="ED2" s="154" t="s">
        <v>266</v>
      </c>
      <c r="EE2" s="57"/>
      <c r="EF2" s="56"/>
      <c r="EG2" s="68">
        <v>2019</v>
      </c>
      <c r="EH2" s="154" t="s">
        <v>256</v>
      </c>
      <c r="EI2" s="57"/>
      <c r="EJ2" s="56"/>
      <c r="EK2" s="68">
        <v>2019</v>
      </c>
      <c r="EL2" s="154" t="s">
        <v>257</v>
      </c>
      <c r="EM2" s="57"/>
      <c r="EN2" s="56"/>
      <c r="EO2" s="68">
        <v>2019</v>
      </c>
      <c r="EP2" s="154" t="s">
        <v>258</v>
      </c>
      <c r="EQ2" s="57"/>
    </row>
    <row r="3" spans="1:147" x14ac:dyDescent="0.2">
      <c r="A3" s="39" t="s">
        <v>267</v>
      </c>
      <c r="B3" s="39"/>
      <c r="C3" s="39" t="s">
        <v>268</v>
      </c>
      <c r="D3" s="39" t="s">
        <v>269</v>
      </c>
      <c r="F3" s="39" t="s">
        <v>268</v>
      </c>
      <c r="G3" s="39" t="s">
        <v>269</v>
      </c>
      <c r="I3" s="39" t="s">
        <v>268</v>
      </c>
      <c r="J3" s="39" t="s">
        <v>269</v>
      </c>
      <c r="L3" s="39" t="s">
        <v>268</v>
      </c>
      <c r="M3" s="39" t="s">
        <v>269</v>
      </c>
      <c r="O3" s="39" t="s">
        <v>268</v>
      </c>
      <c r="P3" s="39" t="s">
        <v>269</v>
      </c>
      <c r="R3" s="39" t="s">
        <v>268</v>
      </c>
      <c r="S3" s="39" t="s">
        <v>269</v>
      </c>
      <c r="U3" s="39" t="s">
        <v>268</v>
      </c>
      <c r="V3" s="39" t="s">
        <v>269</v>
      </c>
      <c r="X3" s="39" t="s">
        <v>268</v>
      </c>
      <c r="Y3" s="39" t="s">
        <v>269</v>
      </c>
      <c r="AA3" s="39" t="s">
        <v>268</v>
      </c>
      <c r="AB3" s="39" t="s">
        <v>269</v>
      </c>
      <c r="AD3" s="39" t="s">
        <v>268</v>
      </c>
      <c r="AE3" s="39" t="s">
        <v>269</v>
      </c>
      <c r="AG3" s="39" t="s">
        <v>268</v>
      </c>
      <c r="AH3" s="39" t="s">
        <v>269</v>
      </c>
      <c r="AJ3" s="58"/>
      <c r="AK3" s="39" t="s">
        <v>268</v>
      </c>
      <c r="AL3" s="39" t="s">
        <v>269</v>
      </c>
      <c r="AM3" s="59"/>
      <c r="AN3" s="58"/>
      <c r="AO3" s="39" t="s">
        <v>268</v>
      </c>
      <c r="AP3" s="39" t="s">
        <v>269</v>
      </c>
      <c r="AQ3" s="59"/>
      <c r="AR3" s="58"/>
      <c r="AS3" s="39" t="s">
        <v>268</v>
      </c>
      <c r="AT3" s="39" t="s">
        <v>269</v>
      </c>
      <c r="AU3" s="59"/>
      <c r="AV3" s="58"/>
      <c r="AW3" s="39" t="s">
        <v>268</v>
      </c>
      <c r="AX3" s="39" t="s">
        <v>269</v>
      </c>
      <c r="AY3" s="59"/>
      <c r="AZ3" s="58"/>
      <c r="BA3" s="39" t="s">
        <v>268</v>
      </c>
      <c r="BB3" s="39" t="s">
        <v>269</v>
      </c>
      <c r="BC3" s="59"/>
      <c r="BD3" s="58"/>
      <c r="BE3" s="39" t="s">
        <v>268</v>
      </c>
      <c r="BF3" s="39" t="s">
        <v>269</v>
      </c>
      <c r="BG3" s="59"/>
      <c r="BH3" s="58"/>
      <c r="BI3" s="39" t="s">
        <v>268</v>
      </c>
      <c r="BJ3" s="39" t="s">
        <v>269</v>
      </c>
      <c r="BK3" s="59"/>
      <c r="BL3" s="58"/>
      <c r="BM3" s="39" t="s">
        <v>268</v>
      </c>
      <c r="BN3" s="39" t="s">
        <v>269</v>
      </c>
      <c r="BO3" s="59"/>
      <c r="BP3" s="58"/>
      <c r="BQ3" s="39" t="s">
        <v>268</v>
      </c>
      <c r="BR3" s="39" t="s">
        <v>269</v>
      </c>
      <c r="BS3" s="59"/>
      <c r="BT3" s="58"/>
      <c r="BU3" s="39" t="s">
        <v>268</v>
      </c>
      <c r="BV3" s="39" t="s">
        <v>269</v>
      </c>
      <c r="BW3" s="59"/>
      <c r="BX3" s="58"/>
      <c r="BY3" s="142" t="s">
        <v>268</v>
      </c>
      <c r="BZ3" s="142" t="s">
        <v>269</v>
      </c>
      <c r="CA3" s="59"/>
      <c r="CB3" s="58"/>
      <c r="CC3" s="142" t="s">
        <v>268</v>
      </c>
      <c r="CD3" s="142" t="s">
        <v>269</v>
      </c>
      <c r="CE3" s="59"/>
      <c r="CF3" s="58"/>
      <c r="CG3" s="142" t="s">
        <v>268</v>
      </c>
      <c r="CH3" s="142" t="s">
        <v>269</v>
      </c>
      <c r="CI3" s="59"/>
      <c r="CJ3" s="58"/>
      <c r="CK3" s="142" t="s">
        <v>268</v>
      </c>
      <c r="CL3" s="142" t="s">
        <v>269</v>
      </c>
      <c r="CM3" s="59"/>
      <c r="CN3" s="58"/>
      <c r="CO3" s="142" t="s">
        <v>268</v>
      </c>
      <c r="CP3" s="142" t="s">
        <v>269</v>
      </c>
      <c r="CQ3" s="59"/>
      <c r="CR3" s="58"/>
      <c r="CS3" s="142" t="s">
        <v>268</v>
      </c>
      <c r="CT3" s="142" t="s">
        <v>269</v>
      </c>
      <c r="CU3" s="59"/>
      <c r="CV3" s="58"/>
      <c r="CW3" s="142" t="s">
        <v>268</v>
      </c>
      <c r="CX3" s="142" t="s">
        <v>269</v>
      </c>
      <c r="CY3" s="59"/>
      <c r="CZ3" s="58"/>
      <c r="DA3" s="142" t="s">
        <v>268</v>
      </c>
      <c r="DB3" s="142" t="s">
        <v>269</v>
      </c>
      <c r="DC3" s="59"/>
      <c r="DD3" s="58"/>
      <c r="DE3" s="142" t="s">
        <v>268</v>
      </c>
      <c r="DF3" s="142" t="s">
        <v>269</v>
      </c>
      <c r="DG3" s="59"/>
      <c r="DH3" s="58"/>
      <c r="DI3" s="142" t="s">
        <v>268</v>
      </c>
      <c r="DJ3" s="142" t="s">
        <v>269</v>
      </c>
      <c r="DK3" s="59"/>
      <c r="DL3" s="58"/>
      <c r="DM3" s="142" t="s">
        <v>268</v>
      </c>
      <c r="DN3" s="142" t="s">
        <v>269</v>
      </c>
      <c r="DO3" s="59"/>
      <c r="DP3" s="58"/>
      <c r="DQ3" s="142" t="s">
        <v>268</v>
      </c>
      <c r="DR3" s="142" t="s">
        <v>269</v>
      </c>
      <c r="DS3" s="59"/>
      <c r="DT3" s="58"/>
      <c r="DU3" s="142" t="s">
        <v>268</v>
      </c>
      <c r="DV3" s="142" t="s">
        <v>269</v>
      </c>
      <c r="DW3" s="59"/>
      <c r="DX3" s="58"/>
      <c r="DY3" s="142" t="s">
        <v>268</v>
      </c>
      <c r="DZ3" s="142" t="s">
        <v>269</v>
      </c>
      <c r="EA3" s="59"/>
      <c r="EB3" s="58"/>
      <c r="EC3" s="142" t="s">
        <v>268</v>
      </c>
      <c r="ED3" s="142" t="s">
        <v>269</v>
      </c>
      <c r="EE3" s="59"/>
      <c r="EF3" s="58"/>
      <c r="EG3" s="142" t="s">
        <v>268</v>
      </c>
      <c r="EH3" s="142" t="s">
        <v>269</v>
      </c>
      <c r="EI3" s="59"/>
      <c r="EJ3" s="58"/>
      <c r="EK3" s="142" t="s">
        <v>268</v>
      </c>
      <c r="EL3" s="142" t="s">
        <v>269</v>
      </c>
      <c r="EM3" s="59"/>
      <c r="EN3" s="58"/>
      <c r="EO3" s="142" t="s">
        <v>268</v>
      </c>
      <c r="EP3" s="142" t="s">
        <v>269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270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271</v>
      </c>
      <c r="F7" s="46">
        <v>39325</v>
      </c>
      <c r="G7" s="45">
        <f>WORKDAY(F7,1,$C$33:$C$42)</f>
        <v>39329</v>
      </c>
      <c r="H7" t="s">
        <v>271</v>
      </c>
      <c r="I7" s="46">
        <v>39416</v>
      </c>
      <c r="J7" s="45">
        <f>WORKDAY(I7,1,$C$33:$C$42)</f>
        <v>39419</v>
      </c>
      <c r="K7" t="s">
        <v>271</v>
      </c>
      <c r="L7" s="46">
        <v>39507</v>
      </c>
      <c r="M7" s="45">
        <f>WORKDAY(L7,1,$L$33:$L$42)</f>
        <v>39510</v>
      </c>
      <c r="N7" t="s">
        <v>271</v>
      </c>
      <c r="O7" s="46">
        <v>39601</v>
      </c>
      <c r="P7" s="45">
        <f>WORKDAY(O7,1,$L$33:$L$42)</f>
        <v>39602</v>
      </c>
      <c r="Q7" t="s">
        <v>271</v>
      </c>
      <c r="R7" s="46">
        <v>39693</v>
      </c>
      <c r="S7" s="45">
        <f>WORKDAY(R7,1,$L$33:$L$42)</f>
        <v>39694</v>
      </c>
      <c r="T7" t="s">
        <v>271</v>
      </c>
      <c r="U7" s="46">
        <v>39784</v>
      </c>
      <c r="V7" s="45">
        <f>WORKDAY(U7,1,$L$33:$L$42)</f>
        <v>39785</v>
      </c>
      <c r="W7" t="s">
        <v>271</v>
      </c>
      <c r="X7" s="46">
        <v>39874</v>
      </c>
      <c r="Y7" s="45">
        <f>WORKDAY(X7,1,X$33:X$43)</f>
        <v>39875</v>
      </c>
      <c r="Z7" t="s">
        <v>271</v>
      </c>
      <c r="AA7" s="46">
        <v>39965</v>
      </c>
      <c r="AB7" s="45">
        <f>WORKDAY(AA7,1,$L$33:$L$43)</f>
        <v>39966</v>
      </c>
      <c r="AC7" t="s">
        <v>271</v>
      </c>
      <c r="AD7" s="46">
        <v>40057</v>
      </c>
      <c r="AE7" s="45">
        <f>WORKDAY(AD7,1,X$33:X$43)</f>
        <v>40058</v>
      </c>
      <c r="AF7" t="s">
        <v>271</v>
      </c>
      <c r="AG7" s="46">
        <v>40148</v>
      </c>
      <c r="AH7" s="45">
        <f>WORKDAY(AG7,1,X$33:X$43)</f>
        <v>40149</v>
      </c>
      <c r="AI7" t="s">
        <v>271</v>
      </c>
      <c r="AJ7" s="58"/>
      <c r="AK7" s="46">
        <v>42156</v>
      </c>
      <c r="AL7" s="45">
        <f>WORKDAY(AK7,1,AB$33:AB$43)</f>
        <v>42157</v>
      </c>
      <c r="AM7" s="59" t="s">
        <v>271</v>
      </c>
      <c r="AN7" s="60">
        <f>+AO7-AK7</f>
        <v>30</v>
      </c>
      <c r="AO7" s="46">
        <v>42186</v>
      </c>
      <c r="AP7" s="45">
        <f>WORKDAY(AO7,1,AF$33:AF$43)</f>
        <v>42187</v>
      </c>
      <c r="AQ7" s="59" t="s">
        <v>271</v>
      </c>
      <c r="AR7" s="60">
        <f>+AS7-AO7</f>
        <v>33</v>
      </c>
      <c r="AS7" s="46">
        <v>42219</v>
      </c>
      <c r="AT7" s="45">
        <f>WORKDAY(AS7,1,AJ$33:AJ$43)</f>
        <v>42220</v>
      </c>
      <c r="AU7" s="59" t="s">
        <v>271</v>
      </c>
      <c r="AV7" s="60">
        <f>+AW7-AS7</f>
        <v>29</v>
      </c>
      <c r="AW7" s="46">
        <v>42248</v>
      </c>
      <c r="AX7" s="45">
        <f>WORKDAY(AW7,1,AN$33:AN$43)</f>
        <v>42249</v>
      </c>
      <c r="AY7" s="59" t="s">
        <v>271</v>
      </c>
      <c r="AZ7" s="60">
        <f>+BA7-AW7</f>
        <v>30</v>
      </c>
      <c r="BA7" s="46">
        <v>42278</v>
      </c>
      <c r="BB7" s="45">
        <f>WORKDAY(BA7,1,AR$33:AR$43)</f>
        <v>42279</v>
      </c>
      <c r="BC7" s="59" t="s">
        <v>271</v>
      </c>
      <c r="BD7" s="60">
        <f>+BE7-BA7</f>
        <v>29</v>
      </c>
      <c r="BE7" s="46">
        <v>42307</v>
      </c>
      <c r="BF7" s="45">
        <f>WORKDAY(BE7,1,AV$33:AV$43)</f>
        <v>42310</v>
      </c>
      <c r="BG7" s="59" t="s">
        <v>271</v>
      </c>
      <c r="BH7" s="60">
        <f>+BI7-BE7</f>
        <v>32</v>
      </c>
      <c r="BI7" s="46">
        <v>42339</v>
      </c>
      <c r="BJ7" s="45">
        <f>WORKDAY(BI7,1,AZ$33:AZ$43)</f>
        <v>42340</v>
      </c>
      <c r="BK7" s="59" t="s">
        <v>271</v>
      </c>
      <c r="BL7" s="60">
        <f>+BM7-BI7</f>
        <v>30</v>
      </c>
      <c r="BM7" s="46">
        <v>42369</v>
      </c>
      <c r="BN7" s="64">
        <f>WORKDAY(BM7,2,BD$33:BD$43)</f>
        <v>42373</v>
      </c>
      <c r="BO7" s="59" t="s">
        <v>271</v>
      </c>
      <c r="BP7" s="60">
        <f>+BQ7-BM7</f>
        <v>32</v>
      </c>
      <c r="BQ7" s="46">
        <v>42401</v>
      </c>
      <c r="BR7" s="45">
        <f>WORKDAY(BQ7,1,BH$33:BH$43)</f>
        <v>42402</v>
      </c>
      <c r="BS7" s="59" t="s">
        <v>271</v>
      </c>
      <c r="BT7" s="60">
        <f>+BU7-BQ7</f>
        <v>29</v>
      </c>
      <c r="BU7" s="46">
        <v>42430</v>
      </c>
      <c r="BV7" s="45">
        <f>WORKDAY(BU7,1,BL$33:BL$43)</f>
        <v>42431</v>
      </c>
      <c r="BW7" s="59" t="s">
        <v>271</v>
      </c>
      <c r="BX7" s="60">
        <f>+BY7-BU7</f>
        <v>30</v>
      </c>
      <c r="BY7" s="46">
        <v>42460</v>
      </c>
      <c r="BZ7" s="45">
        <f>WORKDAY(BY7,1)</f>
        <v>42461</v>
      </c>
      <c r="CA7" s="59" t="s">
        <v>271</v>
      </c>
      <c r="CB7" s="60">
        <f>+CC7-BY7</f>
        <v>29</v>
      </c>
      <c r="CC7" s="46">
        <v>42489</v>
      </c>
      <c r="CD7" s="45">
        <f>WORKDAY(CC7,1)</f>
        <v>42492</v>
      </c>
      <c r="CE7" s="59" t="s">
        <v>271</v>
      </c>
      <c r="CF7" s="60">
        <f>+CG7-CC7</f>
        <v>33</v>
      </c>
      <c r="CG7" s="46">
        <v>42522</v>
      </c>
      <c r="CH7" s="45">
        <f>WORKDAY(CG7,1)</f>
        <v>42523</v>
      </c>
      <c r="CI7" s="59" t="s">
        <v>271</v>
      </c>
      <c r="CJ7" s="60">
        <f>+CK7-CG7</f>
        <v>29</v>
      </c>
      <c r="CK7" s="46">
        <v>42551</v>
      </c>
      <c r="CL7" s="45">
        <f>WORKDAY(CK7,1)</f>
        <v>42552</v>
      </c>
      <c r="CM7" s="59" t="s">
        <v>271</v>
      </c>
      <c r="CN7" s="60">
        <f>+CO7-CK7</f>
        <v>32</v>
      </c>
      <c r="CO7" s="46">
        <v>42583</v>
      </c>
      <c r="CP7" s="45">
        <f>WORKDAY(CO7,1)</f>
        <v>42584</v>
      </c>
      <c r="CQ7" s="59" t="s">
        <v>271</v>
      </c>
      <c r="CR7" s="60">
        <f>+CS7-CO7</f>
        <v>30</v>
      </c>
      <c r="CS7" s="46">
        <v>42613</v>
      </c>
      <c r="CT7" s="45">
        <f>WORKDAY(CS7,1)</f>
        <v>42614</v>
      </c>
      <c r="CU7" s="59" t="s">
        <v>271</v>
      </c>
      <c r="CV7" s="60">
        <f>+CW7-CS7</f>
        <v>30</v>
      </c>
      <c r="CW7" s="46">
        <v>42643</v>
      </c>
      <c r="CX7" s="45">
        <f>WORKDAY(CW7,1)</f>
        <v>42646</v>
      </c>
      <c r="CY7" s="59" t="s">
        <v>271</v>
      </c>
      <c r="CZ7" s="60">
        <f>+DA7-CW7</f>
        <v>31</v>
      </c>
      <c r="DA7" s="46">
        <v>42674</v>
      </c>
      <c r="DB7" s="45">
        <f>WORKDAY(DA7,1)</f>
        <v>42675</v>
      </c>
      <c r="DC7" s="59" t="s">
        <v>271</v>
      </c>
      <c r="DD7" s="60">
        <f>+DE7-DA7</f>
        <v>31</v>
      </c>
      <c r="DE7" s="46">
        <v>42705</v>
      </c>
      <c r="DF7" s="45">
        <f>WORKDAY(DE7,1)</f>
        <v>42706</v>
      </c>
      <c r="DG7" s="59" t="s">
        <v>271</v>
      </c>
      <c r="DH7" s="60">
        <f>+DI7-DE7</f>
        <v>33</v>
      </c>
      <c r="DI7" s="46">
        <v>42738</v>
      </c>
      <c r="DJ7" s="45">
        <f>WORKDAY(DI7,1)</f>
        <v>42739</v>
      </c>
      <c r="DK7" s="59" t="s">
        <v>271</v>
      </c>
      <c r="DL7" s="60">
        <f>+DM7-DI7</f>
        <v>29</v>
      </c>
      <c r="DM7" s="46">
        <v>42767</v>
      </c>
      <c r="DN7" s="45">
        <f>WORKDAY(DM7,1)</f>
        <v>42768</v>
      </c>
      <c r="DO7" s="59" t="s">
        <v>271</v>
      </c>
      <c r="DP7" s="60">
        <f>+DQ7-DM7</f>
        <v>28</v>
      </c>
      <c r="DQ7" s="46">
        <v>42795</v>
      </c>
      <c r="DR7" s="45">
        <f>WORKDAY(DQ7,1)</f>
        <v>42796</v>
      </c>
      <c r="DS7" s="59" t="s">
        <v>271</v>
      </c>
      <c r="DT7" s="60">
        <f>+DU7-DQ7</f>
        <v>730</v>
      </c>
      <c r="DU7" s="46">
        <v>43525</v>
      </c>
      <c r="DV7" s="45">
        <f t="shared" si="0"/>
        <v>43528</v>
      </c>
      <c r="DW7" s="59" t="s">
        <v>271</v>
      </c>
      <c r="DX7" s="60">
        <f t="shared" si="1"/>
        <v>31</v>
      </c>
      <c r="DY7" s="46">
        <v>43556</v>
      </c>
      <c r="DZ7" s="45">
        <f t="shared" si="2"/>
        <v>43557</v>
      </c>
      <c r="EA7" s="59" t="s">
        <v>271</v>
      </c>
      <c r="EB7" s="60">
        <f>+EC7-DY7</f>
        <v>30</v>
      </c>
      <c r="EC7" s="46">
        <v>43586</v>
      </c>
      <c r="ED7" s="45">
        <f>WORKDAY(EC7,1)</f>
        <v>43587</v>
      </c>
      <c r="EE7" s="59" t="s">
        <v>271</v>
      </c>
      <c r="EF7" s="60">
        <f>+EG7-EC7</f>
        <v>33</v>
      </c>
      <c r="EG7" s="46">
        <v>43619</v>
      </c>
      <c r="EH7" s="45">
        <f>WORKDAY(EG7,1)</f>
        <v>43620</v>
      </c>
      <c r="EI7" s="59" t="s">
        <v>271</v>
      </c>
      <c r="EJ7" s="60">
        <f>+EK7-EG7</f>
        <v>28</v>
      </c>
      <c r="EK7" s="46">
        <v>43647</v>
      </c>
      <c r="EL7" s="45">
        <f>WORKDAY(EK7,1)</f>
        <v>43648</v>
      </c>
      <c r="EM7" s="59" t="s">
        <v>271</v>
      </c>
      <c r="EN7" s="60">
        <f>+EO7-EK7</f>
        <v>31</v>
      </c>
      <c r="EO7" s="46">
        <v>43678</v>
      </c>
      <c r="EP7" s="45">
        <f>WORKDAY(EO7,1)</f>
        <v>43679</v>
      </c>
      <c r="EQ7" s="59" t="s">
        <v>271</v>
      </c>
    </row>
    <row r="8" spans="1:147" x14ac:dyDescent="0.2">
      <c r="A8">
        <v>43</v>
      </c>
      <c r="C8" s="46">
        <v>39237</v>
      </c>
      <c r="D8" s="45">
        <f>WORKDAY(C8,1,$C$33:$C$42)</f>
        <v>39238</v>
      </c>
      <c r="E8" t="s">
        <v>272</v>
      </c>
      <c r="F8" s="46">
        <v>39329</v>
      </c>
      <c r="G8" s="45">
        <f>WORKDAY(F8,1,$C$33:$C$42)</f>
        <v>39330</v>
      </c>
      <c r="H8" t="s">
        <v>272</v>
      </c>
      <c r="I8" s="46">
        <v>39419</v>
      </c>
      <c r="J8" s="45">
        <f>WORKDAY(I8,1,$C$33:$C$42)</f>
        <v>39420</v>
      </c>
      <c r="K8" t="s">
        <v>272</v>
      </c>
      <c r="L8" s="46">
        <v>39510</v>
      </c>
      <c r="M8" s="45">
        <f>WORKDAY(L8,1,$L$33:$L$42)</f>
        <v>39511</v>
      </c>
      <c r="N8" t="s">
        <v>272</v>
      </c>
      <c r="O8" s="46">
        <v>39602</v>
      </c>
      <c r="P8" s="45">
        <f>WORKDAY(O8,1,$L$33:$L$42)</f>
        <v>39603</v>
      </c>
      <c r="Q8" t="s">
        <v>272</v>
      </c>
      <c r="R8" s="46">
        <v>39694</v>
      </c>
      <c r="S8" s="45">
        <f>WORKDAY(R8,1,$L$33:$L$42)</f>
        <v>39695</v>
      </c>
      <c r="T8" t="s">
        <v>272</v>
      </c>
      <c r="U8" s="46">
        <v>39785</v>
      </c>
      <c r="V8" s="45">
        <f>WORKDAY(U8,1,$L$33:$L$42)</f>
        <v>39786</v>
      </c>
      <c r="W8" t="s">
        <v>272</v>
      </c>
      <c r="X8" s="46">
        <v>39875</v>
      </c>
      <c r="Y8" s="45">
        <f>WORKDAY(X8,1,X$33:X$43)</f>
        <v>39876</v>
      </c>
      <c r="Z8" t="s">
        <v>272</v>
      </c>
      <c r="AA8" s="46">
        <v>39966</v>
      </c>
      <c r="AB8" s="45">
        <f>WORKDAY(AA8,1,$L$33:$L$43)</f>
        <v>39967</v>
      </c>
      <c r="AC8" t="s">
        <v>272</v>
      </c>
      <c r="AD8" s="46">
        <v>40058</v>
      </c>
      <c r="AE8" s="45">
        <f>WORKDAY(AD8,1,X$33:X$43)</f>
        <v>40059</v>
      </c>
      <c r="AF8" t="s">
        <v>272</v>
      </c>
      <c r="AG8" s="46">
        <v>40149</v>
      </c>
      <c r="AH8" s="45">
        <f>WORKDAY(AG8,1,X$33:X$43)</f>
        <v>40150</v>
      </c>
      <c r="AI8" t="s">
        <v>272</v>
      </c>
      <c r="AJ8" s="58"/>
      <c r="AK8" s="46">
        <v>42157</v>
      </c>
      <c r="AL8" s="45">
        <f>WORKDAY(AK8,1,AB$33:AB$43)</f>
        <v>42158</v>
      </c>
      <c r="AM8" s="59" t="s">
        <v>272</v>
      </c>
      <c r="AN8" s="60">
        <f>+AO8-AK8</f>
        <v>30</v>
      </c>
      <c r="AO8" s="46">
        <v>42187</v>
      </c>
      <c r="AP8" s="45">
        <f>WORKDAY(AO8,1,AF$33:AF$43)</f>
        <v>42188</v>
      </c>
      <c r="AQ8" s="59" t="s">
        <v>272</v>
      </c>
      <c r="AR8" s="60">
        <f>+AS8-AO8</f>
        <v>33</v>
      </c>
      <c r="AS8" s="46">
        <v>42220</v>
      </c>
      <c r="AT8" s="45">
        <f>WORKDAY(AS8,1,AJ$33:AJ$43)</f>
        <v>42221</v>
      </c>
      <c r="AU8" s="59" t="s">
        <v>272</v>
      </c>
      <c r="AV8" s="60">
        <f>+AW8-AS8</f>
        <v>29</v>
      </c>
      <c r="AW8" s="46">
        <v>42249</v>
      </c>
      <c r="AX8" s="45">
        <f>WORKDAY(AW8,1,AN$33:AN$43)</f>
        <v>42250</v>
      </c>
      <c r="AY8" s="59" t="s">
        <v>272</v>
      </c>
      <c r="AZ8" s="60">
        <f>+BA8-AW8</f>
        <v>30</v>
      </c>
      <c r="BA8" s="46">
        <v>42279</v>
      </c>
      <c r="BB8" s="45">
        <f>WORKDAY(BA8,1,AR$33:AR$43)</f>
        <v>42282</v>
      </c>
      <c r="BC8" s="59" t="s">
        <v>272</v>
      </c>
      <c r="BD8" s="60">
        <f>+BE8-BA8</f>
        <v>31</v>
      </c>
      <c r="BE8" s="46">
        <v>42310</v>
      </c>
      <c r="BF8" s="45">
        <f>WORKDAY(BE8,1,AV$33:AV$43)</f>
        <v>42311</v>
      </c>
      <c r="BG8" s="59" t="s">
        <v>272</v>
      </c>
      <c r="BH8" s="60">
        <f>+BI8-BE8</f>
        <v>30</v>
      </c>
      <c r="BI8" s="46">
        <v>42340</v>
      </c>
      <c r="BJ8" s="45">
        <f>WORKDAY(BI8,1,AZ$33:AZ$43)</f>
        <v>42341</v>
      </c>
      <c r="BK8" s="59" t="s">
        <v>272</v>
      </c>
      <c r="BL8" s="60">
        <f>+BM8-BI8</f>
        <v>33</v>
      </c>
      <c r="BM8" s="46">
        <v>42373</v>
      </c>
      <c r="BN8" s="45">
        <f>WORKDAY(BM8,1,BD$33:BD$43)</f>
        <v>42374</v>
      </c>
      <c r="BO8" s="59" t="s">
        <v>272</v>
      </c>
      <c r="BP8" s="60">
        <f>+BQ8-BM8</f>
        <v>29</v>
      </c>
      <c r="BQ8" s="46">
        <v>42402</v>
      </c>
      <c r="BR8" s="45">
        <f>WORKDAY(BQ8,1,BH$33:BH$43)</f>
        <v>42403</v>
      </c>
      <c r="BS8" s="59" t="s">
        <v>272</v>
      </c>
      <c r="BT8" s="60">
        <f>+BU8-BQ8</f>
        <v>29</v>
      </c>
      <c r="BU8" s="46">
        <v>42431</v>
      </c>
      <c r="BV8" s="45">
        <f>WORKDAY(BU8,1,BL$33:BL$43)</f>
        <v>42432</v>
      </c>
      <c r="BW8" s="59" t="s">
        <v>272</v>
      </c>
      <c r="BX8" s="60">
        <f>+BY8-BU8</f>
        <v>30</v>
      </c>
      <c r="BY8" s="46">
        <v>42461</v>
      </c>
      <c r="BZ8" s="45">
        <f>WORKDAY(BY8,1)</f>
        <v>42464</v>
      </c>
      <c r="CA8" s="59" t="s">
        <v>272</v>
      </c>
      <c r="CB8" s="60">
        <f>+CC8-BY8</f>
        <v>31</v>
      </c>
      <c r="CC8" s="46">
        <v>42492</v>
      </c>
      <c r="CD8" s="45">
        <f>WORKDAY(CC8,1)</f>
        <v>42493</v>
      </c>
      <c r="CE8" s="59" t="s">
        <v>272</v>
      </c>
      <c r="CF8" s="60">
        <f>+CG8-CC8</f>
        <v>31</v>
      </c>
      <c r="CG8" s="46">
        <v>42523</v>
      </c>
      <c r="CH8" s="45">
        <f>WORKDAY(CG8,1)</f>
        <v>42524</v>
      </c>
      <c r="CI8" s="59" t="s">
        <v>272</v>
      </c>
      <c r="CJ8" s="60">
        <f>+CK8-CG8</f>
        <v>29</v>
      </c>
      <c r="CK8" s="46">
        <v>42552</v>
      </c>
      <c r="CL8" s="45">
        <f>WORKDAY(CK8,1)</f>
        <v>42555</v>
      </c>
      <c r="CM8" s="59" t="s">
        <v>272</v>
      </c>
      <c r="CN8" s="60">
        <f>+CO8-CK8</f>
        <v>32</v>
      </c>
      <c r="CO8" s="46">
        <v>42584</v>
      </c>
      <c r="CP8" s="45">
        <f>WORKDAY(CO8,1)</f>
        <v>42585</v>
      </c>
      <c r="CQ8" s="59" t="s">
        <v>272</v>
      </c>
      <c r="CR8" s="60">
        <f>+CS8-CO8</f>
        <v>30</v>
      </c>
      <c r="CS8" s="46">
        <v>42614</v>
      </c>
      <c r="CT8" s="45">
        <f>WORKDAY(CS8,1)</f>
        <v>42615</v>
      </c>
      <c r="CU8" s="59" t="s">
        <v>272</v>
      </c>
      <c r="CV8" s="60">
        <f>+CW8-CS8</f>
        <v>32</v>
      </c>
      <c r="CW8" s="46">
        <v>42646</v>
      </c>
      <c r="CX8" s="45">
        <f>WORKDAY(CW8,1)</f>
        <v>42647</v>
      </c>
      <c r="CY8" s="59" t="s">
        <v>272</v>
      </c>
      <c r="CZ8" s="60">
        <f>+DA8-CW8</f>
        <v>29</v>
      </c>
      <c r="DA8" s="46">
        <v>42675</v>
      </c>
      <c r="DB8" s="45">
        <f>WORKDAY(DA8,1)</f>
        <v>42676</v>
      </c>
      <c r="DC8" s="59" t="s">
        <v>272</v>
      </c>
      <c r="DD8" s="60">
        <f>+DE8-DA8</f>
        <v>31</v>
      </c>
      <c r="DE8" s="46">
        <v>42706</v>
      </c>
      <c r="DF8" s="45">
        <f>WORKDAY(DE8,1)</f>
        <v>42709</v>
      </c>
      <c r="DG8" s="59" t="s">
        <v>272</v>
      </c>
      <c r="DH8" s="60">
        <f>+DI8-DE8</f>
        <v>33</v>
      </c>
      <c r="DI8" s="46">
        <v>42739</v>
      </c>
      <c r="DJ8" s="45">
        <f>WORKDAY(DI8,1)</f>
        <v>42740</v>
      </c>
      <c r="DK8" s="59" t="s">
        <v>272</v>
      </c>
      <c r="DL8" s="60">
        <f>+DM8-DI8</f>
        <v>29</v>
      </c>
      <c r="DM8" s="46">
        <v>42768</v>
      </c>
      <c r="DN8" s="45">
        <f>WORKDAY(DM8,1)</f>
        <v>42769</v>
      </c>
      <c r="DO8" s="59" t="s">
        <v>272</v>
      </c>
      <c r="DP8" s="60">
        <f>+DQ8-DM8</f>
        <v>28</v>
      </c>
      <c r="DQ8" s="46">
        <v>42796</v>
      </c>
      <c r="DR8" s="45">
        <f>WORKDAY(DQ8,1)</f>
        <v>42797</v>
      </c>
      <c r="DS8" s="59" t="s">
        <v>272</v>
      </c>
      <c r="DT8" s="60">
        <f>+DU8-DQ8</f>
        <v>732</v>
      </c>
      <c r="DU8" s="46">
        <v>43528</v>
      </c>
      <c r="DV8" s="45">
        <f t="shared" si="0"/>
        <v>43529</v>
      </c>
      <c r="DW8" s="59" t="s">
        <v>272</v>
      </c>
      <c r="DX8" s="60">
        <f t="shared" si="1"/>
        <v>29</v>
      </c>
      <c r="DY8" s="46">
        <v>43557</v>
      </c>
      <c r="DZ8" s="45">
        <f t="shared" si="2"/>
        <v>43558</v>
      </c>
      <c r="EA8" s="59" t="s">
        <v>272</v>
      </c>
      <c r="EB8" s="60">
        <f>+EC8-DY8</f>
        <v>30</v>
      </c>
      <c r="EC8" s="46">
        <v>43587</v>
      </c>
      <c r="ED8" s="45">
        <f>WORKDAY(EC8,1)</f>
        <v>43588</v>
      </c>
      <c r="EE8" s="59" t="s">
        <v>272</v>
      </c>
      <c r="EF8" s="60">
        <f>+EG8-EC8</f>
        <v>33</v>
      </c>
      <c r="EG8" s="46">
        <v>43620</v>
      </c>
      <c r="EH8" s="45">
        <f>WORKDAY(EG8,1)</f>
        <v>43621</v>
      </c>
      <c r="EI8" s="59" t="s">
        <v>272</v>
      </c>
      <c r="EJ8" s="60">
        <f>+EK8-EG8</f>
        <v>28</v>
      </c>
      <c r="EK8" s="46">
        <v>43648</v>
      </c>
      <c r="EL8" s="45">
        <f>WORKDAY(EK8,1)</f>
        <v>43649</v>
      </c>
      <c r="EM8" s="59" t="s">
        <v>272</v>
      </c>
      <c r="EN8" s="60">
        <f>+EO8-EK8</f>
        <v>31</v>
      </c>
      <c r="EO8" s="46">
        <v>43679</v>
      </c>
      <c r="EP8" s="45">
        <f>WORKDAY(EO8,1)</f>
        <v>43682</v>
      </c>
      <c r="EQ8" s="59" t="s">
        <v>272</v>
      </c>
    </row>
    <row r="9" spans="1:147" x14ac:dyDescent="0.2">
      <c r="A9">
        <v>44</v>
      </c>
      <c r="C9" s="46">
        <v>39238</v>
      </c>
      <c r="D9" s="45">
        <f>WORKDAY(C9,1,$C$33:$C$42)</f>
        <v>39239</v>
      </c>
      <c r="E9" t="s">
        <v>273</v>
      </c>
      <c r="F9" s="46">
        <v>39330</v>
      </c>
      <c r="G9" s="45">
        <f>WORKDAY(F9,1,$C$33:$C$42)</f>
        <v>39331</v>
      </c>
      <c r="H9" t="s">
        <v>273</v>
      </c>
      <c r="I9" s="46">
        <v>39420</v>
      </c>
      <c r="J9" s="45">
        <f>WORKDAY(I9,1,$C$33:$C$42)</f>
        <v>39421</v>
      </c>
      <c r="K9" t="s">
        <v>273</v>
      </c>
      <c r="L9" s="46">
        <v>39511</v>
      </c>
      <c r="M9" s="45">
        <f>WORKDAY(L9,1,$L$33:$L$42)</f>
        <v>39512</v>
      </c>
      <c r="N9" t="s">
        <v>273</v>
      </c>
      <c r="O9" s="46">
        <v>39603</v>
      </c>
      <c r="P9" s="45">
        <f>WORKDAY(O9,1,$L$33:$L$42)</f>
        <v>39604</v>
      </c>
      <c r="Q9" t="s">
        <v>273</v>
      </c>
      <c r="R9" s="46">
        <v>39695</v>
      </c>
      <c r="S9" s="45">
        <f>WORKDAY(R9,1,$L$33:$L$42)</f>
        <v>39696</v>
      </c>
      <c r="T9" t="s">
        <v>273</v>
      </c>
      <c r="U9" s="46">
        <v>39786</v>
      </c>
      <c r="V9" s="45">
        <f>WORKDAY(U9,1,$L$33:$L$42)</f>
        <v>39787</v>
      </c>
      <c r="W9" t="s">
        <v>273</v>
      </c>
      <c r="X9" s="46">
        <v>39876</v>
      </c>
      <c r="Y9" s="45">
        <f>WORKDAY(X9,1,X$33:X$43)</f>
        <v>39877</v>
      </c>
      <c r="Z9" t="s">
        <v>273</v>
      </c>
      <c r="AA9" s="46">
        <v>39967</v>
      </c>
      <c r="AB9" s="45">
        <f>WORKDAY(AA9,1,$L$33:$L$43)</f>
        <v>39968</v>
      </c>
      <c r="AC9" t="s">
        <v>273</v>
      </c>
      <c r="AD9" s="46">
        <v>40059</v>
      </c>
      <c r="AE9" s="45">
        <f>WORKDAY(AD9,1,X$33:X$43)</f>
        <v>40060</v>
      </c>
      <c r="AF9" t="s">
        <v>273</v>
      </c>
      <c r="AG9" s="46">
        <v>40150</v>
      </c>
      <c r="AH9" s="45">
        <f>WORKDAY(AG9,1,X$33:X$43)</f>
        <v>40151</v>
      </c>
      <c r="AI9" t="s">
        <v>273</v>
      </c>
      <c r="AJ9" s="58"/>
      <c r="AK9" s="46">
        <v>42158</v>
      </c>
      <c r="AL9" s="45">
        <f>WORKDAY(AK9,1,AB$33:AB$43)</f>
        <v>42159</v>
      </c>
      <c r="AM9" s="59" t="s">
        <v>273</v>
      </c>
      <c r="AN9" s="60">
        <f>+AO9-AK9</f>
        <v>33</v>
      </c>
      <c r="AO9" s="46">
        <v>42191</v>
      </c>
      <c r="AP9" s="45">
        <f>WORKDAY(AO9,1,AF$33:AF$43)</f>
        <v>42192</v>
      </c>
      <c r="AQ9" s="59" t="s">
        <v>273</v>
      </c>
      <c r="AR9" s="60">
        <f>+AS9-AO9</f>
        <v>30</v>
      </c>
      <c r="AS9" s="46">
        <v>42221</v>
      </c>
      <c r="AT9" s="45">
        <f>WORKDAY(AS9,1,AJ$33:AJ$43)</f>
        <v>42222</v>
      </c>
      <c r="AU9" s="59" t="s">
        <v>273</v>
      </c>
      <c r="AV9" s="60">
        <f>+AW9-AS9</f>
        <v>29</v>
      </c>
      <c r="AW9" s="46">
        <v>42250</v>
      </c>
      <c r="AX9" s="45">
        <f>WORKDAY(AW9,1,AN$33:AN$43)</f>
        <v>42251</v>
      </c>
      <c r="AY9" s="59" t="s">
        <v>273</v>
      </c>
      <c r="AZ9" s="60">
        <f>+BA9-AW9</f>
        <v>32</v>
      </c>
      <c r="BA9" s="46">
        <v>42282</v>
      </c>
      <c r="BB9" s="45">
        <f>WORKDAY(BA9,1,AR$33:AR$43)</f>
        <v>42283</v>
      </c>
      <c r="BC9" s="59" t="s">
        <v>273</v>
      </c>
      <c r="BD9" s="60">
        <f>+BE9-BA9</f>
        <v>29</v>
      </c>
      <c r="BE9" s="46">
        <v>42311</v>
      </c>
      <c r="BF9" s="45">
        <f>WORKDAY(BE9,1,AV$33:AV$43)</f>
        <v>42312</v>
      </c>
      <c r="BG9" s="59" t="s">
        <v>273</v>
      </c>
      <c r="BH9" s="60">
        <f>+BI9-BE9</f>
        <v>30</v>
      </c>
      <c r="BI9" s="46">
        <v>42341</v>
      </c>
      <c r="BJ9" s="45">
        <f>WORKDAY(BI9,1,AZ$33:AZ$43)</f>
        <v>42342</v>
      </c>
      <c r="BK9" s="59" t="s">
        <v>273</v>
      </c>
      <c r="BL9" s="60">
        <f>+BM9-BI9</f>
        <v>33</v>
      </c>
      <c r="BM9" s="46">
        <v>42374</v>
      </c>
      <c r="BN9" s="45">
        <f>WORKDAY(BM9,1,BD$33:BD$43)</f>
        <v>42375</v>
      </c>
      <c r="BO9" s="59" t="s">
        <v>273</v>
      </c>
      <c r="BP9" s="60">
        <f>+BQ9-BM9</f>
        <v>29</v>
      </c>
      <c r="BQ9" s="46">
        <v>42403</v>
      </c>
      <c r="BR9" s="45">
        <f>WORKDAY(BQ9,1,BH$33:BH$43)</f>
        <v>42404</v>
      </c>
      <c r="BS9" s="59" t="s">
        <v>273</v>
      </c>
      <c r="BT9" s="60">
        <f>+BU9-BQ9</f>
        <v>29</v>
      </c>
      <c r="BU9" s="46">
        <v>42432</v>
      </c>
      <c r="BV9" s="45">
        <f>WORKDAY(BU9,1,BL$33:BL$43)</f>
        <v>42433</v>
      </c>
      <c r="BW9" s="59" t="s">
        <v>273</v>
      </c>
      <c r="BX9" s="60">
        <f>+BY9-BU9</f>
        <v>32</v>
      </c>
      <c r="BY9" s="46">
        <v>42464</v>
      </c>
      <c r="BZ9" s="45">
        <f>WORKDAY(BY9,1)</f>
        <v>42465</v>
      </c>
      <c r="CA9" s="59" t="s">
        <v>273</v>
      </c>
      <c r="CB9" s="60">
        <f>+CC9-BY9</f>
        <v>29</v>
      </c>
      <c r="CC9" s="46">
        <v>42493</v>
      </c>
      <c r="CD9" s="45">
        <f>WORKDAY(CC9,1)</f>
        <v>42494</v>
      </c>
      <c r="CE9" s="59" t="s">
        <v>273</v>
      </c>
      <c r="CF9" s="60">
        <f>+CG9-CC9</f>
        <v>31</v>
      </c>
      <c r="CG9" s="46">
        <v>42524</v>
      </c>
      <c r="CH9" s="45">
        <f>WORKDAY(CG9,1)</f>
        <v>42527</v>
      </c>
      <c r="CI9" s="59" t="s">
        <v>273</v>
      </c>
      <c r="CJ9" s="60">
        <f>+CK9-CG9</f>
        <v>32</v>
      </c>
      <c r="CK9" s="46">
        <v>42556</v>
      </c>
      <c r="CL9" s="45">
        <f>WORKDAY(CK9,1)</f>
        <v>42557</v>
      </c>
      <c r="CM9" s="59" t="s">
        <v>273</v>
      </c>
      <c r="CN9" s="60">
        <f>+CO9-CK9</f>
        <v>29</v>
      </c>
      <c r="CO9" s="46">
        <v>42585</v>
      </c>
      <c r="CP9" s="45">
        <f>WORKDAY(CO9,1)</f>
        <v>42586</v>
      </c>
      <c r="CQ9" s="59" t="s">
        <v>273</v>
      </c>
      <c r="CR9" s="60">
        <f>+CS9-CO9</f>
        <v>30</v>
      </c>
      <c r="CS9" s="46">
        <v>42615</v>
      </c>
      <c r="CT9" s="45">
        <f>WORKDAY(CS9,1)</f>
        <v>42618</v>
      </c>
      <c r="CU9" s="59" t="s">
        <v>273</v>
      </c>
      <c r="CV9" s="60">
        <f>+CW9-CS9</f>
        <v>32</v>
      </c>
      <c r="CW9" s="46">
        <v>42647</v>
      </c>
      <c r="CX9" s="45">
        <f>WORKDAY(CW9,1)</f>
        <v>42648</v>
      </c>
      <c r="CY9" s="59" t="s">
        <v>273</v>
      </c>
      <c r="CZ9" s="60">
        <f>+DA9-CW9</f>
        <v>29</v>
      </c>
      <c r="DA9" s="46">
        <v>42676</v>
      </c>
      <c r="DB9" s="45">
        <f>WORKDAY(DA9,1)</f>
        <v>42677</v>
      </c>
      <c r="DC9" s="59" t="s">
        <v>273</v>
      </c>
      <c r="DD9" s="60">
        <f>+DE9-DA9</f>
        <v>33</v>
      </c>
      <c r="DE9" s="46">
        <v>42709</v>
      </c>
      <c r="DF9" s="45">
        <f>WORKDAY(DE9,1)</f>
        <v>42710</v>
      </c>
      <c r="DG9" s="59" t="s">
        <v>273</v>
      </c>
      <c r="DH9" s="60">
        <f>+DI9-DE9</f>
        <v>31</v>
      </c>
      <c r="DI9" s="46">
        <v>42740</v>
      </c>
      <c r="DJ9" s="45">
        <f>WORKDAY(DI9,1)</f>
        <v>42741</v>
      </c>
      <c r="DK9" s="59" t="s">
        <v>273</v>
      </c>
      <c r="DL9" s="60">
        <f>+DM9-DI9</f>
        <v>29</v>
      </c>
      <c r="DM9" s="46">
        <v>42769</v>
      </c>
      <c r="DN9" s="45">
        <f>WORKDAY(DM9,1)</f>
        <v>42772</v>
      </c>
      <c r="DO9" s="59" t="s">
        <v>273</v>
      </c>
      <c r="DP9" s="60">
        <f>+DQ9-DM9</f>
        <v>28</v>
      </c>
      <c r="DQ9" s="46">
        <v>42797</v>
      </c>
      <c r="DR9" s="45">
        <f>WORKDAY(DQ9,1)</f>
        <v>42800</v>
      </c>
      <c r="DS9" s="59" t="s">
        <v>273</v>
      </c>
      <c r="DT9" s="60">
        <f>+DU9-DQ9</f>
        <v>732</v>
      </c>
      <c r="DU9" s="46">
        <v>43529</v>
      </c>
      <c r="DV9" s="45">
        <f t="shared" si="0"/>
        <v>43530</v>
      </c>
      <c r="DW9" s="59" t="s">
        <v>273</v>
      </c>
      <c r="DX9" s="60">
        <f t="shared" si="1"/>
        <v>29</v>
      </c>
      <c r="DY9" s="46">
        <v>43558</v>
      </c>
      <c r="DZ9" s="45">
        <f t="shared" si="2"/>
        <v>43559</v>
      </c>
      <c r="EA9" s="59" t="s">
        <v>273</v>
      </c>
      <c r="EB9" s="60">
        <f>+EC9-DY9</f>
        <v>30</v>
      </c>
      <c r="EC9" s="46">
        <v>43588</v>
      </c>
      <c r="ED9" s="45">
        <f>WORKDAY(EC9,1)</f>
        <v>43591</v>
      </c>
      <c r="EE9" s="59" t="s">
        <v>273</v>
      </c>
      <c r="EF9" s="60">
        <f>+EG9-EC9</f>
        <v>33</v>
      </c>
      <c r="EG9" s="46">
        <v>43621</v>
      </c>
      <c r="EH9" s="45">
        <f>WORKDAY(EG9,1)</f>
        <v>43622</v>
      </c>
      <c r="EI9" s="59" t="s">
        <v>273</v>
      </c>
      <c r="EJ9" s="60">
        <f>+EK9-EG9</f>
        <v>28</v>
      </c>
      <c r="EK9" s="46">
        <v>43649</v>
      </c>
      <c r="EL9" s="45">
        <f>WORKDAY(EK9,1)</f>
        <v>43650</v>
      </c>
      <c r="EM9" s="59" t="s">
        <v>273</v>
      </c>
      <c r="EN9" s="60">
        <f>+EO9-EK9</f>
        <v>33</v>
      </c>
      <c r="EO9" s="46">
        <v>43682</v>
      </c>
      <c r="EP9" s="45">
        <f>WORKDAY(EO9,1)</f>
        <v>43683</v>
      </c>
      <c r="EQ9" s="59" t="s">
        <v>273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5" t="s">
        <v>274</v>
      </c>
      <c r="AV11" s="60">
        <f>+AW11-AS11</f>
        <v>30</v>
      </c>
      <c r="AW11" s="46">
        <v>42263</v>
      </c>
      <c r="AX11" s="45">
        <f>WORKDAY(AW11,1,AN$33:AN$43)</f>
        <v>42264</v>
      </c>
      <c r="AY11" s="155" t="s">
        <v>274</v>
      </c>
      <c r="AZ11" s="60">
        <f>+BA11-AW11</f>
        <v>30</v>
      </c>
      <c r="BA11" s="46">
        <v>42293</v>
      </c>
      <c r="BB11" s="45">
        <f>WORKDAY(BA11,1,AR$33:AR$43)</f>
        <v>42296</v>
      </c>
      <c r="BC11" s="155" t="s">
        <v>274</v>
      </c>
      <c r="BD11" s="60">
        <f>+BE11-BA11</f>
        <v>28</v>
      </c>
      <c r="BE11" s="46">
        <v>42321</v>
      </c>
      <c r="BF11" s="45">
        <f>WORKDAY(BE11,1,AV$33:AV$43)</f>
        <v>42324</v>
      </c>
      <c r="BG11" s="155" t="s">
        <v>274</v>
      </c>
      <c r="BH11" s="60">
        <f>+BI11-BE11</f>
        <v>32</v>
      </c>
      <c r="BI11" s="46">
        <v>42353</v>
      </c>
      <c r="BJ11" s="45">
        <f>WORKDAY(BI11,1,AZ$33:AZ$43)</f>
        <v>42354</v>
      </c>
      <c r="BK11" s="155" t="s">
        <v>274</v>
      </c>
      <c r="BL11" s="60">
        <f>+BM11-BI11</f>
        <v>31</v>
      </c>
      <c r="BM11" s="46">
        <v>42384</v>
      </c>
      <c r="BN11" s="45">
        <f>WORKDAY(BM11,1,BD$33:BD$43)</f>
        <v>42387</v>
      </c>
      <c r="BO11" s="155" t="s">
        <v>274</v>
      </c>
      <c r="BP11" s="60">
        <f>+BQ11-BM11</f>
        <v>31</v>
      </c>
      <c r="BQ11" s="46">
        <v>42415</v>
      </c>
      <c r="BR11" s="45">
        <f>WORKDAY(BQ11,1,BH$33:BH$43)</f>
        <v>42416</v>
      </c>
      <c r="BS11" s="155" t="s">
        <v>274</v>
      </c>
      <c r="BT11" s="60">
        <f>+BU11-BQ11</f>
        <v>30</v>
      </c>
      <c r="BU11" s="46">
        <v>42445</v>
      </c>
      <c r="BV11" s="45">
        <f>WORKDAY(BU11,1,BL$33:BL$43)</f>
        <v>42446</v>
      </c>
      <c r="BW11" s="155" t="s">
        <v>274</v>
      </c>
      <c r="BX11" s="60">
        <f>+BY11-BU11</f>
        <v>29</v>
      </c>
      <c r="BY11" s="46">
        <v>42474</v>
      </c>
      <c r="BZ11" s="45">
        <f>WORKDAY(BY11,1)</f>
        <v>42475</v>
      </c>
      <c r="CA11" s="155" t="s">
        <v>274</v>
      </c>
      <c r="CB11" s="60">
        <f>+CC11-BY11</f>
        <v>32</v>
      </c>
      <c r="CC11" s="46">
        <v>42506</v>
      </c>
      <c r="CD11" s="45">
        <f>WORKDAY(CC11,1)</f>
        <v>42507</v>
      </c>
      <c r="CE11" s="155" t="s">
        <v>274</v>
      </c>
      <c r="CF11" s="60">
        <f>+CG11-CC11</f>
        <v>30</v>
      </c>
      <c r="CG11" s="46">
        <v>42536</v>
      </c>
      <c r="CH11" s="45">
        <f>WORKDAY(CG11,1)</f>
        <v>42537</v>
      </c>
      <c r="CI11" s="155" t="s">
        <v>274</v>
      </c>
      <c r="CJ11" s="60">
        <f>+CK11-CG11</f>
        <v>30</v>
      </c>
      <c r="CK11" s="46">
        <v>42566</v>
      </c>
      <c r="CL11" s="45">
        <f>WORKDAY(CK11,1)</f>
        <v>42569</v>
      </c>
      <c r="CM11" s="155" t="s">
        <v>274</v>
      </c>
      <c r="CN11" s="60">
        <f>+CO11-CK11</f>
        <v>32</v>
      </c>
      <c r="CO11" s="46">
        <v>42598</v>
      </c>
      <c r="CP11" s="45">
        <f>WORKDAY(CO11,1)</f>
        <v>42599</v>
      </c>
      <c r="CQ11" s="155" t="s">
        <v>274</v>
      </c>
      <c r="CR11" s="60">
        <f>+CS11-CO11</f>
        <v>30</v>
      </c>
      <c r="CS11" s="46">
        <v>42628</v>
      </c>
      <c r="CT11" s="45">
        <f>WORKDAY(CS11,1)</f>
        <v>42629</v>
      </c>
      <c r="CU11" s="155" t="s">
        <v>274</v>
      </c>
      <c r="CV11" s="60">
        <f>+CW11-CS11</f>
        <v>29</v>
      </c>
      <c r="CW11" s="46">
        <v>42657</v>
      </c>
      <c r="CX11" s="45">
        <f>WORKDAY(CW11,1)</f>
        <v>42660</v>
      </c>
      <c r="CY11" s="155" t="s">
        <v>274</v>
      </c>
      <c r="CZ11" s="60">
        <f>+DA11-CW11</f>
        <v>32</v>
      </c>
      <c r="DA11" s="46">
        <v>42689</v>
      </c>
      <c r="DB11" s="45">
        <f>WORKDAY(DA11,1)</f>
        <v>42690</v>
      </c>
      <c r="DC11" s="155" t="s">
        <v>274</v>
      </c>
      <c r="DD11" s="60">
        <f>+DE11-DA11</f>
        <v>30</v>
      </c>
      <c r="DE11" s="46">
        <v>42719</v>
      </c>
      <c r="DF11" s="45">
        <f>WORKDAY(DE11,1)</f>
        <v>42720</v>
      </c>
      <c r="DG11" s="155" t="s">
        <v>274</v>
      </c>
      <c r="DH11" s="60">
        <f>+DI11-DE11</f>
        <v>34</v>
      </c>
      <c r="DI11" s="46">
        <v>42753</v>
      </c>
      <c r="DJ11" s="45">
        <f>WORKDAY(DI11,1)</f>
        <v>42754</v>
      </c>
      <c r="DK11" s="155" t="s">
        <v>274</v>
      </c>
      <c r="DL11" s="60">
        <f>+DM11-DI11</f>
        <v>28</v>
      </c>
      <c r="DM11" s="46">
        <v>42781</v>
      </c>
      <c r="DN11" s="45">
        <f>WORKDAY(DM11,1)</f>
        <v>42782</v>
      </c>
      <c r="DO11" s="155" t="s">
        <v>274</v>
      </c>
      <c r="DP11" s="60">
        <f>+DQ11-DM11</f>
        <v>29</v>
      </c>
      <c r="DQ11" s="46">
        <v>42810</v>
      </c>
      <c r="DR11" s="45">
        <f>WORKDAY(DQ11,1)</f>
        <v>42811</v>
      </c>
      <c r="DS11" s="155" t="s">
        <v>274</v>
      </c>
      <c r="DT11" s="60">
        <f>+DU11-DQ11</f>
        <v>728</v>
      </c>
      <c r="DU11" s="46">
        <v>43538</v>
      </c>
      <c r="DV11" s="45">
        <f t="shared" si="0"/>
        <v>43539</v>
      </c>
      <c r="DW11" s="155" t="s">
        <v>274</v>
      </c>
      <c r="DX11" s="60">
        <f t="shared" si="1"/>
        <v>33</v>
      </c>
      <c r="DY11" s="46">
        <v>43571</v>
      </c>
      <c r="DZ11" s="45">
        <f t="shared" si="2"/>
        <v>43572</v>
      </c>
      <c r="EA11" s="155" t="s">
        <v>274</v>
      </c>
      <c r="EB11" s="60">
        <f>+EC11-DY11</f>
        <v>30</v>
      </c>
      <c r="EC11" s="46">
        <v>43601</v>
      </c>
      <c r="ED11" s="45">
        <f>WORKDAY(EC11,1)</f>
        <v>43602</v>
      </c>
      <c r="EE11" s="155" t="s">
        <v>274</v>
      </c>
      <c r="EF11" s="60">
        <f>+EG11-EC11</f>
        <v>32</v>
      </c>
      <c r="EG11" s="46">
        <v>43633</v>
      </c>
      <c r="EH11" s="45">
        <f>WORKDAY(EG11,1)</f>
        <v>43634</v>
      </c>
      <c r="EI11" s="155" t="s">
        <v>274</v>
      </c>
      <c r="EJ11" s="60">
        <f>+EK11-EG11</f>
        <v>30</v>
      </c>
      <c r="EK11" s="46">
        <v>43663</v>
      </c>
      <c r="EL11" s="45">
        <f>WORKDAY(EK11,1)</f>
        <v>43664</v>
      </c>
      <c r="EM11" s="155" t="s">
        <v>274</v>
      </c>
      <c r="EN11" s="60">
        <f>+EO11-EK11</f>
        <v>30</v>
      </c>
      <c r="EO11" s="46">
        <v>43693</v>
      </c>
      <c r="EP11" s="45">
        <f>WORKDAY(EO11,1)</f>
        <v>43696</v>
      </c>
      <c r="EQ11" s="155" t="s">
        <v>274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275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276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277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278</v>
      </c>
    </row>
    <row r="45" spans="1:34" x14ac:dyDescent="0.2">
      <c r="AH45" t="s">
        <v>279</v>
      </c>
    </row>
    <row r="46" spans="1:34" x14ac:dyDescent="0.2">
      <c r="X46" s="10">
        <f>+X2</f>
        <v>2009</v>
      </c>
      <c r="Y46" t="s">
        <v>280</v>
      </c>
      <c r="AD46" s="10">
        <f>+AD2</f>
        <v>2009</v>
      </c>
      <c r="AE46" t="s">
        <v>281</v>
      </c>
    </row>
    <row r="47" spans="1:34" x14ac:dyDescent="0.2">
      <c r="X47" s="39" t="s">
        <v>268</v>
      </c>
      <c r="Y47" s="39" t="s">
        <v>269</v>
      </c>
      <c r="AD47" s="39" t="s">
        <v>268</v>
      </c>
      <c r="AE47" s="39" t="s">
        <v>269</v>
      </c>
    </row>
    <row r="49" spans="1:31" x14ac:dyDescent="0.2">
      <c r="A49">
        <v>41</v>
      </c>
      <c r="B49" t="s">
        <v>96</v>
      </c>
      <c r="X49" s="46">
        <v>39842</v>
      </c>
      <c r="Y49" s="45">
        <f>WORKDAY(X49,1,X$33:X$43)</f>
        <v>39843</v>
      </c>
      <c r="AD49" s="46">
        <v>40025</v>
      </c>
      <c r="AE49" s="45">
        <f>WORKDAY(AD49,1,AD$33:AD$43)</f>
        <v>40028</v>
      </c>
    </row>
    <row r="50" spans="1:31" x14ac:dyDescent="0.2">
      <c r="A50">
        <v>42</v>
      </c>
      <c r="B50" t="s">
        <v>96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Jan 2026</vt:lpstr>
      <vt:lpstr>Pwr Factor</vt:lpstr>
      <vt:lpstr>Dates</vt:lpstr>
      <vt:lpstr>'Calc. Jan 2026'!Print_Area</vt:lpstr>
      <vt:lpstr>'Calc. Jan 2026'!Print_Titles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2026-02-18T15:20:02Z</dcterms:modified>
  <cp:category/>
  <cp:contentStatus/>
</cp:coreProperties>
</file>