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124226"/>
  <xr:revisionPtr revIDLastSave="0" documentId="8_{AEEA580D-1BB4-4B50-A6FC-EE5E31DB2FA5}" xr6:coauthVersionLast="47" xr6:coauthVersionMax="47" xr10:uidLastSave="{00000000-0000-0000-0000-000000000000}"/>
  <workbookProtection workbookAlgorithmName="SHA-512" workbookHashValue="OviIAZD434qWOOtMFh8KKkxmY/kjMf/vatlf987gdsoOu5Ig6iXGs0+OUyNou+gu5cQ2cTEpGEEBr0d5aD0wlA==" workbookSaltValue="GvVCUeqvXUNpc8MSR0dahA==" workbookSpinCount="100000" lockStructure="1"/>
  <bookViews>
    <workbookView xWindow="38290" yWindow="-110" windowWidth="19420" windowHeight="1030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April 2026" sheetId="15" state="hidden" r:id="rId6"/>
    <sheet name="Pwr Factor" sheetId="2" state="hidden" r:id="rId7"/>
    <sheet name="Dates" sheetId="3" state="hidden" r:id="rId8"/>
  </sheets>
  <definedNames>
    <definedName name="_xlnm.Print_Area" localSheetId="5">'Calc. April 2026'!$A$1:$AB$1177</definedName>
    <definedName name="_xlnm.Print_Titles" localSheetId="5">'Calc. April 2026'!$1:$43</definedName>
    <definedName name="_xlnm.Print_Titles" localSheetId="7">Dates!$A:$B</definedName>
    <definedName name="solver_adj" localSheetId="5" hidden="1">'Calc. April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April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02" i="15" l="1"/>
  <c r="V1402" i="15" s="1"/>
  <c r="B1400" i="15"/>
  <c r="Y1400" i="15" s="1"/>
  <c r="B1398" i="15"/>
  <c r="Y1398" i="15" s="1"/>
  <c r="B1396" i="15"/>
  <c r="V1396" i="15" s="1"/>
  <c r="B1394" i="15"/>
  <c r="AA1394" i="15" s="1"/>
  <c r="AC1402" i="15"/>
  <c r="E1402" i="15"/>
  <c r="C1402" i="15" s="1"/>
  <c r="D1402" i="15"/>
  <c r="R1401" i="15" s="1"/>
  <c r="AC1400" i="15"/>
  <c r="E1400" i="15"/>
  <c r="C1400" i="15" s="1"/>
  <c r="M1400" i="15" s="1"/>
  <c r="D1400" i="15"/>
  <c r="R1399" i="15" s="1"/>
  <c r="AC1398" i="15"/>
  <c r="Z1398" i="15"/>
  <c r="W1398" i="15"/>
  <c r="U1398" i="15"/>
  <c r="S1398" i="15"/>
  <c r="E1398" i="15"/>
  <c r="C1398" i="15" s="1"/>
  <c r="D1398" i="15"/>
  <c r="R1397" i="15" s="1"/>
  <c r="AC1396" i="15"/>
  <c r="E1396" i="15"/>
  <c r="C1396" i="15" s="1"/>
  <c r="M1396" i="15" s="1"/>
  <c r="D1396" i="15"/>
  <c r="R1395" i="15" s="1"/>
  <c r="AC1394" i="15"/>
  <c r="E1394" i="15"/>
  <c r="C1394" i="15" s="1"/>
  <c r="M1394" i="15" s="1"/>
  <c r="D1394" i="15"/>
  <c r="R1393" i="15" s="1"/>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C1279" i="15" s="1"/>
  <c r="M1279" i="15" s="1"/>
  <c r="D1279" i="15"/>
  <c r="R1278"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AA1398" i="15" l="1"/>
  <c r="K1396" i="15"/>
  <c r="S1396" i="15"/>
  <c r="U1396" i="15"/>
  <c r="W1396" i="15"/>
  <c r="G81" i="11"/>
  <c r="K80" i="11"/>
  <c r="G78" i="11"/>
  <c r="G77" i="11"/>
  <c r="Y1396" i="15"/>
  <c r="Z1396" i="15"/>
  <c r="H1149" i="15"/>
  <c r="J1149" i="15"/>
  <c r="K1398" i="15"/>
  <c r="H1402" i="15"/>
  <c r="AA1396" i="15"/>
  <c r="J1402" i="15"/>
  <c r="AA1402" i="15"/>
  <c r="M1398" i="15"/>
  <c r="L1398" i="15"/>
  <c r="K1402" i="15"/>
  <c r="N1402" i="15" s="1"/>
  <c r="S1402" i="15"/>
  <c r="U1402" i="15"/>
  <c r="W1402" i="15"/>
  <c r="H1283" i="15"/>
  <c r="J1283" i="15"/>
  <c r="Y1402" i="15"/>
  <c r="Z1402" i="15"/>
  <c r="L1400" i="15"/>
  <c r="Q1400" i="15" s="1"/>
  <c r="V1394" i="15"/>
  <c r="V1398" i="15"/>
  <c r="V1400" i="15"/>
  <c r="Z1400" i="15"/>
  <c r="AA1400" i="15"/>
  <c r="H1400" i="15"/>
  <c r="J1400" i="15"/>
  <c r="K1400" i="15"/>
  <c r="S1400" i="15"/>
  <c r="U1400" i="15"/>
  <c r="W1400" i="15"/>
  <c r="S1394" i="15"/>
  <c r="U1394" i="15"/>
  <c r="W1394" i="15"/>
  <c r="Y1394" i="15"/>
  <c r="Z1394" i="15"/>
  <c r="M1402" i="15"/>
  <c r="L1402" i="15"/>
  <c r="N1396"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s="1"/>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Q1398" i="15" l="1"/>
  <c r="R1398" i="15"/>
  <c r="G1398" i="15" s="1"/>
  <c r="R1281" i="15"/>
  <c r="N1398" i="15"/>
  <c r="R1400" i="15"/>
  <c r="G1400" i="15" s="1"/>
  <c r="Q1149" i="15"/>
  <c r="Q1143" i="15"/>
  <c r="N1400" i="15"/>
  <c r="R1396" i="15"/>
  <c r="G1396" i="15" s="1"/>
  <c r="Q1402" i="15"/>
  <c r="R1402" i="15"/>
  <c r="G1402" i="15" s="1"/>
  <c r="R1394" i="15"/>
  <c r="G1394" i="15" s="1"/>
  <c r="Q1145" i="15"/>
  <c r="G1281"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R764" i="15"/>
  <c r="G764" i="15" s="1"/>
  <c r="Q770" i="15"/>
  <c r="R770" i="15"/>
  <c r="G770" i="15" s="1"/>
  <c r="R762" i="15"/>
  <c r="G762" i="15" s="1"/>
  <c r="N463" i="15"/>
  <c r="L458" i="15"/>
  <c r="L459" i="15" s="1"/>
  <c r="N459" i="15" s="1"/>
  <c r="Q645" i="15"/>
  <c r="G637"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D9" i="15"/>
  <c r="O70" i="11" s="1"/>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X1398" i="15" l="1"/>
  <c r="X1396" i="15"/>
  <c r="X1402" i="15"/>
  <c r="X1400" i="15"/>
  <c r="X1394" i="15"/>
  <c r="W1283" i="15"/>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8" i="15" l="1"/>
  <c r="T1396" i="15"/>
  <c r="T1400" i="15"/>
  <c r="T1394" i="15"/>
  <c r="T1402" i="15"/>
  <c r="T1390" i="15"/>
  <c r="T1392" i="15"/>
  <c r="T1384" i="15"/>
  <c r="T1386" i="15"/>
  <c r="T1388" i="15"/>
  <c r="G1271" i="15"/>
  <c r="D40" i="10"/>
  <c r="D41" i="10" s="1"/>
  <c r="D42" i="10" s="1"/>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G1382"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<sst xmlns="http://schemas.openxmlformats.org/spreadsheetml/2006/main" count="2220" uniqueCount="400">
  <si>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</si>
  <si>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</si>
  <si>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</si>
  <si>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</si>
  <si>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</si>
  <si>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</si>
  <si>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</si>
  <si>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</si>
  <si>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</si>
  <si>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</si>
  <si>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</si>
  <si>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</si>
  <si>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Select Rate Code</t>
  </si>
  <si>
    <t>INPUT 4</t>
  </si>
  <si>
    <t>Are you enrolled in AES Indiana's Green Power Initiative?</t>
  </si>
  <si>
    <t>Select Option</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</si>
  <si>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</si>
  <si>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</si>
  <si>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</si>
  <si>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</si>
  <si>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</si>
  <si>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</si>
  <si>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</si>
  <si>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</si>
  <si>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</si>
  <si>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</si>
  <si>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</si>
  <si>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</si>
  <si>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Amount</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</si>
  <si>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</si>
  <si>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</si>
  <si>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</si>
  <si>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</si>
  <si>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</si>
  <si>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</si>
  <si>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</si>
  <si>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</si>
  <si>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</si>
  <si>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</si>
  <si>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</si>
  <si>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</si>
  <si>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</si>
  <si>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</si>
  <si>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</si>
  <si>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</si>
  <si>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</si>
  <si>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</si>
  <si>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</si>
  <si>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</si>
  <si>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</si>
  <si>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</si>
  <si>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</si>
  <si>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</si>
  <si>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</si>
  <si>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</si>
  <si>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</si>
  <si>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Residential Links</t>
  </si>
  <si>
    <t>RS</t>
  </si>
  <si>
    <t>RS, RC, RH</t>
  </si>
  <si>
    <t>https://www.aesindiana.com/sites/aesvault.com/files/2024-05/Residential%20Rates_Effective%2005-09-24.pdf#page=1</t>
  </si>
  <si>
    <t>RC</t>
  </si>
  <si>
    <t>January</t>
  </si>
  <si>
    <t>RH</t>
  </si>
  <si>
    <t>February</t>
  </si>
  <si>
    <t>SS</t>
  </si>
  <si>
    <t>March</t>
  </si>
  <si>
    <t>SH</t>
  </si>
  <si>
    <t>C&amp;I Links</t>
  </si>
  <si>
    <t>April</t>
  </si>
  <si>
    <t>SE</t>
  </si>
  <si>
    <t>https://www.aesindiana.com/sites/aesvault.com/files/2024-05/Rate-SS-Secondary-Service--Small-45911-Effective-05-09-24.pdf</t>
  </si>
  <si>
    <t>May</t>
  </si>
  <si>
    <t>CR</t>
  </si>
  <si>
    <t>https://www.aesindiana.com/sites/aesvault.com/files/2024-05/Rate-SH-Secondary-Service--Electric-Space-Conditioning-Separately-Metered-Effective-05-09-24.pdf</t>
  </si>
  <si>
    <t>June</t>
  </si>
  <si>
    <t>CB</t>
  </si>
  <si>
    <t>https://www.aesindiana.com/sites/aesvault.com/files/2024-05/Rate-SH-Secondary-Service--Electric-Space-Conditioning-Separately-Metered-Effective-05-09-24.pdf#page=2</t>
  </si>
  <si>
    <t>July</t>
  </si>
  <si>
    <t>UW</t>
  </si>
  <si>
    <t>https://www.aesindiana.com/sites/aesvault.com/files/2024-05/Rate-CW-Water-Heating--Controlled-Service-Effective-05-09-24.pdf#page=2</t>
  </si>
  <si>
    <t>August</t>
  </si>
  <si>
    <t>SL</t>
  </si>
  <si>
    <t>September</t>
  </si>
  <si>
    <t>PL</t>
  </si>
  <si>
    <t>https://www.aesindiana.com/sites/aesvault.com/files/2024-05/Rate-UW-Water-Heating--Uncontrolled-Service-Effective-05-09-24.pdf</t>
  </si>
  <si>
    <t>October</t>
  </si>
  <si>
    <t>PH</t>
  </si>
  <si>
    <t>SL (C, D, E)</t>
  </si>
  <si>
    <t>https://www.aesindiana.com/sites/aesvault.com/files/2024-05/Rate-SL-Secondary-Service-Large-45911-Effective-05-09-24.pdf</t>
  </si>
  <si>
    <t>November</t>
  </si>
  <si>
    <t>HL1</t>
  </si>
  <si>
    <t>SL (PF)</t>
  </si>
  <si>
    <t>https://www.aesindiana.com/sites/aesvault.com/files/2024-05/Rate-SL-Secondary-Service-Large-45911-Effective-05-09-24.pdf#page=2</t>
  </si>
  <si>
    <t>December</t>
  </si>
  <si>
    <t>HL2</t>
  </si>
  <si>
    <t>PL (C, D, E)</t>
  </si>
  <si>
    <t>https://www.aesindiana.com/sites/aesvault.com/files/2024-05/Rate-PL-Primary-Service-Large-Effective-05-09-24.pdf</t>
  </si>
  <si>
    <t>HL3</t>
  </si>
  <si>
    <t>PL (PF)</t>
  </si>
  <si>
    <t>https://www.aesindiana.com/sites/aesvault.com/files/2024-05/Rate-PL-Primary-Service-Large-Effective-05-09-24.pdf#page=2</t>
  </si>
  <si>
    <t>HL4</t>
  </si>
  <si>
    <t>PH (C, D, E)</t>
  </si>
  <si>
    <t>https://www.aesindiana.com/sites/aesvault.com/files/2024-05/Rate-PH-Process-Heating-Effective-05-09-24.pdf</t>
  </si>
  <si>
    <t>PH (PF)</t>
  </si>
  <si>
    <t>https://www.aesindiana.com/sites/aesvault.com/files/2024-05/Rate-PH-Process-Heating-Effective-05-09-24.pdf#page=2</t>
  </si>
  <si>
    <t>HL (C,D)</t>
  </si>
  <si>
    <t>https://www.aesindiana.com/sites/aesvault.com/files/2024-05/Rate-HL-High-Load-Factor--Primary-Distrib-Sub-Trans-and-Trans-Voltages-45911-Effective-05-09-24.pdf</t>
  </si>
  <si>
    <t>HL (E, PF)</t>
  </si>
  <si>
    <t>https://www.aesindiana.com/sites/aesvault.com/files/2024-05/Rate-HL-High-Load-Factor--Primary-Distrib-Sub-Trans-and-Trans-Voltages-45911-Effective-05-09-24.pdf#page=2</t>
  </si>
  <si>
    <t>Billing Period Message</t>
  </si>
  <si>
    <t>You are using the correct bill calculator. Please enter your billing information below.</t>
  </si>
  <si>
    <t xml:space="preserve">Please check the dates you entered. The dates you entered are valid for the </t>
  </si>
  <si>
    <t xml:space="preserve">billing cycle. If valid, please use AES Indiana's </t>
  </si>
  <si>
    <t>monthly bill calculator to calculate your bill for the dates entered.</t>
  </si>
  <si>
    <t>Billing Period Verification</t>
  </si>
  <si>
    <t>1 Billing Periods</t>
  </si>
  <si>
    <t>20 Billing Periods</t>
  </si>
  <si>
    <t>Verification</t>
  </si>
  <si>
    <t>Month</t>
  </si>
  <si>
    <t>Start</t>
  </si>
  <si>
    <t>End</t>
  </si>
  <si>
    <t>Count</t>
  </si>
  <si>
    <t>Message</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</si>
  <si>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</si>
  <si>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</si>
  <si>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</si>
  <si>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</si>
  <si>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</si>
  <si>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</si>
  <si>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</si>
  <si>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</si>
  <si>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</si>
  <si>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</si>
  <si>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</si>
  <si>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</si>
  <si>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</si>
  <si>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</si>
  <si>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</si>
  <si>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</si>
  <si>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</si>
  <si>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</si>
  <si>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</si>
  <si>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</si>
  <si>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</si>
  <si>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</si>
  <si>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</si>
  <si>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</si>
  <si>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</si>
  <si>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</si>
  <si>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March 2026</t>
  </si>
  <si>
    <t>April 2026</t>
  </si>
  <si>
    <t>May 2026</t>
  </si>
  <si>
    <t>June 2026</t>
  </si>
  <si>
    <t>July 2026</t>
  </si>
  <si>
    <t>August 2026</t>
  </si>
  <si>
    <t>September 2026</t>
  </si>
  <si>
    <t>October 2026</t>
  </si>
  <si>
    <t>November 2026</t>
  </si>
  <si>
    <t>December 2026</t>
  </si>
  <si>
    <t>January 2027</t>
  </si>
  <si>
    <t>February 2027</t>
  </si>
  <si>
    <t>March 2027</t>
  </si>
  <si>
    <t>April 2027</t>
  </si>
  <si>
    <t>May 2027</t>
  </si>
  <si>
    <t>June 2027</t>
  </si>
  <si>
    <t>July 2027</t>
  </si>
  <si>
    <t>August 2027</t>
  </si>
  <si>
    <t>September 2027</t>
  </si>
  <si>
    <t>October 2027</t>
  </si>
  <si>
    <t>November 2027</t>
  </si>
  <si>
    <t>December 2027</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</si>
  <si>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</si>
  <si>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</si>
  <si>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</si>
  <si>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</si>
  <si>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</si>
  <si>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</si>
  <si>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</si>
  <si>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</si>
  <si>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</si>
  <si>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</si>
  <si>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</si>
  <si>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</si>
  <si>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</si>
  <si>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</si>
  <si>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</si>
  <si>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</si>
  <si>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</si>
  <si>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</si>
  <si>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</si>
  <si>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</si>
  <si>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Year</t>
  </si>
  <si>
    <t>Do not delete -&gt;</t>
  </si>
  <si>
    <t>Monthly Bill Calculator</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</si>
  <si>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</si>
  <si>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</si>
  <si>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</si>
  <si>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</si>
  <si>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</si>
  <si>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</si>
  <si>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</si>
  <si>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</si>
  <si>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</si>
  <si>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</si>
  <si>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</si>
  <si>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</si>
  <si>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</si>
  <si>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</si>
  <si>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</si>
  <si>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</si>
  <si>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Opt-Out 24</t>
  </si>
  <si>
    <t>Opt-Out 25</t>
  </si>
  <si>
    <t>Opt-Out 26</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</si>
  <si>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</si>
  <si>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</si>
  <si>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</si>
  <si>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</si>
  <si>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</si>
  <si>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</si>
  <si>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</si>
  <si>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</si>
  <si>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</si>
  <si>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</si>
  <si>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</si>
  <si>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</si>
  <si>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</si>
  <si>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</si>
  <si>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</si>
  <si>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</si>
  <si>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</si>
  <si>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</si>
  <si>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</si>
  <si>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</si>
  <si>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</si>
  <si>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7</t>
  </si>
  <si>
    <t>opt out 8</t>
  </si>
  <si>
    <t>opt out 9</t>
  </si>
  <si>
    <t>opt out 0</t>
  </si>
  <si>
    <t>opt out 1</t>
  </si>
  <si>
    <t>opt out 2</t>
  </si>
  <si>
    <t>opt out 3</t>
  </si>
  <si>
    <t>opt out 4</t>
  </si>
  <si>
    <t>opt out 5</t>
  </si>
  <si>
    <t>opt out 6</t>
  </si>
  <si>
    <t>1st 5000</t>
  </si>
  <si>
    <t>Over 5000</t>
  </si>
  <si>
    <t>10% GP</t>
  </si>
  <si>
    <t>SS7</t>
  </si>
  <si>
    <t>SS8</t>
  </si>
  <si>
    <t>SS9</t>
  </si>
  <si>
    <t>SS0</t>
  </si>
  <si>
    <t>SS1</t>
  </si>
  <si>
    <t>SS2</t>
  </si>
  <si>
    <t>SS3</t>
  </si>
  <si>
    <t>SS4</t>
  </si>
  <si>
    <t>SS5</t>
  </si>
  <si>
    <t>SS6</t>
  </si>
  <si>
    <t>Total Demand</t>
  </si>
  <si>
    <t>ALL</t>
  </si>
  <si>
    <t>SH7</t>
  </si>
  <si>
    <t>SH8</t>
  </si>
  <si>
    <t>SH9</t>
  </si>
  <si>
    <t>SH0</t>
  </si>
  <si>
    <t>SH1</t>
  </si>
  <si>
    <t>SH2</t>
  </si>
  <si>
    <t>SH3</t>
  </si>
  <si>
    <t>SH4</t>
  </si>
  <si>
    <t>SH5</t>
  </si>
  <si>
    <t>SH6</t>
  </si>
  <si>
    <t>Connected</t>
  </si>
  <si>
    <t>Load</t>
  </si>
  <si>
    <t>Over Conn.</t>
  </si>
  <si>
    <t>SE7</t>
  </si>
  <si>
    <t>SE8</t>
  </si>
  <si>
    <t>SE9</t>
  </si>
  <si>
    <t>SE0</t>
  </si>
  <si>
    <t>SE1</t>
  </si>
  <si>
    <t>SE2</t>
  </si>
  <si>
    <t>SE3</t>
  </si>
  <si>
    <t>SE4</t>
  </si>
  <si>
    <t>SE5</t>
  </si>
  <si>
    <t>SE6</t>
  </si>
  <si>
    <t>kW</t>
  </si>
  <si>
    <t>per KW</t>
  </si>
  <si>
    <t>Min Demand</t>
  </si>
  <si>
    <t>Multiplier</t>
  </si>
  <si>
    <t>Power</t>
  </si>
  <si>
    <t>Energy</t>
  </si>
  <si>
    <t>Factor</t>
  </si>
  <si>
    <t>Input Demand</t>
  </si>
  <si>
    <t>First 500</t>
  </si>
  <si>
    <t xml:space="preserve">Factor </t>
  </si>
  <si>
    <t>SL7</t>
  </si>
  <si>
    <t>SL8</t>
  </si>
  <si>
    <t>SL9</t>
  </si>
  <si>
    <t>SL0</t>
  </si>
  <si>
    <t>SL1</t>
  </si>
  <si>
    <t>SL2</t>
  </si>
  <si>
    <t>SL3</t>
  </si>
  <si>
    <t>SL4</t>
  </si>
  <si>
    <t>SL5</t>
  </si>
  <si>
    <t>SL6</t>
  </si>
  <si>
    <t>KW</t>
  </si>
  <si>
    <t>PF</t>
  </si>
  <si>
    <t>First 2000</t>
  </si>
  <si>
    <t>Over 2000</t>
  </si>
  <si>
    <t>PL7</t>
  </si>
  <si>
    <t>PL8</t>
  </si>
  <si>
    <t>PL9</t>
  </si>
  <si>
    <t>PL0</t>
  </si>
  <si>
    <t>PL1</t>
  </si>
  <si>
    <t>PL2</t>
  </si>
  <si>
    <t>PL3</t>
  </si>
  <si>
    <t>PL4</t>
  </si>
  <si>
    <t>PL5</t>
  </si>
  <si>
    <t>PL6</t>
  </si>
  <si>
    <t>Demand</t>
  </si>
  <si>
    <t>Input Total</t>
  </si>
  <si>
    <t>Minimum?</t>
  </si>
  <si>
    <t>1st</t>
  </si>
  <si>
    <t>Over</t>
  </si>
  <si>
    <t>PH7</t>
  </si>
  <si>
    <t>PH8</t>
  </si>
  <si>
    <t>PH9</t>
  </si>
  <si>
    <t>PH0</t>
  </si>
  <si>
    <t>PH1</t>
  </si>
  <si>
    <t>PH2</t>
  </si>
  <si>
    <t>PH3</t>
  </si>
  <si>
    <t>PH4</t>
  </si>
  <si>
    <t>PH5</t>
  </si>
  <si>
    <t>PH6</t>
  </si>
  <si>
    <t>First 4000</t>
  </si>
  <si>
    <t>Over 4000</t>
  </si>
  <si>
    <t>HL17</t>
  </si>
  <si>
    <t>HL18</t>
  </si>
  <si>
    <t>HL19</t>
  </si>
  <si>
    <t>HL10</t>
  </si>
  <si>
    <t>HL11</t>
  </si>
  <si>
    <t>HL12</t>
  </si>
  <si>
    <t>HL13</t>
  </si>
  <si>
    <t>HL14</t>
  </si>
  <si>
    <t>HL15</t>
  </si>
  <si>
    <t>HL16</t>
  </si>
  <si>
    <t>HL27</t>
  </si>
  <si>
    <t>HL28</t>
  </si>
  <si>
    <t>HL29</t>
  </si>
  <si>
    <t>HL20</t>
  </si>
  <si>
    <t>HL21</t>
  </si>
  <si>
    <t>HL22</t>
  </si>
  <si>
    <t>HL23</t>
  </si>
  <si>
    <t>HL24</t>
  </si>
  <si>
    <t>HL25</t>
  </si>
  <si>
    <t>HL26</t>
  </si>
  <si>
    <t>HL37</t>
  </si>
  <si>
    <t>HL38</t>
  </si>
  <si>
    <t>HL39</t>
  </si>
  <si>
    <t>HL30</t>
  </si>
  <si>
    <t>HL31</t>
  </si>
  <si>
    <t>HL32</t>
  </si>
  <si>
    <t>HL33</t>
  </si>
  <si>
    <t>HL34</t>
  </si>
  <si>
    <t>HL35</t>
  </si>
  <si>
    <t>HL36</t>
  </si>
  <si>
    <t>Opt Out 8</t>
  </si>
  <si>
    <t>HL47</t>
  </si>
  <si>
    <t>HL48</t>
  </si>
  <si>
    <t>HL49</t>
  </si>
  <si>
    <t>HL40</t>
  </si>
  <si>
    <t>HL41</t>
  </si>
  <si>
    <t>HL42</t>
  </si>
  <si>
    <t>HL43</t>
  </si>
  <si>
    <t>HL44</t>
  </si>
  <si>
    <t>HL45</t>
  </si>
  <si>
    <t>HL46</t>
  </si>
  <si>
    <t>Sept</t>
  </si>
  <si>
    <t>Dec</t>
  </si>
  <si>
    <t>Jun</t>
  </si>
  <si>
    <t>Jul</t>
  </si>
  <si>
    <t>Aug</t>
  </si>
  <si>
    <t>Sep</t>
  </si>
  <si>
    <t>Oct</t>
  </si>
  <si>
    <t>Nov</t>
  </si>
  <si>
    <t>Jan</t>
  </si>
  <si>
    <t>Feb</t>
  </si>
  <si>
    <t>Mar</t>
  </si>
  <si>
    <t>Apr</t>
  </si>
  <si>
    <t>Cycle</t>
  </si>
  <si>
    <t>Read</t>
  </si>
  <si>
    <t>Check</t>
  </si>
  <si>
    <t>Regular (+1 workday)</t>
  </si>
  <si>
    <t>(a)</t>
  </si>
  <si>
    <t>(b)</t>
  </si>
  <si>
    <t>(c)</t>
  </si>
  <si>
    <t>(d)</t>
  </si>
  <si>
    <t>Demand (+2 workdays)</t>
  </si>
  <si>
    <t xml:space="preserve"> (no accounts)</t>
  </si>
  <si>
    <t>Holidays</t>
  </si>
  <si>
    <t>Check for 0.0000</t>
  </si>
  <si>
    <t>ACLM rate in Oct</t>
  </si>
  <si>
    <t>Large C&amp;I (SL, 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</si>
</sst>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6">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17" fontId="0" fillId="0" borderId="0" xfId="0" quotePrefix="1" applyNumberFormat="1"/>
    <xf numFmtId="0" fontId="0" fillId="0" borderId="0" xfId="0" quotePrefix="1"/>
    <xf numFmtId="0" fontId="3" fillId="0" borderId="13" xfId="0" applyFont="1" applyBorder="1"/>
    <xf numFmtId="164" fontId="3" fillId="0" borderId="14" xfId="1" applyNumberFormat="1" applyFont="1" applyBorder="1"/>
    <xf numFmtId="164" fontId="3" fillId="0" borderId="15" xfId="1" applyNumberFormat="1" applyFont="1" applyBorder="1"/>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22" fillId="0" borderId="0" xfId="0" applyFont="1" applyAlignment="1" applyProtection="1">
      <alignment horizontal="left" vertical="center" wrapText="1" indent="26"/>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75" x14ac:dyDescent="0.2"/>
  <cols>
    <col min="1" max="1" width="11.85546875" customWidth="1"/>
    <col min="2" max="2" width="56.5703125" customWidth="1"/>
    <col min="3" max="3" width="12.7109375" customWidth="1"/>
    <col min="4" max="4" width="23.7109375" customWidth="1"/>
  </cols>
  <sheetData>
    <row r="1" spans="1:4" ht="15.75" customHeight="1" x14ac:dyDescent="0.2">
      <c r="A1" s="187"/>
      <c r="B1" s="265" t="str">
        <f>'Calc. April 2026'!B2</f>
        <v>April 2026 Monthly Bill Calculator</v>
      </c>
      <c r="C1" s="265"/>
      <c r="D1" s="265"/>
    </row>
    <row r="2" spans="1:4" ht="12.6" customHeight="1" x14ac:dyDescent="0.2">
      <c r="A2" s="187"/>
      <c r="B2" s="265"/>
      <c r="C2" s="265"/>
      <c r="D2" s="265"/>
    </row>
    <row r="3" spans="1:4" ht="12.6" customHeight="1" x14ac:dyDescent="0.2">
      <c r="A3" s="187"/>
      <c r="B3" s="265"/>
      <c r="C3" s="265"/>
      <c r="D3" s="265"/>
    </row>
    <row r="4" spans="1:4" x14ac:dyDescent="0.2">
      <c r="A4" s="187"/>
      <c r="B4" s="187"/>
      <c r="C4" s="187"/>
      <c r="D4" s="187"/>
    </row>
    <row r="5" spans="1:4" ht="12.75" customHeight="1" x14ac:dyDescent="0.2">
      <c r="A5" s="218" t="s">
        <v>0</v>
      </c>
      <c r="B5" s="219"/>
      <c r="C5" s="219"/>
      <c r="D5" s="220"/>
    </row>
    <row r="6" spans="1:4" ht="12.6" customHeight="1" x14ac:dyDescent="0.2">
      <c r="A6" s="221" t="s">
        <v>1</v>
      </c>
      <c r="B6" s="222"/>
      <c r="C6" s="222"/>
      <c r="D6" s="223"/>
    </row>
    <row r="7" spans="1:4" x14ac:dyDescent="0.2">
      <c r="A7" s="224"/>
      <c r="B7" s="225"/>
      <c r="C7" s="225"/>
      <c r="D7" s="226"/>
    </row>
    <row r="8" spans="1:4" x14ac:dyDescent="0.2">
      <c r="A8" s="235" t="s">
        <v>2</v>
      </c>
      <c r="B8" s="236"/>
      <c r="C8" s="236"/>
      <c r="D8" s="237"/>
    </row>
    <row r="9" spans="1:4" x14ac:dyDescent="0.2">
      <c r="A9" s="198"/>
      <c r="B9" s="199"/>
      <c r="C9" s="199"/>
      <c r="D9" s="199"/>
    </row>
    <row r="10" spans="1:4" ht="12.6" customHeight="1" x14ac:dyDescent="0.2">
      <c r="A10" s="196" t="s">
        <v>3</v>
      </c>
      <c r="B10" s="214" t="s">
        <v>4</v>
      </c>
      <c r="C10" s="214"/>
      <c r="D10" s="215"/>
    </row>
    <row r="11" spans="1:4" x14ac:dyDescent="0.2">
      <c r="A11" s="197" t="s">
        <v>5</v>
      </c>
      <c r="B11" s="234" t="s">
        <v>6</v>
      </c>
      <c r="C11" s="234"/>
      <c r="D11" s="134"/>
    </row>
    <row r="12" spans="1:4" x14ac:dyDescent="0.2">
      <c r="A12" s="197" t="s">
        <v>7</v>
      </c>
      <c r="B12" s="217" t="s">
        <v>8</v>
      </c>
      <c r="C12" s="217"/>
      <c r="D12" s="134"/>
    </row>
    <row r="13" spans="1:4" ht="12.6" customHeight="1" x14ac:dyDescent="0.2">
      <c r="A13" s="228">
        <f>VLOOKUP("X",Inputs!G34:P86,9,FALSE)</f>
        <v>0</v>
      </c>
      <c r="B13" s="229"/>
      <c r="C13" s="229"/>
      <c r="D13" s="230"/>
    </row>
    <row r="14" spans="1:4" x14ac:dyDescent="0.2">
      <c r="A14" s="231"/>
      <c r="B14" s="232"/>
      <c r="C14" s="232"/>
      <c r="D14" s="233"/>
    </row>
    <row r="15" spans="1:4" x14ac:dyDescent="0.2">
      <c r="A15" s="187"/>
      <c r="B15" s="187"/>
      <c r="C15" s="187"/>
      <c r="D15" s="187"/>
    </row>
    <row r="16" spans="1:4" ht="12.75" customHeight="1" x14ac:dyDescent="0.2">
      <c r="A16" s="196" t="s">
        <v>3</v>
      </c>
      <c r="B16" s="214" t="s">
        <v>9</v>
      </c>
      <c r="C16" s="214"/>
      <c r="D16" s="215"/>
    </row>
    <row r="17" spans="1:4" x14ac:dyDescent="0.2">
      <c r="A17" s="194" t="s">
        <v>10</v>
      </c>
      <c r="B17" s="217" t="s">
        <v>11</v>
      </c>
      <c r="C17" s="217"/>
      <c r="D17" s="133" t="s">
        <v>12</v>
      </c>
    </row>
    <row r="18" spans="1:4" ht="12.75" customHeight="1" x14ac:dyDescent="0.2">
      <c r="A18" s="194" t="s">
        <v>13</v>
      </c>
      <c r="B18" s="216" t="s">
        <v>14</v>
      </c>
      <c r="C18" s="216"/>
      <c r="D18" s="127" t="s">
        <v>15</v>
      </c>
    </row>
    <row r="19" spans="1:4" x14ac:dyDescent="0.2">
      <c r="A19" s="194" t="s">
        <v>16</v>
      </c>
      <c r="B19" s="216" t="s">
        <v>17</v>
      </c>
      <c r="C19" s="216"/>
      <c r="D19" s="128"/>
    </row>
    <row r="20" spans="1:4" x14ac:dyDescent="0.2">
      <c r="A20" s="194" t="s">
        <v>18</v>
      </c>
      <c r="B20" s="216" t="s">
        <v>19</v>
      </c>
      <c r="C20" s="216"/>
      <c r="D20" s="172" t="s">
        <v>15</v>
      </c>
    </row>
    <row r="21" spans="1:4" x14ac:dyDescent="0.2">
      <c r="A21" s="194" t="s">
        <v>20</v>
      </c>
      <c r="B21" s="217" t="s">
        <v>21</v>
      </c>
      <c r="C21" s="217"/>
      <c r="D21" s="174"/>
    </row>
    <row r="22" spans="1:4" ht="12.75" customHeight="1" x14ac:dyDescent="0.2">
      <c r="A22" s="194" t="s">
        <v>22</v>
      </c>
      <c r="B22" s="216" t="s">
        <v>23</v>
      </c>
      <c r="C22" s="216"/>
      <c r="D22" s="131"/>
    </row>
    <row r="23" spans="1:4" ht="13.5" customHeight="1" x14ac:dyDescent="0.2">
      <c r="A23" s="195" t="s">
        <v>24</v>
      </c>
      <c r="B23" s="227" t="s">
        <v>25</v>
      </c>
      <c r="C23" s="227"/>
      <c r="D23" s="129"/>
    </row>
    <row r="24" spans="1:4" x14ac:dyDescent="0.2">
      <c r="A24" s="177"/>
      <c r="B24" s="177"/>
      <c r="C24" s="177"/>
      <c r="D24" s="177"/>
    </row>
    <row r="25" spans="1:4" x14ac:dyDescent="0.2">
      <c r="A25" s="205" t="s">
        <v>26</v>
      </c>
      <c r="B25" s="206"/>
      <c r="C25" s="178" t="s">
        <v>27</v>
      </c>
      <c r="D25" s="179" t="s">
        <v>28</v>
      </c>
    </row>
    <row r="26" spans="1:4" x14ac:dyDescent="0.2">
      <c r="A26" s="211" t="s">
        <v>29</v>
      </c>
      <c r="B26" s="212"/>
      <c r="C26" s="212"/>
      <c r="D26" s="213"/>
    </row>
    <row r="27" spans="1:4" x14ac:dyDescent="0.2">
      <c r="A27" s="207" t="s">
        <v>30</v>
      </c>
      <c r="B27" s="208"/>
      <c r="C27" s="182"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3" t="e">
        <f>VLOOKUP($D$19,'Calc. April 2026'!$B$47:$AB$1403,13,FALSE)</f>
        <v>#N/A</v>
      </c>
    </row>
    <row r="28" spans="1:4" x14ac:dyDescent="0.2">
      <c r="A28" s="207" t="s">
        <v>31</v>
      </c>
      <c r="B28" s="208"/>
      <c r="C28" s="182"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3" t="e">
        <f>VLOOKUP($D$19,'Calc. April 2026'!$B$47:$AB$1403,9,FALSE)</f>
        <v>#N/A</v>
      </c>
    </row>
    <row r="29" spans="1:4" x14ac:dyDescent="0.2">
      <c r="A29" s="207" t="s">
        <v>32</v>
      </c>
      <c r="B29" s="208"/>
      <c r="C29" s="182" t="e" cm="1">
        <f t="array" ref="C29">_xlfn.IFS($D$17="SL",HYPERLINK(Inputs!$J$14,"SL"),$D$17="PL",HYPERLINK(Inputs!$J$16,"PL"),$D$17="PH",HYPERLINK(Inputs!$J$18,"PH"),$D$17="HL1",HYPERLINK(Inputs!$J$20,"HL1"),$D$17="HL2",HYPERLINK(Inputs!$J$20,"HL2"),$D$17="HL3",HYPERLINK(Inputs!$J$20,"HL3"),$D$17="HL4",HYPERLINK(Inputs!$J$21,"HL4"))</f>
        <v>#N/A</v>
      </c>
      <c r="D29" s="183" t="e">
        <f>VLOOKUP($D$19,'Calc. April 2026'!$B$46:$AB$1403,16,FALSE)</f>
        <v>#N/A</v>
      </c>
    </row>
    <row r="30" spans="1:4" x14ac:dyDescent="0.2">
      <c r="A30" s="207" t="s">
        <v>33</v>
      </c>
      <c r="B30" s="208"/>
      <c r="C30" s="182" t="e" cm="1">
        <f t="array" ref="C30">_xlfn.IFS($D$17="SL",HYPERLINK(Inputs!$J$15,"SL"),$D$17="PL",HYPERLINK(Inputs!$J$17,"PL"),$D$17="PH",HYPERLINK(Inputs!$J$19,"PH"),$D$17="HL1",HYPERLINK(Inputs!$J$21,"HL1"),$D$17="HL2",HYPERLINK(Inputs!$J$21,"HL2"),$D$17="HL3",HYPERLINK(Inputs!$J$21,"HL3"),$D$17="HL4",HYPERLINK(Inputs!$J$21,"HL4"))</f>
        <v>#N/A</v>
      </c>
      <c r="D30" s="183" t="e">
        <f>VLOOKUP($D$19,'Calc. April 2026'!$B$46:$AB$1403,17,FALSE)</f>
        <v>#N/A</v>
      </c>
    </row>
    <row r="31" spans="1:4" x14ac:dyDescent="0.2">
      <c r="A31" s="211" t="s">
        <v>34</v>
      </c>
      <c r="B31" s="212"/>
      <c r="C31" s="212"/>
      <c r="D31" s="213"/>
    </row>
    <row r="32" spans="1:4" x14ac:dyDescent="0.2">
      <c r="A32" s="207" t="s">
        <v>35</v>
      </c>
      <c r="B32" s="208"/>
      <c r="C32" s="184" t="s">
        <v>36</v>
      </c>
      <c r="D32" s="183" t="e">
        <f>VLOOKUP($D$19,'Calc. April 2026'!$B$47:$AB$1403,18,FALSE)</f>
        <v>#N/A</v>
      </c>
    </row>
    <row r="33" spans="1:4" x14ac:dyDescent="0.2">
      <c r="A33" s="207" t="s">
        <v>37</v>
      </c>
      <c r="B33" s="208"/>
      <c r="C33" s="184" t="s">
        <v>38</v>
      </c>
      <c r="D33" s="183" t="e">
        <f>VLOOKUP($D$19,'Calc. April 2026'!$B$47:$AB$1403,19,FALSE)</f>
        <v>#N/A</v>
      </c>
    </row>
    <row r="34" spans="1:4" ht="26.25" customHeight="1" x14ac:dyDescent="0.2">
      <c r="A34" s="209" t="s">
        <v>39</v>
      </c>
      <c r="B34" s="210"/>
      <c r="C34" s="184" t="s">
        <v>40</v>
      </c>
      <c r="D34" s="185" t="e">
        <f>VLOOKUP($D$19,'Calc. April 2026'!$B$47:$AB$1403,20,FALSE)</f>
        <v>#N/A</v>
      </c>
    </row>
    <row r="35" spans="1:4" x14ac:dyDescent="0.2">
      <c r="A35" s="207" t="s">
        <v>41</v>
      </c>
      <c r="B35" s="208"/>
      <c r="C35" s="184" t="s">
        <v>42</v>
      </c>
      <c r="D35" s="183" t="e">
        <f>VLOOKUP($D$19,'Calc. April 2026'!$B$47:$AB$1403,21,FALSE)</f>
        <v>#N/A</v>
      </c>
    </row>
    <row r="36" spans="1:4" x14ac:dyDescent="0.2">
      <c r="A36" s="209" t="s">
        <v>43</v>
      </c>
      <c r="B36" s="210"/>
      <c r="C36" s="184" t="s">
        <v>44</v>
      </c>
      <c r="D36" s="183" t="e">
        <f>VLOOKUP($D$19,'Calc. April 2026'!$B$47:$AB$1403,23,FALSE)</f>
        <v>#N/A</v>
      </c>
    </row>
    <row r="37" spans="1:4" x14ac:dyDescent="0.2">
      <c r="A37" s="207" t="s">
        <v>45</v>
      </c>
      <c r="B37" s="208"/>
      <c r="C37" s="184" t="s">
        <v>46</v>
      </c>
      <c r="D37" s="183" t="e">
        <f>VLOOKUP($D$19,'Calc. April 2026'!$B$47:$AB$1403,24,FALSE)</f>
        <v>#N/A</v>
      </c>
    </row>
    <row r="38" spans="1:4" x14ac:dyDescent="0.2">
      <c r="A38" s="207" t="s">
        <v>47</v>
      </c>
      <c r="B38" s="208"/>
      <c r="C38" s="184" t="s">
        <v>48</v>
      </c>
      <c r="D38" s="183" t="e">
        <f>VLOOKUP($D$19,'Calc. April 2026'!$B$47:$AB$1403,25,FALSE)</f>
        <v>#N/A</v>
      </c>
    </row>
    <row r="39" spans="1:4" x14ac:dyDescent="0.2">
      <c r="A39" s="207" t="s">
        <v>49</v>
      </c>
      <c r="B39" s="208"/>
      <c r="C39" s="184" t="s">
        <v>50</v>
      </c>
      <c r="D39" s="186" t="e">
        <f>VLOOKUP($D$19,'Calc. April 2026'!$B$47:$AB$1403,26,FALSE)</f>
        <v>#N/A</v>
      </c>
    </row>
    <row r="40" spans="1:4" x14ac:dyDescent="0.2">
      <c r="A40" s="248" t="s">
        <v>51</v>
      </c>
      <c r="B40" s="249"/>
      <c r="C40" s="187"/>
      <c r="D40" s="188" t="e">
        <f>VLOOKUP($D$19,'Calc. April 2026'!$B$47:$AB$1403,6,FALSE)</f>
        <v>#N/A</v>
      </c>
    </row>
    <row r="41" spans="1:4" x14ac:dyDescent="0.2">
      <c r="A41" s="250" t="s">
        <v>52</v>
      </c>
      <c r="B41" s="251"/>
      <c r="C41" s="189"/>
      <c r="D41" s="190" t="e">
        <f>D40*0.07</f>
        <v>#N/A</v>
      </c>
    </row>
    <row r="42" spans="1:4" x14ac:dyDescent="0.2">
      <c r="A42" s="252" t="s">
        <v>53</v>
      </c>
      <c r="B42" s="253"/>
      <c r="C42" s="191"/>
      <c r="D42" s="192" t="e">
        <f>SUM(D40:D41)</f>
        <v>#N/A</v>
      </c>
    </row>
    <row r="43" spans="1:4" x14ac:dyDescent="0.2">
      <c r="A43" s="180"/>
      <c r="B43" s="181"/>
      <c r="C43" s="189"/>
      <c r="D43" s="193"/>
    </row>
    <row r="44" spans="1:4" x14ac:dyDescent="0.2">
      <c r="A44" s="238" t="s">
        <v>54</v>
      </c>
      <c r="B44" s="214"/>
      <c r="C44" s="214"/>
      <c r="D44" s="215"/>
    </row>
    <row r="45" spans="1:4" x14ac:dyDescent="0.2">
      <c r="A45" s="239" t="s">
        <v>55</v>
      </c>
      <c r="B45" s="240"/>
      <c r="C45" s="240"/>
      <c r="D45" s="241"/>
    </row>
    <row r="46" spans="1:4" x14ac:dyDescent="0.2">
      <c r="A46" s="242"/>
      <c r="B46" s="243"/>
      <c r="C46" s="243"/>
      <c r="D46" s="244"/>
    </row>
    <row r="47" spans="1:4" x14ac:dyDescent="0.2">
      <c r="A47" s="242"/>
      <c r="B47" s="243"/>
      <c r="C47" s="243"/>
      <c r="D47" s="244"/>
    </row>
    <row r="48" spans="1:4" x14ac:dyDescent="0.2">
      <c r="A48" s="242"/>
      <c r="B48" s="243"/>
      <c r="C48" s="243"/>
      <c r="D48" s="244"/>
    </row>
    <row r="49" spans="1:4" x14ac:dyDescent="0.2">
      <c r="A49" s="242"/>
      <c r="B49" s="243"/>
      <c r="C49" s="243"/>
      <c r="D49" s="244"/>
    </row>
    <row r="50" spans="1:4" x14ac:dyDescent="0.2">
      <c r="A50" s="242"/>
      <c r="B50" s="243"/>
      <c r="C50" s="243"/>
      <c r="D50" s="244"/>
    </row>
    <row r="51" spans="1:4" ht="16.5" customHeight="1" x14ac:dyDescent="0.2">
      <c r="A51" s="245"/>
      <c r="B51" s="246"/>
      <c r="C51" s="246"/>
      <c r="D51" s="247"/>
    </row>
  </sheetData>
  <sheetProtection algorithmName="SHA-512" hashValue="GoSFXWLirtXLuelBbKebz072FtEHICgMZ+O2k0BtAbaDx5HSAi0Fr0nAoxoQwi+66Wf5YgmQDxt4dIhDoQzfDQ==" saltValue="p6aZJfWBBTZno7rNfp9LzA=="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0"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59" workbookViewId="0">
      <selection activeCell="K1" sqref="K1"/>
    </sheetView>
  </sheetViews>
  <sheetFormatPr defaultRowHeight="12.75" x14ac:dyDescent="0.2"/>
  <cols>
    <col min="2" max="2" width="15.42578125" customWidth="1"/>
    <col min="3" max="3" width="1.42578125" hidden="1" customWidth="1"/>
    <col min="4" max="4" width="0.5703125" customWidth="1"/>
    <col min="5" max="5" width="0.28515625" hidden="1" customWidth="1"/>
    <col min="6"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12</v>
      </c>
      <c r="I2" s="254" t="s">
        <v>56</v>
      </c>
      <c r="J2" s="254"/>
    </row>
    <row r="3" spans="3:10" x14ac:dyDescent="0.2">
      <c r="G3" s="130" t="s">
        <v>57</v>
      </c>
      <c r="I3" s="130" t="s">
        <v>58</v>
      </c>
      <c r="J3" s="124" t="s">
        <v>59</v>
      </c>
    </row>
    <row r="4" spans="3:10" x14ac:dyDescent="0.2">
      <c r="G4" s="130" t="s">
        <v>60</v>
      </c>
      <c r="I4" s="124"/>
    </row>
    <row r="5" spans="3:10" x14ac:dyDescent="0.2">
      <c r="C5" t="s">
        <v>61</v>
      </c>
      <c r="G5" s="130" t="s">
        <v>62</v>
      </c>
    </row>
    <row r="6" spans="3:10" x14ac:dyDescent="0.2">
      <c r="C6" t="s">
        <v>63</v>
      </c>
      <c r="G6" s="130" t="s">
        <v>64</v>
      </c>
    </row>
    <row r="7" spans="3:10" ht="13.5" thickBot="1" x14ac:dyDescent="0.25">
      <c r="C7" t="s">
        <v>65</v>
      </c>
      <c r="G7" s="130" t="s">
        <v>66</v>
      </c>
      <c r="I7" s="254" t="s">
        <v>67</v>
      </c>
      <c r="J7" s="254"/>
    </row>
    <row r="8" spans="3:10" x14ac:dyDescent="0.2">
      <c r="C8" t="s">
        <v>68</v>
      </c>
      <c r="G8" s="130" t="s">
        <v>69</v>
      </c>
      <c r="I8" s="130" t="s">
        <v>64</v>
      </c>
      <c r="J8" t="s">
        <v>70</v>
      </c>
    </row>
    <row r="9" spans="3:10" x14ac:dyDescent="0.2">
      <c r="C9" t="s">
        <v>71</v>
      </c>
      <c r="G9" s="130" t="s">
        <v>72</v>
      </c>
      <c r="I9" s="130" t="s">
        <v>66</v>
      </c>
      <c r="J9" t="s">
        <v>73</v>
      </c>
    </row>
    <row r="10" spans="3:10" x14ac:dyDescent="0.2">
      <c r="C10" t="s">
        <v>74</v>
      </c>
      <c r="G10" s="130" t="s">
        <v>75</v>
      </c>
      <c r="I10" s="130" t="s">
        <v>69</v>
      </c>
      <c r="J10" s="124" t="s">
        <v>76</v>
      </c>
    </row>
    <row r="11" spans="3:10" x14ac:dyDescent="0.2">
      <c r="C11" t="s">
        <v>77</v>
      </c>
      <c r="G11" s="130" t="s">
        <v>78</v>
      </c>
      <c r="I11" s="130" t="s">
        <v>72</v>
      </c>
      <c r="J11" s="124" t="s">
        <v>79</v>
      </c>
    </row>
    <row r="12" spans="3:10" x14ac:dyDescent="0.2">
      <c r="C12" t="s">
        <v>80</v>
      </c>
      <c r="G12" s="130" t="s">
        <v>81</v>
      </c>
      <c r="I12" s="130" t="s">
        <v>75</v>
      </c>
      <c r="J12" s="124" t="s">
        <v>79</v>
      </c>
    </row>
    <row r="13" spans="3:10" x14ac:dyDescent="0.2">
      <c r="C13" t="s">
        <v>82</v>
      </c>
      <c r="G13" s="130" t="s">
        <v>83</v>
      </c>
      <c r="I13" s="130" t="s">
        <v>78</v>
      </c>
      <c r="J13" t="s">
        <v>84</v>
      </c>
    </row>
    <row r="14" spans="3:10" x14ac:dyDescent="0.2">
      <c r="C14" t="s">
        <v>85</v>
      </c>
      <c r="G14" s="130" t="s">
        <v>86</v>
      </c>
      <c r="I14" s="130" t="s">
        <v>87</v>
      </c>
      <c r="J14" t="s">
        <v>88</v>
      </c>
    </row>
    <row r="15" spans="3:10" x14ac:dyDescent="0.2">
      <c r="C15" t="s">
        <v>89</v>
      </c>
      <c r="G15" s="130" t="s">
        <v>90</v>
      </c>
      <c r="I15" s="130" t="s">
        <v>91</v>
      </c>
      <c r="J15" s="124" t="s">
        <v>92</v>
      </c>
    </row>
    <row r="16" spans="3:10" x14ac:dyDescent="0.2">
      <c r="C16" t="s">
        <v>93</v>
      </c>
      <c r="G16" s="130" t="s">
        <v>94</v>
      </c>
      <c r="I16" s="130" t="s">
        <v>95</v>
      </c>
      <c r="J16" t="s">
        <v>96</v>
      </c>
    </row>
    <row r="17" spans="7:15" x14ac:dyDescent="0.2">
      <c r="G17" s="130" t="s">
        <v>97</v>
      </c>
      <c r="I17" s="130" t="s">
        <v>98</v>
      </c>
      <c r="J17" s="124" t="s">
        <v>99</v>
      </c>
    </row>
    <row r="18" spans="7:15" x14ac:dyDescent="0.2">
      <c r="G18" s="130" t="s">
        <v>100</v>
      </c>
      <c r="I18" s="130" t="s">
        <v>101</v>
      </c>
      <c r="J18" s="124" t="s">
        <v>102</v>
      </c>
    </row>
    <row r="19" spans="7:15" x14ac:dyDescent="0.2">
      <c r="I19" s="130" t="s">
        <v>103</v>
      </c>
      <c r="J19" s="124" t="s">
        <v>104</v>
      </c>
    </row>
    <row r="20" spans="7:15" x14ac:dyDescent="0.2">
      <c r="I20" s="130" t="s">
        <v>105</v>
      </c>
      <c r="J20" s="124" t="s">
        <v>106</v>
      </c>
    </row>
    <row r="21" spans="7:15" x14ac:dyDescent="0.2">
      <c r="I21" s="130" t="s">
        <v>107</v>
      </c>
      <c r="J21" s="124" t="s">
        <v>108</v>
      </c>
    </row>
    <row r="25" spans="7:15" x14ac:dyDescent="0.2">
      <c r="I25" s="130" t="s">
        <v>109</v>
      </c>
    </row>
    <row r="26" spans="7:15" x14ac:dyDescent="0.2">
      <c r="I26" s="130" t="s">
        <v>110</v>
      </c>
    </row>
    <row r="27" spans="7:15" x14ac:dyDescent="0.2">
      <c r="I27" s="130" t="s">
        <v>111</v>
      </c>
    </row>
    <row r="28" spans="7:15" x14ac:dyDescent="0.2">
      <c r="I28" t="s">
        <v>112</v>
      </c>
    </row>
    <row r="29" spans="7:15" x14ac:dyDescent="0.2">
      <c r="I29" s="130" t="s">
        <v>113</v>
      </c>
    </row>
    <row r="31" spans="7:15" ht="13.5" thickBot="1" x14ac:dyDescent="0.25">
      <c r="G31" s="254" t="s">
        <v>114</v>
      </c>
      <c r="H31" s="254"/>
      <c r="I31" s="254"/>
      <c r="J31" s="254"/>
      <c r="K31" s="254"/>
      <c r="L31" s="254"/>
      <c r="M31" s="254"/>
      <c r="N31" s="254"/>
      <c r="O31" s="254"/>
    </row>
    <row r="32" spans="7:15" ht="13.5" thickBot="1" x14ac:dyDescent="0.25">
      <c r="I32" s="255" t="s">
        <v>115</v>
      </c>
      <c r="J32" s="256"/>
      <c r="K32" s="257"/>
      <c r="L32" s="255" t="s">
        <v>116</v>
      </c>
      <c r="M32" s="256"/>
      <c r="N32" s="257"/>
    </row>
    <row r="33" spans="2:15" ht="25.5" customHeight="1" x14ac:dyDescent="0.2">
      <c r="G33" s="137" t="s">
        <v>117</v>
      </c>
      <c r="H33" s="137" t="s">
        <v>118</v>
      </c>
      <c r="I33" s="138" t="s">
        <v>119</v>
      </c>
      <c r="J33" s="137" t="s">
        <v>120</v>
      </c>
      <c r="K33" s="139" t="s">
        <v>121</v>
      </c>
      <c r="L33" s="137" t="s">
        <v>119</v>
      </c>
      <c r="M33" s="137" t="s">
        <v>120</v>
      </c>
      <c r="N33" s="139" t="s">
        <v>121</v>
      </c>
      <c r="O33" s="137" t="s">
        <v>122</v>
      </c>
    </row>
    <row r="34" spans="2:15" x14ac:dyDescent="0.2">
      <c r="B34" t="s">
        <v>123</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April 2026'!$D$9,Inputs!$I$26,Inputs!F34)</f>
        <v>Please check the dates you entered. The dates you entered are valid for the January 2024 billing cycle. If valid, please use AES Indiana's January 2024 monthly bill calculator to calculate your bill for the dates entered.</v>
      </c>
    </row>
    <row r="35" spans="2:15" x14ac:dyDescent="0.2">
      <c r="B35" t="s">
        <v>124</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April 2026'!$D$9,Inputs!$I$26,Inputs!F35)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
      <c r="B36" t="s">
        <v>125</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April 2026'!$D$9,Inputs!$I$26,Inputs!F36)</f>
        <v>Please check the dates you entered. The dates you entered are valid for the March 2024 billing cycle. If valid, please use AES Indiana's March 2024 monthly bill calculator to calculate your bill for the dates entered.</v>
      </c>
    </row>
    <row r="37" spans="2:15" x14ac:dyDescent="0.2">
      <c r="B37" t="s">
        <v>126</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April 2026'!$D$9,Inputs!$I$26,Inputs!F37)</f>
        <v>Please check the dates you entered. The dates you entered are valid for the April 2024 billing cycle. If valid, please use AES Indiana's April 2024 monthly bill calculator to calculate your bill for the dates entered.</v>
      </c>
    </row>
    <row r="38" spans="2:15" x14ac:dyDescent="0.2">
      <c r="B38" t="s">
        <v>127</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April 2026'!$D$9,Inputs!$I$26,Inputs!F38)</f>
        <v>Please check the dates you entered. The dates you entered are valid for the May 2024 billing cycle. If valid, please use AES Indiana's May 2024 monthly bill calculator to calculate your bill for the dates entered.</v>
      </c>
    </row>
    <row r="39" spans="2:15" x14ac:dyDescent="0.2">
      <c r="B39" t="s">
        <v>128</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April 2026'!$D$9,Inputs!$I$26,Inputs!F39)</f>
        <v>Please check the dates you entered. The dates you entered are valid for the June 2024 billing cycle. If valid, please use AES Indiana's June 2024 monthly bill calculator to calculate your bill for the dates entered.</v>
      </c>
    </row>
    <row r="40" spans="2:15" x14ac:dyDescent="0.2">
      <c r="B40" t="s">
        <v>129</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April 2026'!$D$9,Inputs!$I$26,Inputs!F40)</f>
        <v>Please check the dates you entered. The dates you entered are valid for the July 2024 billing cycle. If valid, please use AES Indiana's July 2024 monthly bill calculator to calculate your bill for the dates entered.</v>
      </c>
    </row>
    <row r="41" spans="2:15" x14ac:dyDescent="0.2">
      <c r="B41" t="s">
        <v>130</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April 2026'!$D$9,Inputs!$I$26,Inputs!F41)</f>
        <v>Please check the dates you entered. The dates you entered are valid for the August 2024 billing cycle. If valid, please use AES Indiana's August 2024 monthly bill calculator to calculate your bill for the dates entered.</v>
      </c>
    </row>
    <row r="42" spans="2:15" x14ac:dyDescent="0.2">
      <c r="B42" t="s">
        <v>131</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April 2026'!$D$9,Inputs!$I$26,Inputs!F42)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
      <c r="B43" t="s">
        <v>132</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April 2026'!$D$9,Inputs!$I$26,Inputs!F43)</f>
        <v>Please check the dates you entered. The dates you entered are valid for the October 2024 billing cycle. If valid, please use AES Indiana's October 2024 monthly bill calculator to calculate your bill for the dates entered.</v>
      </c>
    </row>
    <row r="44" spans="2:15" x14ac:dyDescent="0.2">
      <c r="B44" t="s">
        <v>133</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April 2026'!$D$9,Inputs!$I$26,Inputs!F44)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
      <c r="B45" t="s">
        <v>134</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April 2026'!$D$9,Inputs!$I$26,Inputs!F45)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
      <c r="B46" t="s">
        <v>135</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April 2026'!$D$9,Inputs!$I$26,Inputs!F46)</f>
        <v>Please check the dates you entered. The dates you entered are valid for the January 2025 billing cycle. If valid, please use AES Indiana's January 2025 monthly bill calculator to calculate your bill for the dates entered.</v>
      </c>
    </row>
    <row r="47" spans="2:15" x14ac:dyDescent="0.2">
      <c r="B47" t="s">
        <v>136</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April 2026'!$D$9,Inputs!$I$26,Inputs!F47)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
      <c r="B48" t="s">
        <v>137</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April 2026'!$D$9,Inputs!$I$26,Inputs!F48)</f>
        <v>Please check the dates you entered. The dates you entered are valid for the March 2025 billing cycle. If valid, please use AES Indiana's March 2025 monthly bill calculator to calculate your bill for the dates entered.</v>
      </c>
    </row>
    <row r="49" spans="2:15" x14ac:dyDescent="0.2">
      <c r="B49" t="s">
        <v>138</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April 2026'!$D$9,Inputs!$I$26,Inputs!F49)</f>
        <v>Please check the dates you entered. The dates you entered are valid for the April 2025 billing cycle. If valid, please use AES Indiana's April 2025 monthly bill calculator to calculate your bill for the dates entered.</v>
      </c>
    </row>
    <row r="50" spans="2:15" x14ac:dyDescent="0.2">
      <c r="B50" t="s">
        <v>139</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April 2026'!$D$9,Inputs!$I$26,Inputs!F50)</f>
        <v>Please check the dates you entered. The dates you entered are valid for the May 2025 billing cycle. If valid, please use AES Indiana's May 2025 monthly bill calculator to calculate your bill for the dates entered.</v>
      </c>
    </row>
    <row r="51" spans="2:15" x14ac:dyDescent="0.2">
      <c r="B51" t="s">
        <v>140</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April 2026'!$D$9,Inputs!$I$26,Inputs!F51)</f>
        <v>Please check the dates you entered. The dates you entered are valid for the June 2025 billing cycle. If valid, please use AES Indiana's June 2025 monthly bill calculator to calculate your bill for the dates entered.</v>
      </c>
    </row>
    <row r="52" spans="2:15" x14ac:dyDescent="0.2">
      <c r="B52" t="s">
        <v>141</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April 2026'!$D$9,Inputs!$I$26,Inputs!F52)</f>
        <v>Please check the dates you entered. The dates you entered are valid for the July 2025 billing cycle. If valid, please use AES Indiana's July 2025 monthly bill calculator to calculate your bill for the dates entered.</v>
      </c>
    </row>
    <row r="53" spans="2:15" x14ac:dyDescent="0.2">
      <c r="B53" t="s">
        <v>142</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April 2026'!$D$9,Inputs!$I$26,Inputs!F53)</f>
        <v>Please check the dates you entered. The dates you entered are valid for the August 2025 billing cycle. If valid, please use AES Indiana's August 2025 monthly bill calculator to calculate your bill for the dates entered.</v>
      </c>
    </row>
    <row r="54" spans="2:15" x14ac:dyDescent="0.2">
      <c r="B54" t="s">
        <v>143</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April 2026'!$D$9,Inputs!$I$26,Inputs!F54)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
      <c r="B55" t="s">
        <v>144</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April 2026'!$D$9,Inputs!$I$26,Inputs!F55)</f>
        <v>Please check the dates you entered. The dates you entered are valid for the October 2025 billing cycle. If valid, please use AES Indiana's October 2025 monthly bill calculator to calculate your bill for the dates entered.</v>
      </c>
    </row>
    <row r="56" spans="2:15" x14ac:dyDescent="0.2">
      <c r="B56" t="s">
        <v>145</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April 2026'!$D$9,Inputs!$I$26,Inputs!F56)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
      <c r="B57" t="s">
        <v>146</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April 2026'!$D$9,Inputs!$I$26,Inputs!F57)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
      <c r="B58" s="200" t="s">
        <v>147</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April 2026'!$D$9,Inputs!$I$26,Inputs!F58)</f>
        <v>Please check the dates you entered. The dates you entered are valid for the January 2026 billing cycle. If valid, please use AES Indiana's January 2026 monthly bill calculator to calculate your bill for the dates entered.</v>
      </c>
    </row>
    <row r="59" spans="2:15" x14ac:dyDescent="0.2">
      <c r="B59" s="200" t="s">
        <v>148</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April 2026'!$D$9,Inputs!$I$26,Inputs!F59)</f>
        <v>Please check the dates you entered. The dates you entered are valid for the February 2026 billing cycle. If valid, please use AES Indiana's February 2026 monthly bill calculator to calculate your bill for the dates entered.</v>
      </c>
    </row>
    <row r="60" spans="2:15" x14ac:dyDescent="0.2">
      <c r="B60" s="201" t="s">
        <v>149</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April 2026'!$D$9,Inputs!$I$26,Inputs!F60)</f>
        <v>Please check the dates you entered. The dates you entered are valid for the March 2026 billing cycle. If valid, please use AES Indiana's March 2026 monthly bill calculator to calculate your bill for the dates entered.</v>
      </c>
    </row>
    <row r="61" spans="2:15" x14ac:dyDescent="0.2">
      <c r="B61" s="201" t="s">
        <v>150</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April 2026'!$D$9,Inputs!$I$26,Inputs!F61)</f>
        <v>You are using the correct bill calculator. Please enter your billing information below.</v>
      </c>
    </row>
    <row r="62" spans="2:15" x14ac:dyDescent="0.2">
      <c r="B62" s="201" t="s">
        <v>151</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April 2026'!$D$9,Inputs!$I$26,Inputs!F62)</f>
        <v>Please check the dates you entered. The dates you entered are valid for the May 2026 billing cycle. If valid, please use AES Indiana's May 2026 monthly bill calculator to calculate your bill for the dates entered.</v>
      </c>
    </row>
    <row r="63" spans="2:15" x14ac:dyDescent="0.2">
      <c r="B63" s="201" t="s">
        <v>152</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April 2026'!$D$9,Inputs!$I$26,Inputs!F63)</f>
        <v>Please check the dates you entered. The dates you entered are valid for the June 2026 billing cycle. If valid, please use AES Indiana's June 2026 monthly bill calculator to calculate your bill for the dates entered.</v>
      </c>
    </row>
    <row r="64" spans="2:15" x14ac:dyDescent="0.2">
      <c r="B64" s="201" t="s">
        <v>153</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April 2026'!$D$9,Inputs!$I$26,Inputs!F64)</f>
        <v>Please check the dates you entered. The dates you entered are valid for the July 2026 billing cycle. If valid, please use AES Indiana's July 2026 monthly bill calculator to calculate your bill for the dates entered.</v>
      </c>
    </row>
    <row r="65" spans="2:15" x14ac:dyDescent="0.2">
      <c r="B65" s="201" t="s">
        <v>154</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April 2026'!$D$9,Inputs!$I$26,Inputs!F65)</f>
        <v>Please check the dates you entered. The dates you entered are valid for the August 2026 billing cycle. If valid, please use AES Indiana's August 2026 monthly bill calculator to calculate your bill for the dates entered.</v>
      </c>
    </row>
    <row r="66" spans="2:15" x14ac:dyDescent="0.2">
      <c r="B66" s="201" t="s">
        <v>155</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April 2026'!$D$9,Inputs!$I$26,Inputs!F66)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
      <c r="B67" s="201" t="s">
        <v>156</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April 2026'!$D$9,Inputs!$I$26,Inputs!F67)</f>
        <v>Please check the dates you entered. The dates you entered are valid for the October 2026 billing cycle. If valid, please use AES Indiana's October 2026 monthly bill calculator to calculate your bill for the dates entered.</v>
      </c>
    </row>
    <row r="68" spans="2:15" x14ac:dyDescent="0.2">
      <c r="B68" s="201" t="s">
        <v>157</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April 2026'!$D$9,Inputs!$I$26,Inputs!F68)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
      <c r="B69" s="201" t="s">
        <v>158</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April 2026'!$D$9,Inputs!$I$26,Inputs!F69)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
      <c r="B70" s="200" t="s">
        <v>159</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April 2026'!$D$9,Inputs!$I$26,Inputs!F70)</f>
        <v>Please check the dates you entered. The dates you entered are valid for the January 2027 billing cycle. If valid, please use AES Indiana's January 2027 monthly bill calculator to calculate your bill for the dates entered.</v>
      </c>
    </row>
    <row r="71" spans="2:15" x14ac:dyDescent="0.2">
      <c r="B71" s="200" t="s">
        <v>160</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April 2026'!$D$9,Inputs!$I$26,Inputs!F71)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
      <c r="B72" s="201" t="s">
        <v>161</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April 2026'!$D$9,Inputs!$I$26,Inputs!F72)</f>
        <v>Please check the dates you entered. The dates you entered are valid for the March 2027 billing cycle. If valid, please use AES Indiana's March 2027 monthly bill calculator to calculate your bill for the dates entered.</v>
      </c>
    </row>
    <row r="73" spans="2:15" x14ac:dyDescent="0.2">
      <c r="B73" s="201" t="s">
        <v>162</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April 2026'!$D$9,Inputs!$I$26,Inputs!F73)</f>
        <v>Please check the dates you entered. The dates you entered are valid for the April 2027 billing cycle. If valid, please use AES Indiana's April 2027 monthly bill calculator to calculate your bill for the dates entered.</v>
      </c>
    </row>
    <row r="74" spans="2:15" x14ac:dyDescent="0.2">
      <c r="B74" s="201" t="s">
        <v>163</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April 2026'!$D$9,Inputs!$I$26,Inputs!F74)</f>
        <v>Please check the dates you entered. The dates you entered are valid for the May 2027 billing cycle. If valid, please use AES Indiana's May 2027 monthly bill calculator to calculate your bill for the dates entered.</v>
      </c>
    </row>
    <row r="75" spans="2:15" x14ac:dyDescent="0.2">
      <c r="B75" s="201" t="s">
        <v>164</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April 2026'!$D$9,Inputs!$I$26,Inputs!F75)</f>
        <v>Please check the dates you entered. The dates you entered are valid for the June 2027 billing cycle. If valid, please use AES Indiana's June 2027 monthly bill calculator to calculate your bill for the dates entered.</v>
      </c>
    </row>
    <row r="76" spans="2:15" x14ac:dyDescent="0.2">
      <c r="B76" s="201" t="s">
        <v>165</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April 2026'!$D$9,Inputs!$I$26,Inputs!F76)</f>
        <v>Please check the dates you entered. The dates you entered are valid for the July 2027 billing cycle. If valid, please use AES Indiana's July 2027 monthly bill calculator to calculate your bill for the dates entered.</v>
      </c>
    </row>
    <row r="77" spans="2:15" x14ac:dyDescent="0.2">
      <c r="B77" s="201" t="s">
        <v>166</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April 2026'!$D$9,Inputs!$I$26,Inputs!F77)</f>
        <v>Please check the dates you entered. The dates you entered are valid for the August 2027 billing cycle. If valid, please use AES Indiana's August 2027 monthly bill calculator to calculate your bill for the dates entered.</v>
      </c>
    </row>
    <row r="78" spans="2:15" x14ac:dyDescent="0.2">
      <c r="B78" s="201" t="s">
        <v>167</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April 2026'!$D$9,Inputs!$I$26,Inputs!F78)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
      <c r="B79" s="201" t="s">
        <v>168</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April 2026'!$D$9,Inputs!$I$26,Inputs!F79)</f>
        <v>Please check the dates you entered. The dates you entered are valid for the October 2027 billing cycle. If valid, please use AES Indiana's October 2027 monthly bill calculator to calculate your bill for the dates entered.</v>
      </c>
    </row>
    <row r="80" spans="2:15" x14ac:dyDescent="0.2">
      <c r="B80" s="201" t="s">
        <v>169</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April 2026'!$D$9,Inputs!$I$26,Inputs!F80)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
      <c r="B81" s="201" t="s">
        <v>170</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April 2026'!$D$9,Inputs!$I$26,Inputs!F81)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
      <c r="B82" t="str">
        <f>C82&amp;" "&amp;F82</f>
        <v xml:space="preserve"> </v>
      </c>
      <c r="G82">
        <f>IF('AES Indiana Bill Calc.'!$D$12&lt;'AES Indiana Bill Calc.'!$D$11,"X",)</f>
        <v>0</v>
      </c>
      <c r="H82" s="130" t="s">
        <v>171</v>
      </c>
      <c r="O82" s="130" t="s">
        <v>172</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173</v>
      </c>
      <c r="K83">
        <v>26</v>
      </c>
      <c r="O83" s="130" t="s">
        <v>174</v>
      </c>
    </row>
    <row r="84" spans="2:15" x14ac:dyDescent="0.2">
      <c r="B84" t="str">
        <f>C84&amp;" "&amp;F84</f>
        <v xml:space="preserve"> </v>
      </c>
      <c r="G84">
        <f>IF(AND('AES Indiana Bill Calc.'!$D$12-'AES Indiana Bill Calc.'!$D$11&gt;35,'AES Indiana Bill Calc.'!$D$11&lt;&gt;"", 'AES Indiana Bill Calc.'!$D$12&lt;&gt;""),"X",)</f>
        <v>0</v>
      </c>
      <c r="H84" s="130" t="s">
        <v>175</v>
      </c>
      <c r="K84">
        <v>36</v>
      </c>
      <c r="O84" s="130" t="s">
        <v>176</v>
      </c>
    </row>
    <row r="85" spans="2:15" x14ac:dyDescent="0.2">
      <c r="B85" t="str">
        <f>C85&amp;" "&amp;F85</f>
        <v xml:space="preserve"> </v>
      </c>
      <c r="G85" t="str">
        <f>IF(OR('AES Indiana Bill Calc.'!D11="",'AES Indiana Bill Calc.'!D12=""),"X",)</f>
        <v>X</v>
      </c>
      <c r="H85" s="130" t="s">
        <v>177</v>
      </c>
    </row>
    <row r="86" spans="2:15" x14ac:dyDescent="0.2">
      <c r="B86" t="str">
        <f>C86&amp;" "&amp;F86</f>
        <v xml:space="preserve"> </v>
      </c>
      <c r="G86">
        <f>IF(OR(G83="X",G84="X",G82="X",G85="X",G34="X",G35="X",G36="X",G37="X",G38="X",G39="X",G40="X",G41="X",G42="X",G43="X",G44="X",G45="X",G46="X",G47="X",G48="X",G49="X",G50="X",G51="X",G52="X",G53="X",G54="X",G55="X",G56="X",G57="X",G58="X",G59="X",G60="X",G61="X",G62="X",G63="X",G64="X",G65="X",G66="X",G67="X",G68="X",G69="X"),0,"X")</f>
        <v>0</v>
      </c>
      <c r="H86" s="130" t="s">
        <v>178</v>
      </c>
      <c r="O86" s="130" t="s">
        <v>179</v>
      </c>
    </row>
    <row r="90" spans="2:15" x14ac:dyDescent="0.2">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topLeftCell="A12" zoomScaleNormal="100" workbookViewId="0">
      <selection activeCell="K1" sqref="K1"/>
    </sheetView>
  </sheetViews>
  <sheetFormatPr defaultRowHeight="12.75" x14ac:dyDescent="0.2"/>
  <cols>
    <col min="1" max="1" width="16" customWidth="1"/>
    <col min="2" max="2" width="14.140625" style="2" bestFit="1" customWidth="1"/>
    <col min="3" max="3" width="14.42578125" style="2" bestFit="1" customWidth="1"/>
    <col min="4" max="4" width="14.140625" bestFit="1" customWidth="1"/>
    <col min="5" max="5" width="11.7109375"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7.85546875"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59" t="str">
        <f>D9&amp;" "&amp;E9</f>
        <v>April 2026 Monthly Bill Calculator</v>
      </c>
      <c r="C2" s="260"/>
      <c r="D2" s="260"/>
      <c r="E2" s="261"/>
      <c r="M2" s="13" t="s">
        <v>180</v>
      </c>
      <c r="N2" s="13"/>
      <c r="O2" s="13"/>
      <c r="P2" s="13"/>
      <c r="Q2" s="13"/>
      <c r="R2" s="13" t="s">
        <v>38</v>
      </c>
      <c r="S2" s="136" t="s">
        <v>40</v>
      </c>
      <c r="T2" s="13" t="s">
        <v>181</v>
      </c>
      <c r="U2" s="13" t="s">
        <v>182</v>
      </c>
      <c r="V2" s="13" t="s">
        <v>183</v>
      </c>
      <c r="W2" s="136" t="s">
        <v>46</v>
      </c>
      <c r="X2" s="136" t="s">
        <v>48</v>
      </c>
      <c r="Y2" s="136" t="s">
        <v>50</v>
      </c>
      <c r="Z2" s="66" t="s">
        <v>184</v>
      </c>
      <c r="AA2" s="85"/>
    </row>
    <row r="3" spans="1:27" x14ac:dyDescent="0.2">
      <c r="A3" s="1"/>
      <c r="B3" s="7"/>
      <c r="C3" s="40"/>
      <c r="D3" s="40"/>
      <c r="L3" t="s">
        <v>185</v>
      </c>
      <c r="M3" s="164">
        <v>1.8E-3</v>
      </c>
      <c r="N3" s="119"/>
      <c r="O3" s="119"/>
      <c r="P3" s="119"/>
      <c r="Q3" s="119"/>
      <c r="R3" s="119">
        <v>-5.5440000000000003E-3</v>
      </c>
      <c r="S3">
        <v>4.7739999999999996E-3</v>
      </c>
      <c r="T3" s="119">
        <v>6.1580000000000003E-3</v>
      </c>
      <c r="U3" s="120">
        <v>0</v>
      </c>
      <c r="V3" s="119">
        <v>9.3299999999999998E-3</v>
      </c>
      <c r="W3" s="119">
        <v>-5.1900000000000004E-4</v>
      </c>
      <c r="X3" s="119">
        <v>4.1159999999999999E-3</v>
      </c>
      <c r="Y3" s="119">
        <v>7.3200000000000001E-4</v>
      </c>
      <c r="Z3" s="19">
        <f>SUM(S3:Y3)</f>
        <v>2.4591000000000005E-2</v>
      </c>
      <c r="AA3" s="19"/>
    </row>
    <row r="4" spans="1:27" x14ac:dyDescent="0.2">
      <c r="B4" s="1"/>
      <c r="C4" s="40"/>
      <c r="D4" s="40"/>
      <c r="F4" s="44"/>
      <c r="L4" t="s">
        <v>186</v>
      </c>
      <c r="M4" s="19">
        <f>+M3</f>
        <v>1.8E-3</v>
      </c>
      <c r="N4" s="19"/>
      <c r="O4" s="19"/>
      <c r="P4" s="19"/>
      <c r="Q4" s="19"/>
      <c r="R4" s="19">
        <f>R3</f>
        <v>-5.5440000000000003E-3</v>
      </c>
      <c r="S4">
        <v>3.4810000000000002E-3</v>
      </c>
      <c r="T4" s="119">
        <v>1.2638E-2</v>
      </c>
      <c r="U4" s="120">
        <v>0</v>
      </c>
      <c r="V4" s="119">
        <v>9.1430000000000001E-3</v>
      </c>
      <c r="W4" s="119">
        <v>-8.1800000000000004E-4</v>
      </c>
      <c r="X4" s="119">
        <v>4.2139999999999999E-3</v>
      </c>
      <c r="Y4" s="119">
        <v>7.0699999999999995E-4</v>
      </c>
      <c r="Z4" s="19">
        <f>SUM(S4:Y4)</f>
        <v>2.9364999999999999E-2</v>
      </c>
      <c r="AA4" s="19"/>
    </row>
    <row r="5" spans="1:27" x14ac:dyDescent="0.2">
      <c r="A5" s="44"/>
      <c r="B5" s="1"/>
      <c r="C5" s="40"/>
      <c r="D5" s="40"/>
      <c r="F5" s="44"/>
      <c r="K5" t="s">
        <v>187</v>
      </c>
      <c r="L5" t="s">
        <v>399</v>
      </c>
      <c r="M5" s="19">
        <f>+M4</f>
        <v>1.8E-3</v>
      </c>
      <c r="N5" s="19"/>
      <c r="O5" s="19"/>
      <c r="P5" s="19"/>
      <c r="Q5" s="19"/>
      <c r="R5" s="19">
        <f>+R4</f>
        <v>-5.5440000000000003E-3</v>
      </c>
      <c r="S5" s="119">
        <v>2.098E-3</v>
      </c>
      <c r="T5" s="119">
        <v>1.5089999999999999E-2</v>
      </c>
      <c r="U5" s="120">
        <v>0</v>
      </c>
      <c r="V5" s="102">
        <v>7.9070000000000008E-3</v>
      </c>
      <c r="W5" s="102">
        <v>-4.8200000000000001E-4</v>
      </c>
      <c r="X5" s="102">
        <v>3.9439999999999996E-3</v>
      </c>
      <c r="Y5" s="102">
        <v>6.6600000000000003E-4</v>
      </c>
      <c r="Z5" s="19">
        <f>SUM(S5:Y5)</f>
        <v>2.9222999999999999E-2</v>
      </c>
      <c r="AA5" s="19"/>
    </row>
    <row r="6" spans="1:27" x14ac:dyDescent="0.2">
      <c r="A6" s="44"/>
      <c r="C6" s="1" t="s">
        <v>118</v>
      </c>
      <c r="D6" s="175" t="s">
        <v>68</v>
      </c>
      <c r="F6" s="44"/>
      <c r="J6" s="130" t="s">
        <v>189</v>
      </c>
      <c r="K6" t="s">
        <v>190</v>
      </c>
      <c r="L6" t="s">
        <v>186</v>
      </c>
      <c r="M6" s="19"/>
      <c r="N6" s="19"/>
      <c r="O6" s="19"/>
      <c r="P6" s="19"/>
      <c r="Q6" s="19"/>
      <c r="R6" s="19"/>
      <c r="S6" s="119"/>
      <c r="T6" s="119">
        <v>0</v>
      </c>
      <c r="U6" s="120">
        <v>0</v>
      </c>
      <c r="V6" s="102"/>
      <c r="W6" s="102"/>
      <c r="X6" s="102"/>
      <c r="Y6" s="69"/>
      <c r="Z6" s="19">
        <f>SUM(S6:Y6)</f>
        <v>0</v>
      </c>
      <c r="AA6" s="19"/>
    </row>
    <row r="7" spans="1:27" x14ac:dyDescent="0.2">
      <c r="A7" s="44"/>
      <c r="C7" s="1" t="s">
        <v>191</v>
      </c>
      <c r="D7" s="176">
        <v>2026</v>
      </c>
      <c r="F7" s="44"/>
      <c r="J7" s="130"/>
      <c r="M7" s="19"/>
      <c r="N7" s="19"/>
      <c r="O7" s="19"/>
      <c r="P7" s="19"/>
      <c r="Q7" s="19"/>
      <c r="R7" s="19"/>
      <c r="S7" s="119"/>
      <c r="T7" s="119"/>
      <c r="U7" s="120"/>
      <c r="V7" s="102"/>
      <c r="W7" s="102"/>
      <c r="X7" s="102"/>
      <c r="Y7" s="69"/>
      <c r="Z7" s="19"/>
      <c r="AA7" s="19"/>
    </row>
    <row r="8" spans="1:27" ht="13.5" thickBot="1" x14ac:dyDescent="0.25">
      <c r="A8" s="44"/>
      <c r="C8" s="1"/>
      <c r="D8" s="40"/>
      <c r="F8" s="44"/>
      <c r="J8" s="130" t="s">
        <v>189</v>
      </c>
      <c r="K8" t="s">
        <v>190</v>
      </c>
      <c r="L8" t="s">
        <v>188</v>
      </c>
      <c r="M8" s="19"/>
      <c r="N8" s="19"/>
      <c r="O8" s="19"/>
      <c r="P8" s="19"/>
      <c r="Q8" s="19"/>
      <c r="R8" s="19"/>
      <c r="S8" s="119"/>
      <c r="T8" s="119">
        <v>0</v>
      </c>
      <c r="U8" s="120">
        <v>0</v>
      </c>
      <c r="V8" s="102"/>
      <c r="W8" s="102"/>
      <c r="X8" s="102"/>
      <c r="Y8" s="69"/>
      <c r="Z8" s="19">
        <f>SUM(S8:Y8)</f>
        <v>0</v>
      </c>
      <c r="AA8" s="19"/>
    </row>
    <row r="9" spans="1:27" ht="13.5" thickBot="1" x14ac:dyDescent="0.25">
      <c r="A9" s="44"/>
      <c r="C9" s="202" t="s">
        <v>192</v>
      </c>
      <c r="D9" s="203" t="str">
        <f>D6&amp;" "&amp;D7</f>
        <v>April 2026</v>
      </c>
      <c r="E9" s="204" t="s">
        <v>193</v>
      </c>
      <c r="F9" s="44"/>
      <c r="J9" s="130" t="s">
        <v>194</v>
      </c>
      <c r="K9" t="s">
        <v>195</v>
      </c>
      <c r="L9" t="s">
        <v>186</v>
      </c>
      <c r="M9" s="19"/>
      <c r="N9" s="19"/>
      <c r="O9" s="19"/>
      <c r="P9" s="19"/>
      <c r="Q9" s="19"/>
      <c r="R9" s="19"/>
      <c r="S9" s="119"/>
      <c r="T9" s="119">
        <v>0</v>
      </c>
      <c r="U9" s="120">
        <v>0</v>
      </c>
      <c r="V9" s="102"/>
      <c r="W9" s="102"/>
      <c r="X9" s="102"/>
      <c r="Y9" s="69"/>
      <c r="Z9" s="19">
        <f>SUM(S9:Y9)</f>
        <v>0</v>
      </c>
      <c r="AA9" s="19"/>
    </row>
    <row r="10" spans="1:27" x14ac:dyDescent="0.2">
      <c r="A10" s="44"/>
      <c r="D10" s="145"/>
      <c r="F10" s="44"/>
      <c r="J10" s="130" t="s">
        <v>194</v>
      </c>
      <c r="K10" t="s">
        <v>195</v>
      </c>
      <c r="L10" t="s">
        <v>188</v>
      </c>
      <c r="M10" s="19"/>
      <c r="N10" s="19"/>
      <c r="O10" s="19"/>
      <c r="P10" s="19"/>
      <c r="Q10" s="19"/>
      <c r="R10" s="19"/>
      <c r="S10" s="119"/>
      <c r="T10" s="119">
        <v>0</v>
      </c>
      <c r="U10" s="120">
        <v>0</v>
      </c>
      <c r="V10" s="102"/>
      <c r="W10" s="102"/>
      <c r="X10" s="102"/>
      <c r="Y10" s="69"/>
      <c r="Z10" s="19">
        <f>SUM(S10:Y10)</f>
        <v>0</v>
      </c>
      <c r="AA10" s="19"/>
    </row>
    <row r="11" spans="1:27" x14ac:dyDescent="0.2">
      <c r="A11" s="44"/>
      <c r="D11" s="145"/>
      <c r="F11" s="44"/>
      <c r="J11" s="130" t="s">
        <v>196</v>
      </c>
      <c r="K11" s="130" t="s">
        <v>197</v>
      </c>
      <c r="L11" t="s">
        <v>186</v>
      </c>
      <c r="M11" s="19"/>
      <c r="N11" s="19"/>
      <c r="O11" s="19"/>
      <c r="P11" s="19"/>
      <c r="Q11" s="19"/>
      <c r="R11" s="19"/>
      <c r="S11" s="119"/>
      <c r="T11" s="119">
        <v>0</v>
      </c>
      <c r="U11" s="120">
        <v>0</v>
      </c>
      <c r="V11" s="102"/>
      <c r="W11" s="102"/>
      <c r="X11" s="102"/>
      <c r="Y11" s="69"/>
      <c r="Z11" s="19">
        <f>SUM($S$4, T11, $U$4:$Y$4)</f>
        <v>1.6726999999999999E-2</v>
      </c>
      <c r="AA11" s="19"/>
    </row>
    <row r="12" spans="1:27" x14ac:dyDescent="0.2">
      <c r="A12" s="44"/>
      <c r="B12" s="1"/>
      <c r="C12" s="40"/>
      <c r="D12" s="40"/>
      <c r="F12" s="44"/>
      <c r="J12" s="130" t="s">
        <v>196</v>
      </c>
      <c r="K12" s="130" t="s">
        <v>197</v>
      </c>
      <c r="L12" t="s">
        <v>188</v>
      </c>
      <c r="M12" s="19"/>
      <c r="N12" s="19"/>
      <c r="O12" s="19"/>
      <c r="P12" s="19"/>
      <c r="Q12" s="19"/>
      <c r="R12" s="19"/>
      <c r="S12" s="119"/>
      <c r="T12" s="119">
        <v>0</v>
      </c>
      <c r="U12" s="120">
        <v>0</v>
      </c>
      <c r="V12" s="102"/>
      <c r="W12" s="102"/>
      <c r="X12" s="102"/>
      <c r="Y12" s="69"/>
      <c r="Z12" s="19">
        <f>SUM($S$5, T12, $U$5:$Y$5)</f>
        <v>1.4133E-2</v>
      </c>
      <c r="AA12" s="19"/>
    </row>
    <row r="13" spans="1:27" x14ac:dyDescent="0.2">
      <c r="A13" s="44"/>
      <c r="B13" s="1"/>
      <c r="C13" s="40"/>
      <c r="D13" s="40"/>
      <c r="F13" s="44"/>
      <c r="J13" s="130" t="s">
        <v>198</v>
      </c>
      <c r="K13" s="130" t="s">
        <v>199</v>
      </c>
      <c r="L13" t="s">
        <v>186</v>
      </c>
      <c r="M13" s="19"/>
      <c r="N13" s="19"/>
      <c r="O13" s="19"/>
      <c r="P13" s="19"/>
      <c r="Q13" s="19"/>
      <c r="R13" s="19"/>
      <c r="S13" s="119"/>
      <c r="T13" s="119">
        <v>0</v>
      </c>
      <c r="U13" s="120"/>
      <c r="V13" s="102"/>
      <c r="W13" s="102"/>
      <c r="X13" s="102"/>
      <c r="Y13" s="69"/>
      <c r="Z13" s="19">
        <f>SUM($S$4, T13, $U$4:$Y$4)</f>
        <v>1.6726999999999999E-2</v>
      </c>
      <c r="AA13" s="19"/>
    </row>
    <row r="14" spans="1:27" x14ac:dyDescent="0.2">
      <c r="A14" s="44"/>
      <c r="B14" s="141"/>
      <c r="C14" s="40"/>
      <c r="D14" s="40"/>
      <c r="F14" s="44"/>
      <c r="J14" s="130" t="s">
        <v>198</v>
      </c>
      <c r="K14" s="130" t="s">
        <v>199</v>
      </c>
      <c r="L14" t="s">
        <v>188</v>
      </c>
      <c r="M14" s="19"/>
      <c r="N14" s="19"/>
      <c r="O14" s="19"/>
      <c r="P14" s="19"/>
      <c r="Q14" s="19"/>
      <c r="R14" s="19"/>
      <c r="S14" s="119"/>
      <c r="T14" s="119">
        <v>0</v>
      </c>
      <c r="U14" s="120"/>
      <c r="V14" s="102"/>
      <c r="W14" s="102"/>
      <c r="X14" s="102"/>
      <c r="Y14" s="69"/>
      <c r="Z14" s="19">
        <f>SUM($S$5, T14, $U$5:$Y$5)</f>
        <v>1.4133E-2</v>
      </c>
      <c r="AA14" s="19"/>
    </row>
    <row r="15" spans="1:27" x14ac:dyDescent="0.2">
      <c r="A15" s="44"/>
      <c r="B15"/>
      <c r="C15" s="40"/>
      <c r="D15" s="40"/>
      <c r="F15" s="44"/>
      <c r="J15" s="130" t="s">
        <v>200</v>
      </c>
      <c r="K15" s="130" t="s">
        <v>201</v>
      </c>
      <c r="L15" t="s">
        <v>186</v>
      </c>
      <c r="M15" s="19"/>
      <c r="N15" s="19"/>
      <c r="O15" s="19"/>
      <c r="P15" s="19"/>
      <c r="Q15" s="19"/>
      <c r="R15" s="19"/>
      <c r="S15" s="119"/>
      <c r="T15" s="167">
        <v>0</v>
      </c>
      <c r="U15" s="120"/>
      <c r="V15" s="102"/>
      <c r="W15" s="102"/>
      <c r="X15" s="102"/>
      <c r="Y15" s="69"/>
      <c r="Z15" s="19"/>
      <c r="AA15" s="19"/>
    </row>
    <row r="16" spans="1:27" x14ac:dyDescent="0.2">
      <c r="A16" s="44"/>
      <c r="B16"/>
      <c r="C16" s="40"/>
      <c r="D16" s="40"/>
      <c r="F16" s="44"/>
      <c r="J16" s="130" t="s">
        <v>202</v>
      </c>
      <c r="K16" s="130" t="s">
        <v>201</v>
      </c>
      <c r="L16" t="s">
        <v>188</v>
      </c>
      <c r="M16" s="19"/>
      <c r="N16" s="19"/>
      <c r="O16" s="19"/>
      <c r="P16" s="19"/>
      <c r="Q16" s="19"/>
      <c r="R16" s="19"/>
      <c r="S16" s="119"/>
      <c r="T16" s="167">
        <v>0</v>
      </c>
      <c r="U16" s="120"/>
      <c r="V16" s="102"/>
      <c r="W16" s="102"/>
      <c r="X16" s="102"/>
      <c r="Y16" s="69"/>
      <c r="Z16" s="19"/>
      <c r="AA16" s="19"/>
    </row>
    <row r="17" spans="1:27" x14ac:dyDescent="0.2">
      <c r="A17" s="44"/>
      <c r="B17"/>
      <c r="C17" s="40"/>
      <c r="F17" s="44"/>
      <c r="J17" s="130" t="s">
        <v>203</v>
      </c>
      <c r="K17" s="130" t="s">
        <v>201</v>
      </c>
      <c r="L17" s="130" t="s">
        <v>204</v>
      </c>
      <c r="M17" s="19"/>
      <c r="N17" s="19"/>
      <c r="O17" s="19"/>
      <c r="P17" s="19"/>
      <c r="Q17" s="19"/>
      <c r="R17" s="19"/>
      <c r="S17" s="119"/>
      <c r="T17" s="167">
        <v>0</v>
      </c>
      <c r="U17" s="120"/>
      <c r="V17" s="102"/>
      <c r="W17" s="102"/>
      <c r="X17" s="102"/>
      <c r="Y17" s="69"/>
      <c r="Z17" s="19"/>
      <c r="AA17" s="19"/>
    </row>
    <row r="18" spans="1:27" x14ac:dyDescent="0.2">
      <c r="A18" s="44"/>
      <c r="B18"/>
      <c r="C18" s="40"/>
      <c r="F18" s="44"/>
      <c r="J18" s="130"/>
      <c r="K18" s="130" t="s">
        <v>205</v>
      </c>
      <c r="L18" s="130" t="s">
        <v>186</v>
      </c>
      <c r="M18" s="19"/>
      <c r="N18" s="19"/>
      <c r="O18" s="19"/>
      <c r="P18" s="19"/>
      <c r="Q18" s="19"/>
      <c r="R18" s="19"/>
      <c r="S18" s="119"/>
      <c r="T18" s="167">
        <v>0</v>
      </c>
      <c r="U18" s="120"/>
      <c r="V18" s="102"/>
      <c r="W18" s="102"/>
      <c r="X18" s="102"/>
      <c r="Y18" s="69"/>
      <c r="Z18" s="19"/>
      <c r="AA18" s="19"/>
    </row>
    <row r="19" spans="1:27" x14ac:dyDescent="0.2">
      <c r="A19" s="44"/>
      <c r="B19"/>
      <c r="C19" s="40"/>
      <c r="F19" s="44"/>
      <c r="J19" s="130"/>
      <c r="K19" s="130" t="s">
        <v>205</v>
      </c>
      <c r="L19" s="130" t="s">
        <v>188</v>
      </c>
      <c r="M19" s="19"/>
      <c r="N19" s="19"/>
      <c r="O19" s="19"/>
      <c r="P19" s="19"/>
      <c r="Q19" s="19"/>
      <c r="R19" s="19"/>
      <c r="S19" s="119"/>
      <c r="T19" s="167">
        <v>0</v>
      </c>
      <c r="U19" s="120"/>
      <c r="V19" s="102"/>
      <c r="W19" s="102"/>
      <c r="X19" s="102"/>
      <c r="Y19" s="69"/>
      <c r="Z19" s="19"/>
      <c r="AA19" s="19"/>
    </row>
    <row r="20" spans="1:27" x14ac:dyDescent="0.2">
      <c r="A20" s="44"/>
      <c r="B20"/>
      <c r="C20" s="40"/>
      <c r="F20" s="44"/>
      <c r="J20" s="130"/>
      <c r="K20" s="130" t="s">
        <v>206</v>
      </c>
      <c r="L20" s="130" t="s">
        <v>186</v>
      </c>
      <c r="M20" s="19"/>
      <c r="N20" s="19"/>
      <c r="O20" s="19"/>
      <c r="P20" s="19"/>
      <c r="Q20" s="19"/>
      <c r="R20" s="19"/>
      <c r="S20" s="119"/>
      <c r="T20" s="167">
        <v>0</v>
      </c>
      <c r="U20" s="120"/>
      <c r="V20" s="102"/>
      <c r="W20" s="102"/>
      <c r="X20" s="102"/>
      <c r="Y20" s="69"/>
      <c r="Z20" s="19"/>
      <c r="AA20" s="19"/>
    </row>
    <row r="21" spans="1:27" x14ac:dyDescent="0.2">
      <c r="A21" s="44"/>
      <c r="B21"/>
      <c r="C21" s="40"/>
      <c r="F21" s="44"/>
      <c r="I21" s="130"/>
      <c r="J21" s="130"/>
      <c r="K21" s="130" t="s">
        <v>206</v>
      </c>
      <c r="L21" s="130" t="s">
        <v>188</v>
      </c>
      <c r="M21" s="19"/>
      <c r="N21" s="19"/>
      <c r="O21" s="19"/>
      <c r="P21" s="19"/>
      <c r="Q21" s="19"/>
      <c r="R21" s="19"/>
      <c r="S21" s="119"/>
      <c r="T21" s="167">
        <v>0</v>
      </c>
      <c r="U21" s="120"/>
      <c r="V21" s="102"/>
      <c r="W21" s="102"/>
      <c r="X21" s="102"/>
      <c r="Y21" s="69"/>
      <c r="Z21" s="19"/>
      <c r="AA21" s="19"/>
    </row>
    <row r="22" spans="1:27" x14ac:dyDescent="0.2">
      <c r="A22" s="44"/>
      <c r="B22"/>
      <c r="C22" s="40"/>
      <c r="F22" s="44"/>
      <c r="I22" s="130"/>
      <c r="J22" s="130"/>
      <c r="K22" s="130" t="s">
        <v>207</v>
      </c>
      <c r="L22" s="130" t="s">
        <v>186</v>
      </c>
      <c r="M22" s="19"/>
      <c r="N22" s="19"/>
      <c r="O22" s="19"/>
      <c r="P22" s="19"/>
      <c r="Q22" s="19"/>
      <c r="R22" s="19"/>
      <c r="S22" s="119"/>
      <c r="T22" s="167">
        <v>-2.5219999999999999E-3</v>
      </c>
      <c r="U22" s="120"/>
      <c r="V22" s="102"/>
      <c r="W22" s="102"/>
      <c r="X22" s="102"/>
      <c r="Y22" s="69"/>
      <c r="Z22" s="19"/>
      <c r="AA22" s="19"/>
    </row>
    <row r="23" spans="1:27" x14ac:dyDescent="0.2">
      <c r="A23" s="44"/>
      <c r="B23"/>
      <c r="C23" s="40"/>
      <c r="F23" s="44"/>
      <c r="J23" s="130"/>
      <c r="K23" s="130" t="s">
        <v>207</v>
      </c>
      <c r="L23" s="130" t="s">
        <v>188</v>
      </c>
      <c r="M23" s="19"/>
      <c r="N23" s="19"/>
      <c r="O23" s="19"/>
      <c r="P23" s="19"/>
      <c r="Q23" s="19"/>
      <c r="R23" s="19"/>
      <c r="S23" s="119"/>
      <c r="T23" s="167">
        <v>-4.0299999999999998E-4</v>
      </c>
      <c r="U23" s="120"/>
      <c r="V23" s="102"/>
      <c r="W23" s="102"/>
      <c r="X23" s="102"/>
      <c r="Y23" s="69"/>
      <c r="Z23" s="19"/>
      <c r="AA23" s="19"/>
    </row>
    <row r="24" spans="1:27" ht="13.5" customHeight="1" x14ac:dyDescent="0.2">
      <c r="A24" s="44"/>
      <c r="B24"/>
      <c r="F24" s="44"/>
      <c r="J24" s="130"/>
      <c r="K24" s="130" t="s">
        <v>208</v>
      </c>
      <c r="L24" s="130" t="s">
        <v>186</v>
      </c>
      <c r="M24" s="19"/>
      <c r="N24" s="19"/>
      <c r="O24" s="19"/>
      <c r="P24" s="19"/>
      <c r="Q24" s="19"/>
      <c r="R24" s="19"/>
      <c r="S24" s="119"/>
      <c r="T24" s="167">
        <v>0</v>
      </c>
      <c r="U24" s="120"/>
      <c r="V24" s="102"/>
      <c r="W24" s="102"/>
      <c r="X24" s="102"/>
      <c r="Y24" s="69"/>
      <c r="Z24" s="19"/>
      <c r="AA24" s="19"/>
    </row>
    <row r="25" spans="1:27" ht="13.5" customHeight="1" x14ac:dyDescent="0.2">
      <c r="A25" s="44"/>
      <c r="B25"/>
      <c r="F25" s="44"/>
      <c r="J25" s="130"/>
      <c r="K25" s="130" t="s">
        <v>208</v>
      </c>
      <c r="L25" s="130" t="s">
        <v>188</v>
      </c>
      <c r="M25" s="19"/>
      <c r="N25" s="19"/>
      <c r="O25" s="19"/>
      <c r="P25" s="19"/>
      <c r="Q25" s="19"/>
      <c r="R25" s="19"/>
      <c r="S25" s="119"/>
      <c r="T25" s="167">
        <v>0</v>
      </c>
      <c r="U25" s="120"/>
      <c r="V25" s="102"/>
      <c r="W25" s="102"/>
      <c r="X25" s="102"/>
      <c r="Y25" s="69"/>
      <c r="Z25" s="19"/>
      <c r="AA25" s="19"/>
    </row>
    <row r="26" spans="1:27" ht="13.5" customHeight="1" x14ac:dyDescent="0.2">
      <c r="A26" s="44"/>
      <c r="B26"/>
      <c r="F26" s="44"/>
      <c r="J26" s="130"/>
      <c r="K26" s="130" t="s">
        <v>209</v>
      </c>
      <c r="L26" s="130" t="s">
        <v>186</v>
      </c>
      <c r="M26" s="19"/>
      <c r="N26" s="19"/>
      <c r="O26" s="19"/>
      <c r="P26" s="19"/>
      <c r="Q26" s="19"/>
      <c r="R26" s="19"/>
      <c r="S26" s="119"/>
      <c r="T26" s="167">
        <v>0</v>
      </c>
      <c r="U26" s="120"/>
      <c r="V26" s="102"/>
      <c r="W26" s="102"/>
      <c r="X26" s="102"/>
      <c r="Y26" s="69"/>
      <c r="Z26" s="19"/>
      <c r="AA26" s="19"/>
    </row>
    <row r="27" spans="1:27" ht="13.5" customHeight="1" x14ac:dyDescent="0.2">
      <c r="A27" s="44"/>
      <c r="B27"/>
      <c r="F27" s="44"/>
      <c r="J27" s="130"/>
      <c r="K27" s="130" t="s">
        <v>209</v>
      </c>
      <c r="L27" s="130" t="s">
        <v>188</v>
      </c>
      <c r="M27" s="19"/>
      <c r="N27" s="19"/>
      <c r="O27" s="19"/>
      <c r="P27" s="19"/>
      <c r="Q27" s="19"/>
      <c r="R27" s="19"/>
      <c r="S27" s="119"/>
      <c r="T27" s="167">
        <v>0</v>
      </c>
      <c r="U27" s="120"/>
      <c r="V27" s="102"/>
      <c r="W27" s="102"/>
      <c r="X27" s="102"/>
      <c r="Y27" s="69"/>
      <c r="Z27" s="19"/>
      <c r="AA27" s="19"/>
    </row>
    <row r="28" spans="1:27" ht="13.5" customHeight="1" x14ac:dyDescent="0.2">
      <c r="A28" s="44"/>
      <c r="B28"/>
      <c r="F28" s="44"/>
      <c r="J28" s="130"/>
      <c r="K28" s="168" t="s">
        <v>210</v>
      </c>
      <c r="L28" s="168" t="s">
        <v>186</v>
      </c>
      <c r="M28" s="19"/>
      <c r="N28" s="19"/>
      <c r="O28" s="19"/>
      <c r="P28" s="19"/>
      <c r="Q28" s="19"/>
      <c r="R28" s="19"/>
      <c r="S28" s="119"/>
      <c r="T28" s="164">
        <v>-1.1789999999999999E-3</v>
      </c>
      <c r="U28" s="120"/>
      <c r="V28" s="102"/>
      <c r="W28" s="102"/>
      <c r="X28" s="102"/>
      <c r="Y28" s="69"/>
      <c r="Z28" s="19"/>
      <c r="AA28" s="19"/>
    </row>
    <row r="29" spans="1:27" ht="13.5" customHeight="1" x14ac:dyDescent="0.2">
      <c r="A29" s="44"/>
      <c r="B29"/>
      <c r="F29" s="44"/>
      <c r="J29" s="130"/>
      <c r="K29" s="168" t="s">
        <v>210</v>
      </c>
      <c r="L29" s="168" t="s">
        <v>188</v>
      </c>
      <c r="M29" s="19"/>
      <c r="N29" s="19"/>
      <c r="O29" s="19"/>
      <c r="P29" s="19"/>
      <c r="Q29" s="19"/>
      <c r="R29" s="19"/>
      <c r="S29" s="119"/>
      <c r="T29" s="164">
        <v>3.3769999999999998E-3</v>
      </c>
      <c r="U29" s="120"/>
      <c r="V29" s="102"/>
      <c r="W29" s="102"/>
      <c r="X29" s="102"/>
      <c r="Y29" s="69"/>
      <c r="Z29" s="19"/>
      <c r="AA29" s="19"/>
    </row>
    <row r="30" spans="1:27" ht="13.5" customHeight="1" x14ac:dyDescent="0.2">
      <c r="A30" s="44"/>
      <c r="B30"/>
      <c r="F30" s="44"/>
      <c r="J30" s="130"/>
      <c r="K30" s="168" t="s">
        <v>211</v>
      </c>
      <c r="L30" s="168" t="s">
        <v>186</v>
      </c>
      <c r="M30" s="19"/>
      <c r="N30" s="19"/>
      <c r="O30" s="19"/>
      <c r="P30" s="19"/>
      <c r="Q30" s="19"/>
      <c r="R30" s="19"/>
      <c r="S30" s="119"/>
      <c r="T30" s="164">
        <v>0</v>
      </c>
      <c r="U30" s="120"/>
      <c r="V30" s="102"/>
      <c r="W30" s="102"/>
      <c r="X30" s="102"/>
      <c r="Y30" s="69"/>
      <c r="Z30" s="19"/>
      <c r="AA30" s="19"/>
    </row>
    <row r="31" spans="1:27" ht="13.5" customHeight="1" x14ac:dyDescent="0.2">
      <c r="A31" s="44"/>
      <c r="B31"/>
      <c r="F31" s="44"/>
      <c r="J31" s="130"/>
      <c r="K31" s="168" t="s">
        <v>211</v>
      </c>
      <c r="L31" s="168" t="s">
        <v>188</v>
      </c>
      <c r="M31" s="19"/>
      <c r="N31" s="19"/>
      <c r="O31" s="19"/>
      <c r="P31" s="19"/>
      <c r="Q31" s="19"/>
      <c r="R31" s="19"/>
      <c r="S31" s="119"/>
      <c r="T31" s="164">
        <v>7.6290000000000004E-3</v>
      </c>
      <c r="U31" s="120"/>
      <c r="V31" s="102"/>
      <c r="W31" s="102"/>
      <c r="X31" s="102"/>
      <c r="Y31" s="69"/>
      <c r="Z31" s="19"/>
      <c r="AA31" s="19"/>
    </row>
    <row r="32" spans="1:27" ht="13.5" customHeight="1" x14ac:dyDescent="0.2">
      <c r="A32" s="44"/>
      <c r="B32"/>
      <c r="F32" s="44"/>
      <c r="J32" s="130"/>
      <c r="K32" s="168" t="s">
        <v>212</v>
      </c>
      <c r="L32" s="168" t="s">
        <v>186</v>
      </c>
      <c r="M32" s="19"/>
      <c r="N32" s="19"/>
      <c r="O32" s="19"/>
      <c r="P32" s="19"/>
      <c r="Q32" s="19"/>
      <c r="R32" s="19"/>
      <c r="S32" s="119"/>
      <c r="T32" s="164">
        <v>5.8520000000000004E-3</v>
      </c>
      <c r="U32" s="120"/>
      <c r="V32" s="102"/>
      <c r="W32" s="102"/>
      <c r="X32" s="102"/>
      <c r="Y32" s="69"/>
      <c r="Z32" s="19"/>
      <c r="AA32" s="19"/>
    </row>
    <row r="33" spans="1:28" ht="13.5" customHeight="1" x14ac:dyDescent="0.2">
      <c r="A33" s="44"/>
      <c r="B33"/>
      <c r="F33" s="44"/>
      <c r="J33" s="130"/>
      <c r="K33" s="168" t="s">
        <v>212</v>
      </c>
      <c r="L33" s="168" t="s">
        <v>188</v>
      </c>
      <c r="M33" s="19"/>
      <c r="N33" s="19"/>
      <c r="O33" s="19"/>
      <c r="P33" s="19"/>
      <c r="Q33" s="19"/>
      <c r="R33" s="19"/>
      <c r="S33" s="119"/>
      <c r="T33" s="164">
        <v>9.0039999999999999E-3</v>
      </c>
      <c r="U33" s="120"/>
      <c r="V33" s="102"/>
      <c r="W33" s="102"/>
      <c r="X33" s="102"/>
      <c r="Y33" s="69"/>
      <c r="Z33" s="19"/>
      <c r="AA33" s="19"/>
    </row>
    <row r="34" spans="1:28" x14ac:dyDescent="0.2">
      <c r="A34" s="44"/>
      <c r="F34" s="65"/>
      <c r="L34" t="s">
        <v>213</v>
      </c>
      <c r="M34" s="19">
        <f>M3</f>
        <v>1.8E-3</v>
      </c>
      <c r="N34" s="19"/>
      <c r="O34" s="19"/>
      <c r="P34" s="19"/>
      <c r="Q34" s="19"/>
      <c r="R34" s="19"/>
      <c r="S34" s="101">
        <v>1.6930000000000001E-3</v>
      </c>
      <c r="T34" s="165"/>
      <c r="U34" s="120">
        <v>0</v>
      </c>
      <c r="V34" s="102">
        <v>7.2249999999999997E-3</v>
      </c>
      <c r="W34" s="102">
        <v>-2.5599999999999999E-4</v>
      </c>
      <c r="X34" s="102">
        <v>3.1589999999999999E-3</v>
      </c>
      <c r="Y34" s="102">
        <v>5.6300000000000002E-4</v>
      </c>
      <c r="Z34" s="19">
        <f>SUM(S34:Y34)</f>
        <v>1.2383999999999999E-2</v>
      </c>
      <c r="AA34" s="19"/>
    </row>
    <row r="35" spans="1:28" x14ac:dyDescent="0.2">
      <c r="A35" s="44"/>
      <c r="C35" s="3"/>
      <c r="F35" s="65"/>
      <c r="L35" t="s">
        <v>214</v>
      </c>
      <c r="M35" s="19"/>
      <c r="N35" s="19"/>
      <c r="O35" s="19"/>
      <c r="P35" s="19"/>
      <c r="Q35" s="19"/>
      <c r="R35" s="19"/>
      <c r="S35" s="101">
        <v>1.6930000000000001E-3</v>
      </c>
      <c r="T35" s="165"/>
      <c r="U35" s="120"/>
      <c r="V35" s="102">
        <v>7.2249999999999997E-3</v>
      </c>
      <c r="W35" s="102">
        <f>W34</f>
        <v>-2.5599999999999999E-4</v>
      </c>
      <c r="X35" s="102">
        <f>X34</f>
        <v>3.1589999999999999E-3</v>
      </c>
      <c r="Y35" s="102">
        <v>5.6300000000000002E-4</v>
      </c>
      <c r="Z35" s="19"/>
      <c r="AA35" s="19"/>
    </row>
    <row r="36" spans="1:28" x14ac:dyDescent="0.2">
      <c r="A36" s="44"/>
      <c r="C36" s="4"/>
      <c r="J36" s="130" t="s">
        <v>215</v>
      </c>
      <c r="L36" s="130" t="s">
        <v>204</v>
      </c>
      <c r="R36" s="118"/>
      <c r="S36" s="101"/>
      <c r="T36" s="164"/>
      <c r="U36" s="6"/>
      <c r="V36" s="102"/>
      <c r="W36" s="102"/>
      <c r="X36" s="102"/>
      <c r="Y36" s="102"/>
      <c r="Z36" s="19"/>
      <c r="AA36" s="19"/>
    </row>
    <row r="37" spans="1:28" x14ac:dyDescent="0.2">
      <c r="A37" s="44"/>
      <c r="C37" s="7"/>
      <c r="G37" s="130"/>
      <c r="K37" s="130" t="s">
        <v>190</v>
      </c>
      <c r="L37" s="130" t="s">
        <v>204</v>
      </c>
      <c r="T37" s="93">
        <v>0</v>
      </c>
    </row>
    <row r="38" spans="1:28" x14ac:dyDescent="0.2">
      <c r="A38" s="44"/>
      <c r="C38" s="7"/>
      <c r="K38" s="130" t="s">
        <v>197</v>
      </c>
      <c r="L38" s="130"/>
      <c r="T38" s="93">
        <v>0</v>
      </c>
    </row>
    <row r="39" spans="1:28" x14ac:dyDescent="0.2">
      <c r="A39" s="44"/>
      <c r="C39" s="7"/>
      <c r="K39" s="130" t="s">
        <v>199</v>
      </c>
      <c r="L39" s="130"/>
      <c r="T39" s="93">
        <v>0</v>
      </c>
    </row>
    <row r="40" spans="1:28" x14ac:dyDescent="0.2">
      <c r="A40" s="44"/>
      <c r="C40" s="7"/>
      <c r="K40" s="130" t="s">
        <v>201</v>
      </c>
      <c r="L40" s="130"/>
      <c r="T40" s="93">
        <v>0</v>
      </c>
    </row>
    <row r="41" spans="1:28" x14ac:dyDescent="0.2">
      <c r="A41" s="44"/>
      <c r="C41" s="7"/>
      <c r="K41" s="130" t="s">
        <v>205</v>
      </c>
      <c r="L41" s="130"/>
      <c r="T41" s="93">
        <v>0</v>
      </c>
    </row>
    <row r="42" spans="1:28" x14ac:dyDescent="0.2">
      <c r="A42" s="44"/>
      <c r="C42" s="7"/>
      <c r="K42" s="130" t="s">
        <v>190</v>
      </c>
      <c r="L42" s="130"/>
      <c r="T42" s="93">
        <v>0</v>
      </c>
    </row>
    <row r="43" spans="1:28" x14ac:dyDescent="0.2">
      <c r="A43" s="44"/>
      <c r="C43" s="7"/>
      <c r="K43" s="130" t="s">
        <v>216</v>
      </c>
      <c r="L43" s="130"/>
      <c r="T43" s="93">
        <v>2.892E-3</v>
      </c>
    </row>
    <row r="44" spans="1:28" x14ac:dyDescent="0.2">
      <c r="B44" s="1"/>
      <c r="C44" s="7"/>
      <c r="F44" s="72">
        <v>12.5</v>
      </c>
      <c r="G44" s="72"/>
      <c r="H44" s="72"/>
      <c r="I44" s="72"/>
      <c r="J44" s="157">
        <v>17</v>
      </c>
      <c r="K44" s="158">
        <v>0.125421</v>
      </c>
      <c r="L44" s="158">
        <v>0.11382200000000001</v>
      </c>
      <c r="S44" s="27">
        <f>+M$3</f>
        <v>1.8E-3</v>
      </c>
      <c r="T44" s="27">
        <f t="shared" ref="T44:Z44" si="0">+R$3</f>
        <v>-5.5440000000000003E-3</v>
      </c>
      <c r="U44" s="27">
        <f t="shared" si="0"/>
        <v>4.7739999999999996E-3</v>
      </c>
      <c r="V44" s="27">
        <f t="shared" si="0"/>
        <v>6.1580000000000003E-3</v>
      </c>
      <c r="W44" s="27">
        <f t="shared" si="0"/>
        <v>0</v>
      </c>
      <c r="X44" s="27">
        <f t="shared" si="0"/>
        <v>9.3299999999999998E-3</v>
      </c>
      <c r="Y44" s="27">
        <f t="shared" si="0"/>
        <v>-5.1900000000000004E-4</v>
      </c>
      <c r="Z44" s="27">
        <f t="shared" si="0"/>
        <v>4.1159999999999999E-3</v>
      </c>
      <c r="AA44" s="27">
        <f>Y3</f>
        <v>7.3200000000000001E-4</v>
      </c>
      <c r="AB44" s="19">
        <f>SUM(U44:Z44)</f>
        <v>2.3859000000000005E-2</v>
      </c>
    </row>
    <row r="45" spans="1:28" x14ac:dyDescent="0.2">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
      <c r="C46" s="11"/>
      <c r="D46" s="12"/>
      <c r="F46" s="12"/>
      <c r="J46" s="12" t="s">
        <v>217</v>
      </c>
      <c r="K46" s="258" t="s">
        <v>30</v>
      </c>
      <c r="L46" s="258"/>
      <c r="M46" s="12"/>
      <c r="N46" s="140" t="s">
        <v>218</v>
      </c>
      <c r="O46" s="12"/>
      <c r="P46" s="12"/>
      <c r="Q46" s="12"/>
      <c r="R46" s="12"/>
      <c r="S46" s="12">
        <v>21</v>
      </c>
      <c r="T46" s="12">
        <v>6</v>
      </c>
      <c r="U46" s="12">
        <v>3</v>
      </c>
      <c r="V46" s="12">
        <v>22</v>
      </c>
      <c r="W46" s="12">
        <v>13</v>
      </c>
      <c r="X46" s="12">
        <v>20</v>
      </c>
      <c r="Y46" s="12">
        <v>24</v>
      </c>
      <c r="Z46" s="12">
        <v>25</v>
      </c>
      <c r="AA46" s="12">
        <v>26</v>
      </c>
    </row>
    <row r="47" spans="1:28" x14ac:dyDescent="0.2">
      <c r="A47" s="13" t="s">
        <v>219</v>
      </c>
      <c r="B47" s="14" t="s">
        <v>220</v>
      </c>
      <c r="C47" s="14"/>
      <c r="D47" s="136"/>
      <c r="F47" s="13" t="s">
        <v>221</v>
      </c>
      <c r="G47" s="13" t="s">
        <v>222</v>
      </c>
      <c r="H47" s="13" t="s">
        <v>223</v>
      </c>
      <c r="I47" s="12"/>
      <c r="J47" s="13" t="s">
        <v>224</v>
      </c>
      <c r="K47" s="13" t="s">
        <v>225</v>
      </c>
      <c r="L47" s="13" t="s">
        <v>226</v>
      </c>
      <c r="M47" s="15"/>
      <c r="N47" s="15"/>
      <c r="O47" s="15"/>
      <c r="P47" s="15"/>
      <c r="Q47" s="15"/>
      <c r="R47" s="15"/>
      <c r="S47" s="13" t="s">
        <v>180</v>
      </c>
      <c r="T47" s="13" t="s">
        <v>38</v>
      </c>
      <c r="U47" s="136" t="s">
        <v>40</v>
      </c>
      <c r="V47" s="13" t="s">
        <v>181</v>
      </c>
      <c r="W47" s="13" t="s">
        <v>182</v>
      </c>
      <c r="X47" s="13" t="s">
        <v>183</v>
      </c>
      <c r="Y47" s="136" t="s">
        <v>46</v>
      </c>
      <c r="Z47" s="136" t="s">
        <v>48</v>
      </c>
      <c r="AA47" s="136" t="s">
        <v>50</v>
      </c>
      <c r="AB47" s="66" t="s">
        <v>184</v>
      </c>
    </row>
    <row r="48" spans="1:28" x14ac:dyDescent="0.2">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x14ac:dyDescent="0.2">
      <c r="B49" s="103">
        <f>IF(AND('AES Indiana Bill Calc.'!$D$17="RS",'AES Indiana Bill Calc.'!$D$18="No"),'AES Indiana Bill Calc.'!$D$19,-1)</f>
        <v>-1</v>
      </c>
      <c r="C49" s="91" t="s">
        <v>227</v>
      </c>
      <c r="F49" s="36" t="s">
        <v>57</v>
      </c>
      <c r="G49" s="17">
        <f>SUM(J49:M49,O49:P49,R49:AA49)</f>
        <v>12.36</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0.01</v>
      </c>
      <c r="U49" s="17">
        <f t="shared" si="1"/>
        <v>0</v>
      </c>
      <c r="V49" s="17">
        <f t="shared" si="1"/>
        <v>-0.01</v>
      </c>
      <c r="W49" s="17">
        <f t="shared" si="1"/>
        <v>0</v>
      </c>
      <c r="X49" s="17">
        <f t="shared" si="1"/>
        <v>-0.01</v>
      </c>
      <c r="Y49" s="17">
        <f t="shared" si="1"/>
        <v>0</v>
      </c>
      <c r="Z49" s="17">
        <f t="shared" si="1"/>
        <v>0</v>
      </c>
      <c r="AA49" s="17">
        <f t="shared" si="1"/>
        <v>0</v>
      </c>
      <c r="AB49" s="19">
        <f>SUM(U44:AA44)+S44*S48</f>
        <v>2.4591000000000005E-2</v>
      </c>
      <c r="AC49" s="67" t="str">
        <f>+F49</f>
        <v>RS</v>
      </c>
    </row>
    <row r="50" spans="1:29" x14ac:dyDescent="0.2">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x14ac:dyDescent="0.2">
      <c r="A51" s="143"/>
      <c r="B51" s="103">
        <f>IF(AND('AES Indiana Bill Calc.'!$D$17="RS",'AES Indiana Bill Calc.'!$D$18="Yes 100%"),'AES Indiana Bill Calc.'!$D$19,-1)</f>
        <v>-1</v>
      </c>
      <c r="C51" s="1" t="s">
        <v>228</v>
      </c>
      <c r="F51" s="36" t="s">
        <v>57</v>
      </c>
      <c r="G51" s="17">
        <f>SUM(J51:M51,O51:P51,R51:AA51)</f>
        <v>12.36</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0.01</v>
      </c>
      <c r="U51" s="17">
        <f t="shared" si="2"/>
        <v>0</v>
      </c>
      <c r="V51" s="17">
        <f t="shared" si="2"/>
        <v>-0.01</v>
      </c>
      <c r="W51" s="17">
        <f t="shared" si="2"/>
        <v>0</v>
      </c>
      <c r="X51" s="17">
        <f t="shared" si="2"/>
        <v>-0.01</v>
      </c>
      <c r="Y51" s="17">
        <f t="shared" si="2"/>
        <v>0</v>
      </c>
      <c r="Z51" s="17">
        <f t="shared" si="2"/>
        <v>0</v>
      </c>
      <c r="AA51" s="17">
        <f t="shared" si="2"/>
        <v>0</v>
      </c>
      <c r="AB51" s="19">
        <f>SUM(U44:AA44)+S44*S50</f>
        <v>2.6391000000000005E-2</v>
      </c>
      <c r="AC51" s="67" t="str">
        <f>+F51</f>
        <v>RS</v>
      </c>
    </row>
    <row r="52" spans="1:29" x14ac:dyDescent="0.2">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x14ac:dyDescent="0.2">
      <c r="A53" s="143"/>
      <c r="B53" s="103">
        <f>IF(AND('AES Indiana Bill Calc.'!$D$17="RS",'AES Indiana Bill Calc.'!$D$18="Yes 50%"),'AES Indiana Bill Calc.'!$D$19,-1)</f>
        <v>-1</v>
      </c>
      <c r="C53" s="1" t="s">
        <v>229</v>
      </c>
      <c r="F53" s="36" t="s">
        <v>57</v>
      </c>
      <c r="G53" s="17">
        <f>SUM(J53:M53,O53:P53,R53:AA53)</f>
        <v>12.36</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0.01</v>
      </c>
      <c r="U53" s="17">
        <f t="shared" si="3"/>
        <v>0</v>
      </c>
      <c r="V53" s="17">
        <f t="shared" si="3"/>
        <v>-0.01</v>
      </c>
      <c r="W53" s="17">
        <f t="shared" si="3"/>
        <v>0</v>
      </c>
      <c r="X53" s="17">
        <f t="shared" si="3"/>
        <v>-0.01</v>
      </c>
      <c r="Y53" s="17">
        <f t="shared" si="3"/>
        <v>0</v>
      </c>
      <c r="Z53" s="17">
        <f t="shared" si="3"/>
        <v>0</v>
      </c>
      <c r="AA53" s="17">
        <f t="shared" si="3"/>
        <v>0</v>
      </c>
      <c r="AB53" s="19">
        <f>SUM(U46:AA46)+S46*S52</f>
        <v>143.5</v>
      </c>
      <c r="AC53" s="67" t="str">
        <f>+F53</f>
        <v>RS</v>
      </c>
    </row>
    <row r="54" spans="1:29" x14ac:dyDescent="0.2">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x14ac:dyDescent="0.2">
      <c r="A55" s="143"/>
      <c r="B55" s="103">
        <f>IF(AND('AES Indiana Bill Calc.'!$D$17="RS",'AES Indiana Bill Calc.'!$D$18="Yes 25%"),'AES Indiana Bill Calc.'!$D$19,-1)</f>
        <v>-1</v>
      </c>
      <c r="C55" s="1" t="s">
        <v>230</v>
      </c>
      <c r="F55" s="36" t="s">
        <v>57</v>
      </c>
      <c r="G55" s="17">
        <f>SUM(J55:M55,O55:P55,R55:AA55)</f>
        <v>12.36</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0.01</v>
      </c>
      <c r="U55" s="17">
        <f t="shared" si="4"/>
        <v>0</v>
      </c>
      <c r="V55" s="17">
        <f t="shared" si="4"/>
        <v>-0.01</v>
      </c>
      <c r="W55" s="17">
        <f t="shared" si="4"/>
        <v>0</v>
      </c>
      <c r="X55" s="17">
        <f t="shared" si="4"/>
        <v>-0.01</v>
      </c>
      <c r="Y55" s="17">
        <f t="shared" si="4"/>
        <v>0</v>
      </c>
      <c r="Z55" s="17">
        <f t="shared" si="4"/>
        <v>0</v>
      </c>
      <c r="AA55" s="17">
        <f t="shared" si="4"/>
        <v>0</v>
      </c>
      <c r="AB55" s="19">
        <f>SUM(U48:AA48)+S48*S54</f>
        <v>0</v>
      </c>
      <c r="AC55" s="67" t="str">
        <f>+F55</f>
        <v>RS</v>
      </c>
    </row>
    <row r="56" spans="1:29" x14ac:dyDescent="0.2">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5" thickBot="1" x14ac:dyDescent="0.25">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
      <c r="B59" s="103">
        <v>-1</v>
      </c>
      <c r="C59" s="7"/>
      <c r="H59" s="19"/>
      <c r="I59" s="19"/>
      <c r="J59" s="16"/>
      <c r="K59" s="16"/>
      <c r="L59" s="16"/>
      <c r="M59" s="17"/>
      <c r="N59" s="17"/>
      <c r="O59" s="17"/>
      <c r="P59" s="17"/>
      <c r="Q59" s="17"/>
      <c r="R59" s="7"/>
      <c r="S59" s="6"/>
      <c r="T59" s="6"/>
      <c r="U59" s="6"/>
      <c r="V59" s="6"/>
      <c r="W59" s="6"/>
      <c r="X59" s="6"/>
      <c r="Y59" s="6"/>
      <c r="Z59" s="6"/>
      <c r="AA59" s="6"/>
    </row>
    <row r="60" spans="1:29" x14ac:dyDescent="0.2">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-5.5440000000000003E-3</v>
      </c>
      <c r="U60" s="27">
        <f t="shared" si="6"/>
        <v>4.7739999999999996E-3</v>
      </c>
      <c r="V60" s="27">
        <f t="shared" si="6"/>
        <v>6.1580000000000003E-3</v>
      </c>
      <c r="W60" s="27">
        <f t="shared" si="6"/>
        <v>0</v>
      </c>
      <c r="X60" s="27">
        <f t="shared" si="6"/>
        <v>9.3299999999999998E-3</v>
      </c>
      <c r="Y60" s="27">
        <f t="shared" si="6"/>
        <v>-5.1900000000000004E-4</v>
      </c>
      <c r="Z60" s="27">
        <f t="shared" si="6"/>
        <v>4.1159999999999999E-3</v>
      </c>
      <c r="AA60" s="27">
        <f t="shared" si="6"/>
        <v>7.3200000000000001E-4</v>
      </c>
      <c r="AB60" s="19">
        <f>SUM(U60:Z60)</f>
        <v>2.3859000000000005E-2</v>
      </c>
    </row>
    <row r="61" spans="1:29" x14ac:dyDescent="0.2">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
      <c r="B62" s="103">
        <v>-1</v>
      </c>
      <c r="C62" s="11"/>
      <c r="D62" s="12"/>
      <c r="F62" s="12"/>
      <c r="J62" s="12" t="s">
        <v>217</v>
      </c>
      <c r="K62" s="258" t="s">
        <v>30</v>
      </c>
      <c r="L62" s="258"/>
      <c r="M62" s="258"/>
      <c r="N62" s="12"/>
      <c r="O62" s="12"/>
      <c r="P62" s="12"/>
      <c r="Q62" s="12"/>
      <c r="R62" s="12"/>
      <c r="S62" s="12">
        <v>21</v>
      </c>
      <c r="T62" s="12">
        <v>6</v>
      </c>
      <c r="U62" s="12">
        <v>3</v>
      </c>
      <c r="V62" s="12">
        <v>22</v>
      </c>
      <c r="W62" s="12">
        <v>13</v>
      </c>
      <c r="X62" s="12">
        <v>20</v>
      </c>
      <c r="Y62" s="12">
        <v>24</v>
      </c>
      <c r="Z62" s="12">
        <v>25</v>
      </c>
      <c r="AA62" s="12">
        <v>26</v>
      </c>
    </row>
    <row r="63" spans="1:29" x14ac:dyDescent="0.2">
      <c r="A63" s="13"/>
      <c r="B63" s="14">
        <v>-1</v>
      </c>
      <c r="C63" s="14"/>
      <c r="D63" s="13"/>
      <c r="F63" s="13" t="s">
        <v>221</v>
      </c>
      <c r="G63" s="13" t="s">
        <v>222</v>
      </c>
      <c r="H63" s="13" t="s">
        <v>223</v>
      </c>
      <c r="I63" s="12"/>
      <c r="J63" s="13" t="s">
        <v>224</v>
      </c>
      <c r="K63" s="13" t="s">
        <v>225</v>
      </c>
      <c r="L63" s="13" t="s">
        <v>231</v>
      </c>
      <c r="M63" s="13" t="s">
        <v>232</v>
      </c>
      <c r="N63" s="13"/>
      <c r="O63" s="13"/>
      <c r="P63" s="13"/>
      <c r="Q63" s="13"/>
      <c r="R63" s="15"/>
      <c r="S63" s="13" t="s">
        <v>180</v>
      </c>
      <c r="T63" s="13" t="s">
        <v>38</v>
      </c>
      <c r="U63" s="136" t="s">
        <v>40</v>
      </c>
      <c r="V63" s="13" t="s">
        <v>181</v>
      </c>
      <c r="W63" s="13" t="s">
        <v>182</v>
      </c>
      <c r="X63" s="13" t="s">
        <v>183</v>
      </c>
      <c r="Y63" s="136" t="s">
        <v>46</v>
      </c>
      <c r="Z63" s="136" t="s">
        <v>48</v>
      </c>
      <c r="AA63" s="136" t="s">
        <v>50</v>
      </c>
      <c r="AB63" s="66" t="s">
        <v>184</v>
      </c>
    </row>
    <row r="64" spans="1:29" x14ac:dyDescent="0.2">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x14ac:dyDescent="0.2">
      <c r="B65" s="103">
        <f>IF(AND('AES Indiana Bill Calc.'!$D$17="RC",'AES Indiana Bill Calc.'!$D$18="Yes 25%"),'AES Indiana Bill Calc.'!$D$19,-1)</f>
        <v>-1</v>
      </c>
      <c r="C65" s="78" t="s">
        <v>230</v>
      </c>
      <c r="F65" s="36" t="s">
        <v>60</v>
      </c>
      <c r="G65" s="17">
        <f>SUM(J65:M65,O65:P65,R65:AA65)</f>
        <v>12.36</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0.01</v>
      </c>
      <c r="U65" s="17">
        <f t="shared" ref="U65:AA71" si="7">ROUND($B65*U$60,2)</f>
        <v>0</v>
      </c>
      <c r="V65" s="17">
        <f t="shared" si="7"/>
        <v>-0.01</v>
      </c>
      <c r="W65" s="17">
        <f t="shared" si="7"/>
        <v>0</v>
      </c>
      <c r="X65" s="17">
        <f t="shared" si="7"/>
        <v>-0.01</v>
      </c>
      <c r="Y65" s="17">
        <f t="shared" si="7"/>
        <v>0</v>
      </c>
      <c r="Z65" s="17">
        <f t="shared" si="7"/>
        <v>0</v>
      </c>
      <c r="AA65" s="17">
        <f t="shared" si="7"/>
        <v>0</v>
      </c>
      <c r="AB65" s="19">
        <f>SUM(U60:AA60)</f>
        <v>2.4591000000000005E-2</v>
      </c>
      <c r="AC65" s="67" t="str">
        <f>+F65</f>
        <v>RC</v>
      </c>
    </row>
    <row r="66" spans="1:29" x14ac:dyDescent="0.2">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x14ac:dyDescent="0.2">
      <c r="B67" s="103">
        <f>IF(AND('AES Indiana Bill Calc.'!$D$17="RC",'AES Indiana Bill Calc.'!$D$18="Yes 50%"),'AES Indiana Bill Calc.'!$D$19,-1)</f>
        <v>-1</v>
      </c>
      <c r="C67" s="1" t="s">
        <v>233</v>
      </c>
      <c r="F67" s="36" t="s">
        <v>60</v>
      </c>
      <c r="G67" s="17">
        <f>SUM(J67:M67,O67:P67,R67:AA67)</f>
        <v>12.36</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0.01</v>
      </c>
      <c r="U67" s="17">
        <f t="shared" si="7"/>
        <v>0</v>
      </c>
      <c r="V67" s="17">
        <f t="shared" si="7"/>
        <v>-0.01</v>
      </c>
      <c r="W67" s="17">
        <f t="shared" si="7"/>
        <v>0</v>
      </c>
      <c r="X67" s="17">
        <f t="shared" si="7"/>
        <v>-0.01</v>
      </c>
      <c r="Y67" s="17">
        <f t="shared" si="7"/>
        <v>0</v>
      </c>
      <c r="Z67" s="17">
        <f t="shared" si="7"/>
        <v>0</v>
      </c>
      <c r="AA67" s="17">
        <f t="shared" si="7"/>
        <v>0</v>
      </c>
      <c r="AB67" s="19">
        <f>SUM(U60:AA60)+S60*S66</f>
        <v>2.5491000000000007E-2</v>
      </c>
      <c r="AC67" s="67" t="str">
        <f>+F67</f>
        <v>RC</v>
      </c>
    </row>
    <row r="68" spans="1:29" x14ac:dyDescent="0.2">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x14ac:dyDescent="0.2">
      <c r="B69" s="103">
        <f>IF(AND('AES Indiana Bill Calc.'!$D$17="RC",'AES Indiana Bill Calc.'!$D$18="No"),'AES Indiana Bill Calc.'!$D$19,-1)</f>
        <v>-1</v>
      </c>
      <c r="C69" s="1" t="s">
        <v>227</v>
      </c>
      <c r="F69" s="36" t="s">
        <v>60</v>
      </c>
      <c r="G69" s="17">
        <f>SUM(J69:M69,O69:P69,R69:AA69)</f>
        <v>12.36</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0.01</v>
      </c>
      <c r="U69" s="17">
        <f t="shared" si="7"/>
        <v>0</v>
      </c>
      <c r="V69" s="17">
        <f t="shared" si="7"/>
        <v>-0.01</v>
      </c>
      <c r="W69" s="17">
        <f t="shared" si="7"/>
        <v>0</v>
      </c>
      <c r="X69" s="17">
        <f t="shared" si="7"/>
        <v>-0.01</v>
      </c>
      <c r="Y69" s="17">
        <f t="shared" si="7"/>
        <v>0</v>
      </c>
      <c r="Z69" s="17">
        <f t="shared" si="7"/>
        <v>0</v>
      </c>
      <c r="AA69" s="17">
        <f t="shared" si="7"/>
        <v>0</v>
      </c>
      <c r="AB69" s="19">
        <f>SUM(U62:AA62)+S62*S68</f>
        <v>133</v>
      </c>
      <c r="AC69" s="67" t="str">
        <f>+F69</f>
        <v>RC</v>
      </c>
    </row>
    <row r="70" spans="1:29" x14ac:dyDescent="0.2">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x14ac:dyDescent="0.2">
      <c r="B71" s="103">
        <f>IF(AND('AES Indiana Bill Calc.'!$D$17="RC",'AES Indiana Bill Calc.'!$D$18="Yes 100%"),'AES Indiana Bill Calc.'!$D$19,-1)</f>
        <v>-1</v>
      </c>
      <c r="C71" s="1" t="s">
        <v>228</v>
      </c>
      <c r="F71" s="36" t="s">
        <v>60</v>
      </c>
      <c r="G71" s="17">
        <f>SUM(J71:M71,O71:P71,R71:AA71)</f>
        <v>12.36</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0.01</v>
      </c>
      <c r="U71" s="17">
        <f t="shared" si="7"/>
        <v>0</v>
      </c>
      <c r="V71" s="17">
        <f t="shared" si="7"/>
        <v>-0.01</v>
      </c>
      <c r="W71" s="17">
        <f t="shared" si="7"/>
        <v>0</v>
      </c>
      <c r="X71" s="17">
        <f t="shared" si="7"/>
        <v>-0.01</v>
      </c>
      <c r="Y71" s="17">
        <f t="shared" si="7"/>
        <v>0</v>
      </c>
      <c r="Z71" s="17">
        <f t="shared" si="7"/>
        <v>0</v>
      </c>
      <c r="AA71" s="17">
        <f t="shared" si="7"/>
        <v>0</v>
      </c>
      <c r="AB71" s="19">
        <f>SUM(U64:AA64)+S64*S70</f>
        <v>0.25</v>
      </c>
      <c r="AC71" s="67" t="str">
        <f>+F71</f>
        <v>RC</v>
      </c>
    </row>
    <row r="72" spans="1:29" x14ac:dyDescent="0.2">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
      <c r="B73" s="103">
        <v>-1</v>
      </c>
      <c r="C73" s="4"/>
      <c r="H73" s="19"/>
      <c r="I73" s="19"/>
      <c r="J73" s="8"/>
      <c r="K73" s="16"/>
      <c r="L73" s="16"/>
      <c r="M73" s="17"/>
      <c r="N73" s="17"/>
      <c r="O73" s="17"/>
      <c r="P73" s="17"/>
      <c r="Q73" s="17"/>
      <c r="R73" s="17"/>
      <c r="S73" s="6"/>
      <c r="T73" s="6"/>
      <c r="U73" s="6"/>
      <c r="V73" s="6"/>
      <c r="W73" s="6"/>
      <c r="X73" s="6"/>
      <c r="Y73" s="6"/>
      <c r="Z73" s="6"/>
      <c r="AA73" s="6"/>
    </row>
    <row r="74" spans="1:29" x14ac:dyDescent="0.2">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-5.5440000000000003E-3</v>
      </c>
      <c r="U74" s="27">
        <f t="shared" si="8"/>
        <v>4.7739999999999996E-3</v>
      </c>
      <c r="V74" s="27">
        <f t="shared" si="8"/>
        <v>6.1580000000000003E-3</v>
      </c>
      <c r="W74" s="27">
        <f t="shared" si="8"/>
        <v>0</v>
      </c>
      <c r="X74" s="27">
        <f t="shared" si="8"/>
        <v>9.3299999999999998E-3</v>
      </c>
      <c r="Y74" s="27">
        <f t="shared" si="8"/>
        <v>-5.1900000000000004E-4</v>
      </c>
      <c r="Z74" s="27">
        <f t="shared" si="8"/>
        <v>4.1159999999999999E-3</v>
      </c>
      <c r="AA74" s="27">
        <f t="shared" si="8"/>
        <v>7.3200000000000001E-4</v>
      </c>
      <c r="AB74" s="19">
        <f>SUM(U74:Z74)</f>
        <v>2.3859000000000005E-2</v>
      </c>
    </row>
    <row r="75" spans="1:29" x14ac:dyDescent="0.2">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x14ac:dyDescent="0.2">
      <c r="B76" s="103">
        <v>-1</v>
      </c>
      <c r="C76" s="29"/>
      <c r="F76" s="12"/>
      <c r="J76" s="12" t="s">
        <v>217</v>
      </c>
      <c r="K76" s="258" t="s">
        <v>30</v>
      </c>
      <c r="L76" s="258"/>
      <c r="M76" s="258"/>
      <c r="N76" s="12"/>
      <c r="O76" s="12"/>
      <c r="P76" s="12"/>
      <c r="Q76" s="12"/>
      <c r="R76" s="12"/>
      <c r="S76" s="12">
        <v>21</v>
      </c>
      <c r="T76" s="12">
        <v>6</v>
      </c>
      <c r="U76" s="12">
        <v>3</v>
      </c>
      <c r="V76" s="12">
        <v>22</v>
      </c>
      <c r="W76" s="12">
        <v>13</v>
      </c>
      <c r="X76" s="12">
        <v>20</v>
      </c>
      <c r="Y76" s="12">
        <v>24</v>
      </c>
      <c r="Z76" s="12">
        <v>25</v>
      </c>
      <c r="AA76" s="12">
        <v>26</v>
      </c>
    </row>
    <row r="77" spans="1:29" x14ac:dyDescent="0.2">
      <c r="A77" s="13"/>
      <c r="B77" s="14">
        <v>-1</v>
      </c>
      <c r="C77" s="14"/>
      <c r="D77" s="15"/>
      <c r="F77" s="13" t="s">
        <v>221</v>
      </c>
      <c r="G77" s="13" t="s">
        <v>222</v>
      </c>
      <c r="H77" s="13" t="s">
        <v>223</v>
      </c>
      <c r="I77" s="12"/>
      <c r="J77" s="13" t="s">
        <v>224</v>
      </c>
      <c r="K77" s="13" t="s">
        <v>225</v>
      </c>
      <c r="L77" s="13" t="s">
        <v>231</v>
      </c>
      <c r="M77" s="13" t="s">
        <v>232</v>
      </c>
      <c r="N77" s="13"/>
      <c r="O77" s="13"/>
      <c r="P77" s="13"/>
      <c r="Q77" s="13"/>
      <c r="R77" s="13"/>
      <c r="S77" s="13" t="s">
        <v>180</v>
      </c>
      <c r="T77" s="13" t="s">
        <v>38</v>
      </c>
      <c r="U77" s="136" t="s">
        <v>40</v>
      </c>
      <c r="V77" s="13" t="s">
        <v>181</v>
      </c>
      <c r="W77" s="13" t="s">
        <v>182</v>
      </c>
      <c r="X77" s="13" t="s">
        <v>183</v>
      </c>
      <c r="Y77" s="136" t="s">
        <v>46</v>
      </c>
      <c r="Z77" s="136" t="s">
        <v>48</v>
      </c>
      <c r="AA77" s="136" t="s">
        <v>50</v>
      </c>
      <c r="AB77" s="66" t="s">
        <v>184</v>
      </c>
    </row>
    <row r="78" spans="1:29" x14ac:dyDescent="0.2">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x14ac:dyDescent="0.2">
      <c r="B79" s="103">
        <f>IF(AND('AES Indiana Bill Calc.'!$D$17="RH",'AES Indiana Bill Calc.'!$D$18="No"),'AES Indiana Bill Calc.'!$D$19,-1)</f>
        <v>-1</v>
      </c>
      <c r="C79" s="1" t="s">
        <v>227</v>
      </c>
      <c r="F79" s="36" t="s">
        <v>62</v>
      </c>
      <c r="G79" s="17">
        <f>SUM(J79:M79,O79:P79,R79:AA79)</f>
        <v>12.36</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0.01</v>
      </c>
      <c r="U79" s="17">
        <f t="shared" si="9"/>
        <v>0</v>
      </c>
      <c r="V79" s="17">
        <f t="shared" si="9"/>
        <v>-0.01</v>
      </c>
      <c r="W79" s="17">
        <f t="shared" si="9"/>
        <v>0</v>
      </c>
      <c r="X79" s="17">
        <f t="shared" si="9"/>
        <v>-0.01</v>
      </c>
      <c r="Y79" s="17">
        <f t="shared" si="9"/>
        <v>0</v>
      </c>
      <c r="Z79" s="17">
        <f t="shared" si="9"/>
        <v>0</v>
      </c>
      <c r="AA79" s="17">
        <f t="shared" si="9"/>
        <v>0</v>
      </c>
      <c r="AB79" s="19">
        <f>SUM(U74:AA74)</f>
        <v>2.4591000000000005E-2</v>
      </c>
      <c r="AC79" s="67" t="str">
        <f>+F79</f>
        <v>RH</v>
      </c>
    </row>
    <row r="80" spans="1:29" x14ac:dyDescent="0.2">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x14ac:dyDescent="0.2">
      <c r="B81" s="103">
        <f>IF(AND('AES Indiana Bill Calc.'!$D$17="RH",'AES Indiana Bill Calc.'!$D$18="Yes 100%"),'AES Indiana Bill Calc.'!$D$19,-1)</f>
        <v>-1</v>
      </c>
      <c r="C81" s="1" t="s">
        <v>228</v>
      </c>
      <c r="F81" s="36" t="s">
        <v>62</v>
      </c>
      <c r="G81" s="17">
        <f>SUM(J81:M81,O81:P81,R81:AA81)</f>
        <v>12.36</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0.01</v>
      </c>
      <c r="U81" s="17">
        <f t="shared" ref="U81:AA85" si="10">ROUND($B81*U$74,2)</f>
        <v>0</v>
      </c>
      <c r="V81" s="17">
        <f t="shared" si="10"/>
        <v>-0.01</v>
      </c>
      <c r="W81" s="17">
        <f t="shared" si="10"/>
        <v>0</v>
      </c>
      <c r="X81" s="17">
        <f t="shared" si="10"/>
        <v>-0.01</v>
      </c>
      <c r="Y81" s="17">
        <f t="shared" si="10"/>
        <v>0</v>
      </c>
      <c r="Z81" s="17">
        <f t="shared" si="10"/>
        <v>0</v>
      </c>
      <c r="AA81" s="17">
        <f t="shared" si="10"/>
        <v>0</v>
      </c>
      <c r="AB81" s="19">
        <f>SUM(U74:AA74)+S74*S80</f>
        <v>2.6391000000000005E-2</v>
      </c>
      <c r="AC81" s="67" t="str">
        <f>+F81</f>
        <v>RH</v>
      </c>
    </row>
    <row r="82" spans="1:29" x14ac:dyDescent="0.2">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x14ac:dyDescent="0.2">
      <c r="B83" s="103">
        <f>IF(AND('AES Indiana Bill Calc.'!$D$17="RH",'AES Indiana Bill Calc.'!$D$18="Yes 50%"),'AES Indiana Bill Calc.'!$D$19,-1)</f>
        <v>-1</v>
      </c>
      <c r="C83" s="1" t="s">
        <v>229</v>
      </c>
      <c r="F83" s="36" t="s">
        <v>62</v>
      </c>
      <c r="G83" s="17">
        <f>SUM(J83:M83,O83:P83,R83:AA83)</f>
        <v>12.36</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0.01</v>
      </c>
      <c r="U83" s="17">
        <f t="shared" si="10"/>
        <v>0</v>
      </c>
      <c r="V83" s="17">
        <f t="shared" si="10"/>
        <v>-0.01</v>
      </c>
      <c r="W83" s="17">
        <f t="shared" si="10"/>
        <v>0</v>
      </c>
      <c r="X83" s="17">
        <f t="shared" si="10"/>
        <v>-0.01</v>
      </c>
      <c r="Y83" s="17">
        <f t="shared" si="10"/>
        <v>0</v>
      </c>
      <c r="Z83" s="17">
        <f t="shared" si="10"/>
        <v>0</v>
      </c>
      <c r="AA83" s="17">
        <f t="shared" si="10"/>
        <v>0</v>
      </c>
      <c r="AB83" s="19">
        <f>SUM(U76:AA76)+S76*S82</f>
        <v>143.5</v>
      </c>
      <c r="AC83" s="67" t="str">
        <f>+F83</f>
        <v>RH</v>
      </c>
    </row>
    <row r="84" spans="1:29" x14ac:dyDescent="0.2">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x14ac:dyDescent="0.2">
      <c r="B85" s="103">
        <f>IF(AND('AES Indiana Bill Calc.'!$D$17="RH",'AES Indiana Bill Calc.'!$D$18="Yes 25%"),'AES Indiana Bill Calc.'!$D$19,-1)</f>
        <v>-1</v>
      </c>
      <c r="C85" s="1" t="s">
        <v>230</v>
      </c>
      <c r="F85" s="36" t="s">
        <v>62</v>
      </c>
      <c r="G85" s="17">
        <f>SUM(J85:M85,O85:P85,R85:AA85)</f>
        <v>12.36</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0.01</v>
      </c>
      <c r="U85" s="17">
        <f t="shared" si="10"/>
        <v>0</v>
      </c>
      <c r="V85" s="17">
        <f t="shared" si="10"/>
        <v>-0.01</v>
      </c>
      <c r="W85" s="17">
        <f t="shared" si="10"/>
        <v>0</v>
      </c>
      <c r="X85" s="17">
        <f t="shared" si="10"/>
        <v>-0.01</v>
      </c>
      <c r="Y85" s="17">
        <f t="shared" si="10"/>
        <v>0</v>
      </c>
      <c r="Z85" s="17">
        <f t="shared" si="10"/>
        <v>0</v>
      </c>
      <c r="AA85" s="17">
        <f t="shared" si="10"/>
        <v>0</v>
      </c>
      <c r="AB85" s="19">
        <f>SUM(U78:AA78)+S78*S84</f>
        <v>0</v>
      </c>
      <c r="AC85" s="67" t="str">
        <f>+F85</f>
        <v>RH</v>
      </c>
    </row>
    <row r="86" spans="1:29" x14ac:dyDescent="0.2">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2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
      <c r="B88" s="103">
        <v>-1</v>
      </c>
      <c r="V88" s="27"/>
      <c r="W88" s="6"/>
      <c r="AB88" s="19" t="e">
        <f>+AB$99-V$99+#REF!</f>
        <v>#REF!</v>
      </c>
    </row>
    <row r="89" spans="1:29" x14ac:dyDescent="0.2">
      <c r="B89" s="103">
        <v>-1</v>
      </c>
      <c r="S89" s="6"/>
      <c r="T89" s="6"/>
      <c r="U89" s="6"/>
      <c r="V89" s="27">
        <f>+T11</f>
        <v>0</v>
      </c>
      <c r="W89" s="6" t="s">
        <v>234</v>
      </c>
      <c r="X89" s="6"/>
      <c r="Y89" s="6"/>
      <c r="Z89" s="6"/>
      <c r="AA89" s="6"/>
      <c r="AB89" s="19"/>
    </row>
    <row r="90" spans="1:29" x14ac:dyDescent="0.2">
      <c r="B90" s="103">
        <v>-1</v>
      </c>
      <c r="S90" s="6"/>
      <c r="T90" s="6"/>
      <c r="U90" s="6"/>
      <c r="V90" s="27">
        <f>T15</f>
        <v>0</v>
      </c>
      <c r="W90" s="6" t="s">
        <v>235</v>
      </c>
      <c r="X90" s="6"/>
      <c r="Y90" s="6"/>
      <c r="Z90" s="6"/>
      <c r="AA90" s="6"/>
      <c r="AB90" s="19"/>
    </row>
    <row r="91" spans="1:29" x14ac:dyDescent="0.2">
      <c r="B91" s="103">
        <v>-1</v>
      </c>
      <c r="S91" s="6"/>
      <c r="T91" s="6"/>
      <c r="U91" s="6"/>
      <c r="V91" s="27">
        <f>$T$18</f>
        <v>0</v>
      </c>
      <c r="W91" s="6" t="s">
        <v>236</v>
      </c>
      <c r="X91" s="6"/>
      <c r="Y91" s="6"/>
      <c r="Z91" s="6"/>
      <c r="AA91" s="6"/>
      <c r="AB91" s="19"/>
    </row>
    <row r="92" spans="1:29" x14ac:dyDescent="0.2">
      <c r="B92" s="103">
        <v>-1</v>
      </c>
      <c r="S92" s="6"/>
      <c r="T92" s="6"/>
      <c r="U92" s="6"/>
      <c r="V92" s="27">
        <f>$T$20</f>
        <v>0</v>
      </c>
      <c r="W92" s="6" t="s">
        <v>237</v>
      </c>
      <c r="X92" s="6"/>
      <c r="Y92" s="6"/>
      <c r="Z92" s="6"/>
      <c r="AA92" s="6"/>
      <c r="AB92" s="19"/>
    </row>
    <row r="93" spans="1:29" x14ac:dyDescent="0.2">
      <c r="B93" s="103">
        <v>-1</v>
      </c>
      <c r="S93" s="6"/>
      <c r="T93" s="6"/>
      <c r="U93" s="6"/>
      <c r="V93" s="27">
        <f>$T$22</f>
        <v>-2.5219999999999999E-3</v>
      </c>
      <c r="W93" s="6" t="s">
        <v>238</v>
      </c>
      <c r="X93" s="6"/>
      <c r="Y93" s="6"/>
      <c r="Z93" s="6"/>
      <c r="AA93" s="6"/>
      <c r="AB93" s="19"/>
    </row>
    <row r="94" spans="1:29" x14ac:dyDescent="0.2">
      <c r="B94" s="103">
        <v>-1</v>
      </c>
      <c r="S94" s="6"/>
      <c r="T94" s="6"/>
      <c r="U94" s="6"/>
      <c r="V94" s="121">
        <f>T24</f>
        <v>0</v>
      </c>
      <c r="W94" s="6" t="s">
        <v>239</v>
      </c>
      <c r="X94" s="6"/>
      <c r="Y94" s="6"/>
      <c r="Z94" s="6"/>
      <c r="AA94" s="6"/>
      <c r="AB94" s="19"/>
    </row>
    <row r="95" spans="1:29" x14ac:dyDescent="0.2">
      <c r="B95" s="103">
        <v>-1</v>
      </c>
      <c r="S95" s="6"/>
      <c r="T95" s="6"/>
      <c r="U95" s="6"/>
      <c r="V95" s="19">
        <f>T26</f>
        <v>0</v>
      </c>
      <c r="W95" s="6" t="s">
        <v>240</v>
      </c>
      <c r="X95" s="6"/>
      <c r="Y95" s="6"/>
      <c r="Z95" s="6"/>
      <c r="AA95" s="6"/>
      <c r="AB95" s="19"/>
    </row>
    <row r="96" spans="1:29" x14ac:dyDescent="0.2">
      <c r="B96" s="103">
        <v>-1</v>
      </c>
      <c r="S96" s="6"/>
      <c r="T96" s="6"/>
      <c r="U96" s="6"/>
      <c r="V96" s="19">
        <f>T28</f>
        <v>-1.1789999999999999E-3</v>
      </c>
      <c r="W96" s="6" t="s">
        <v>241</v>
      </c>
      <c r="X96" s="6"/>
      <c r="Y96" s="6"/>
      <c r="Z96" s="6"/>
      <c r="AA96" s="6"/>
      <c r="AB96" s="19"/>
    </row>
    <row r="97" spans="1:29" x14ac:dyDescent="0.2">
      <c r="B97" s="103">
        <v>-1</v>
      </c>
      <c r="S97" s="6"/>
      <c r="T97" s="6"/>
      <c r="U97" s="6"/>
      <c r="V97" s="19">
        <f>T30</f>
        <v>0</v>
      </c>
      <c r="W97" s="6" t="s">
        <v>242</v>
      </c>
      <c r="X97" s="6"/>
      <c r="Y97" s="6"/>
      <c r="Z97" s="6"/>
      <c r="AA97" s="6"/>
      <c r="AB97" s="19"/>
    </row>
    <row r="98" spans="1:29" x14ac:dyDescent="0.2">
      <c r="B98" s="103"/>
      <c r="S98" s="6"/>
      <c r="T98" s="6"/>
      <c r="U98" s="6"/>
      <c r="V98" s="19">
        <f>T32</f>
        <v>5.8520000000000004E-3</v>
      </c>
      <c r="W98" s="6" t="s">
        <v>243</v>
      </c>
      <c r="X98" s="6"/>
      <c r="Y98" s="6"/>
      <c r="Z98" s="6"/>
      <c r="AA98" s="6"/>
      <c r="AB98" s="19"/>
    </row>
    <row r="99" spans="1:29" x14ac:dyDescent="0.2">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-5.5440000000000003E-3</v>
      </c>
      <c r="U99" s="117">
        <f>+S$4</f>
        <v>3.4810000000000002E-3</v>
      </c>
      <c r="V99" s="27">
        <f>+T$4</f>
        <v>1.2638E-2</v>
      </c>
      <c r="W99" s="27">
        <f t="shared" si="11"/>
        <v>0</v>
      </c>
      <c r="X99" s="27">
        <f t="shared" si="11"/>
        <v>9.1430000000000001E-3</v>
      </c>
      <c r="Y99" s="27">
        <f t="shared" si="11"/>
        <v>-8.1800000000000004E-4</v>
      </c>
      <c r="Z99" s="27">
        <f t="shared" si="11"/>
        <v>4.2139999999999999E-3</v>
      </c>
      <c r="AA99" s="27">
        <f t="shared" si="11"/>
        <v>7.0699999999999995E-4</v>
      </c>
      <c r="AB99" s="19">
        <f>SUM(U99:Z99)</f>
        <v>2.8657999999999999E-2</v>
      </c>
    </row>
    <row r="100" spans="1:29" x14ac:dyDescent="0.2">
      <c r="A100" s="1"/>
      <c r="B100" s="103">
        <v>-1</v>
      </c>
      <c r="F100" s="72"/>
      <c r="G100" s="70"/>
      <c r="H100" s="70"/>
      <c r="I100" s="70"/>
      <c r="J100" s="73">
        <v>5000</v>
      </c>
      <c r="K100" s="73">
        <v>5000</v>
      </c>
      <c r="L100" s="70"/>
    </row>
    <row r="101" spans="1:29" x14ac:dyDescent="0.2">
      <c r="B101" s="103">
        <v>-1</v>
      </c>
      <c r="F101" s="12"/>
      <c r="J101" s="12" t="s">
        <v>217</v>
      </c>
      <c r="K101" s="258" t="s">
        <v>30</v>
      </c>
      <c r="L101" s="258"/>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
      <c r="A102" s="13"/>
      <c r="B102" s="14">
        <v>-1</v>
      </c>
      <c r="C102" s="14"/>
      <c r="D102" s="15"/>
      <c r="F102" s="13" t="s">
        <v>221</v>
      </c>
      <c r="G102" s="13" t="s">
        <v>222</v>
      </c>
      <c r="H102" s="13" t="s">
        <v>223</v>
      </c>
      <c r="I102" s="12"/>
      <c r="J102" s="13" t="s">
        <v>224</v>
      </c>
      <c r="K102" s="13" t="s">
        <v>244</v>
      </c>
      <c r="L102" s="13" t="s">
        <v>245</v>
      </c>
      <c r="M102" s="13"/>
      <c r="N102" s="140" t="s">
        <v>218</v>
      </c>
      <c r="O102" s="13"/>
      <c r="P102" s="13"/>
      <c r="Q102" s="13"/>
      <c r="R102" s="13"/>
      <c r="S102" s="13" t="s">
        <v>180</v>
      </c>
      <c r="T102" s="13" t="s">
        <v>38</v>
      </c>
      <c r="U102" s="136" t="s">
        <v>40</v>
      </c>
      <c r="V102" s="13" t="s">
        <v>181</v>
      </c>
      <c r="W102" s="13" t="s">
        <v>182</v>
      </c>
      <c r="X102" s="13" t="s">
        <v>183</v>
      </c>
      <c r="Y102" s="136" t="s">
        <v>46</v>
      </c>
      <c r="Z102" s="136" t="s">
        <v>48</v>
      </c>
      <c r="AA102" s="136" t="s">
        <v>50</v>
      </c>
      <c r="AB102" s="66" t="s">
        <v>184</v>
      </c>
    </row>
    <row r="103" spans="1:29" x14ac:dyDescent="0.2">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x14ac:dyDescent="0.2">
      <c r="B104" s="103">
        <f>IF(AND('AES Indiana Bill Calc.'!$D$17="SS",'AES Indiana Bill Calc.'!$D$18="No",'AES Indiana Bill Calc.'!$D$20="No"),'AES Indiana Bill Calc.'!$D$19,-1)</f>
        <v>-1</v>
      </c>
      <c r="C104" s="1" t="s">
        <v>227</v>
      </c>
      <c r="F104" s="36" t="s">
        <v>64</v>
      </c>
      <c r="G104" s="17">
        <f>SUM(J104:M104,O104:P104,R104:AA104)</f>
        <v>39.870000000000005</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0.01</v>
      </c>
      <c r="U104" s="116">
        <f t="shared" si="12"/>
        <v>0</v>
      </c>
      <c r="V104" s="17">
        <f>ROUND($B104*V$99,2)</f>
        <v>-0.01</v>
      </c>
      <c r="W104" s="17">
        <f t="shared" si="12"/>
        <v>0</v>
      </c>
      <c r="X104" s="17">
        <f t="shared" si="12"/>
        <v>-0.01</v>
      </c>
      <c r="Y104" s="17">
        <f t="shared" si="12"/>
        <v>0</v>
      </c>
      <c r="Z104" s="17">
        <f t="shared" si="12"/>
        <v>0</v>
      </c>
      <c r="AA104" s="17">
        <f t="shared" si="12"/>
        <v>0</v>
      </c>
      <c r="AB104" s="19">
        <f>SUM(U99:AA99)</f>
        <v>2.9364999999999999E-2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x14ac:dyDescent="0.2">
      <c r="A106" s="89"/>
      <c r="B106" s="103">
        <f>IF(AND('AES Indiana Bill Calc.'!$D$17="SS",'AES Indiana Bill Calc.'!$D$18="Yes 100%",'AES Indiana Bill Calc.'!$D$20="No"),'AES Indiana Bill Calc.'!$D$19,-1)</f>
        <v>-1</v>
      </c>
      <c r="C106" s="1" t="s">
        <v>228</v>
      </c>
      <c r="F106" s="36" t="s">
        <v>64</v>
      </c>
      <c r="G106" s="17">
        <f>SUM(J106:M106,O106:P106,R106:AA106)</f>
        <v>39.870000000000005</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0.01</v>
      </c>
      <c r="U106" s="17">
        <f t="shared" si="13"/>
        <v>0</v>
      </c>
      <c r="V106" s="17">
        <f>ROUND($B106*V$99,2)</f>
        <v>-0.01</v>
      </c>
      <c r="W106" s="17">
        <f t="shared" si="13"/>
        <v>0</v>
      </c>
      <c r="X106" s="17">
        <f t="shared" si="13"/>
        <v>-0.01</v>
      </c>
      <c r="Y106" s="17">
        <f t="shared" si="13"/>
        <v>0</v>
      </c>
      <c r="Z106" s="17">
        <f t="shared" si="13"/>
        <v>0</v>
      </c>
      <c r="AA106" s="17">
        <f t="shared" si="13"/>
        <v>0</v>
      </c>
      <c r="AB106" s="19">
        <f>SUM(U$99:AA$99)</f>
        <v>2.9364999999999999E-2</v>
      </c>
      <c r="AC106" s="67" t="str">
        <f>+F106</f>
        <v>SS</v>
      </c>
    </row>
    <row r="107" spans="1:29" x14ac:dyDescent="0.2">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x14ac:dyDescent="0.2">
      <c r="A108" s="89"/>
      <c r="B108" s="103">
        <f>IF(AND('AES Indiana Bill Calc.'!$D$17="SS",'AES Indiana Bill Calc.'!$D$18="Yes 50%",'AES Indiana Bill Calc.'!$D$20="No"),'AES Indiana Bill Calc.'!$D$19,-1)</f>
        <v>-1</v>
      </c>
      <c r="C108" s="1" t="s">
        <v>229</v>
      </c>
      <c r="F108" s="36" t="s">
        <v>64</v>
      </c>
      <c r="G108" s="17">
        <f>SUM(J108:M108,O108:P108,R108:AA108)</f>
        <v>39.870000000000005</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0.01</v>
      </c>
      <c r="U108" s="17">
        <f t="shared" si="14"/>
        <v>0</v>
      </c>
      <c r="V108" s="17">
        <f>ROUND($B108*V$99,2)</f>
        <v>-0.01</v>
      </c>
      <c r="W108" s="17">
        <f t="shared" si="14"/>
        <v>0</v>
      </c>
      <c r="X108" s="17">
        <f t="shared" si="14"/>
        <v>-0.01</v>
      </c>
      <c r="Y108" s="17">
        <f t="shared" si="14"/>
        <v>0</v>
      </c>
      <c r="Z108" s="17">
        <f t="shared" si="14"/>
        <v>0</v>
      </c>
      <c r="AA108" s="17">
        <f t="shared" si="14"/>
        <v>0</v>
      </c>
      <c r="AB108" s="19">
        <f>SUM(U$99:AA$99)</f>
        <v>2.9364999999999999E-2</v>
      </c>
      <c r="AC108" s="67" t="str">
        <f>+F108</f>
        <v>SS</v>
      </c>
    </row>
    <row r="109" spans="1:29" x14ac:dyDescent="0.2">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x14ac:dyDescent="0.2">
      <c r="A110" s="89"/>
      <c r="B110" s="103">
        <f>IF(AND('AES Indiana Bill Calc.'!$D$17="SS",'AES Indiana Bill Calc.'!$D$18="Yes 25%",'AES Indiana Bill Calc.'!$D$20="No"),'AES Indiana Bill Calc.'!$D$19,-1)</f>
        <v>-1</v>
      </c>
      <c r="C110" s="1" t="s">
        <v>230</v>
      </c>
      <c r="F110" s="36" t="s">
        <v>64</v>
      </c>
      <c r="G110" s="17">
        <f>SUM(J110:M110,O110:P110,R110:AA110)</f>
        <v>39.870000000000005</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0.01</v>
      </c>
      <c r="U110" s="17">
        <f t="shared" si="15"/>
        <v>0</v>
      </c>
      <c r="V110" s="17">
        <f>ROUND($B110*V$99,2)</f>
        <v>-0.01</v>
      </c>
      <c r="W110" s="17">
        <f t="shared" si="15"/>
        <v>0</v>
      </c>
      <c r="X110" s="17">
        <f t="shared" si="15"/>
        <v>-0.01</v>
      </c>
      <c r="Y110" s="17">
        <f t="shared" si="15"/>
        <v>0</v>
      </c>
      <c r="Z110" s="17">
        <f t="shared" si="15"/>
        <v>0</v>
      </c>
      <c r="AA110" s="17">
        <f t="shared" si="15"/>
        <v>0</v>
      </c>
      <c r="AB110" s="19">
        <f>SUM(U$99:AA$99)</f>
        <v>2.9364999999999999E-2</v>
      </c>
      <c r="AC110" s="67" t="str">
        <f>+F110</f>
        <v>SS</v>
      </c>
    </row>
    <row r="111" spans="1:29" x14ac:dyDescent="0.2">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x14ac:dyDescent="0.2">
      <c r="A112" s="89"/>
      <c r="B112" s="103">
        <f>IF(AND('AES Indiana Bill Calc.'!$D$17="SS",'AES Indiana Bill Calc.'!$D$18="Yes 10%",'AES Indiana Bill Calc.'!$D$20="No"),'AES Indiana Bill Calc.'!$D$19,-1)</f>
        <v>-1</v>
      </c>
      <c r="C112" s="1" t="s">
        <v>246</v>
      </c>
      <c r="F112" s="36" t="s">
        <v>64</v>
      </c>
      <c r="G112" s="17">
        <f>SUM(J112:M112,O112:P112,R112:AA112)</f>
        <v>39.870000000000005</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0.01</v>
      </c>
      <c r="U112" s="17">
        <f t="shared" si="15"/>
        <v>0</v>
      </c>
      <c r="V112" s="17">
        <f>ROUND($B112*V$99,2)</f>
        <v>-0.01</v>
      </c>
      <c r="W112" s="17">
        <f t="shared" si="15"/>
        <v>0</v>
      </c>
      <c r="X112" s="17">
        <f t="shared" si="15"/>
        <v>-0.01</v>
      </c>
      <c r="Y112" s="17">
        <f t="shared" si="15"/>
        <v>0</v>
      </c>
      <c r="Z112" s="17">
        <f t="shared" si="15"/>
        <v>0</v>
      </c>
      <c r="AA112" s="17">
        <f t="shared" si="15"/>
        <v>0</v>
      </c>
      <c r="AB112" s="19">
        <f>SUM(U$99:AA$99)</f>
        <v>2.9364999999999999E-2</v>
      </c>
      <c r="AC112" s="67" t="str">
        <f>+F112</f>
        <v>SS</v>
      </c>
    </row>
    <row r="113" spans="1:29" x14ac:dyDescent="0.2">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x14ac:dyDescent="0.2">
      <c r="A114" s="96"/>
      <c r="B114" s="103">
        <f>IF(AND('AES Indiana Bill Calc.'!$D$17="SS",'AES Indiana Bill Calc.'!$D$18="Yes 100%",'AES Indiana Bill Calc.'!$D$20="Yes Before 2018"),'AES Indiana Bill Calc.'!$D$19,-1)</f>
        <v>-1</v>
      </c>
      <c r="C114" s="1" t="s">
        <v>228</v>
      </c>
      <c r="F114" s="36" t="s">
        <v>247</v>
      </c>
      <c r="G114" s="17">
        <f>SUM(J114:M114,O114:P114,R114:AA114)</f>
        <v>39.880000000000003</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0.01</v>
      </c>
      <c r="U114" s="42">
        <f>ROUND($B114*U$99,2)</f>
        <v>0</v>
      </c>
      <c r="V114" s="41">
        <f>ROUND($B114*V89,2)</f>
        <v>0</v>
      </c>
      <c r="W114" s="42">
        <f>ROUND($B114*W$99,2)</f>
        <v>0</v>
      </c>
      <c r="X114" s="42">
        <f>ROUND($B114*X$99,2)</f>
        <v>-0.01</v>
      </c>
      <c r="Y114" s="42">
        <f>ROUND($B114*Y$99,2)</f>
        <v>0</v>
      </c>
      <c r="Z114" s="42">
        <f>ROUND($B114*Z$99,2)</f>
        <v>0</v>
      </c>
      <c r="AA114" s="42">
        <f>ROUND($B114*AA$99,2)</f>
        <v>0</v>
      </c>
      <c r="AB114" s="19">
        <f>SUM(U$99:AA$99)+(-V$99+V81)</f>
        <v>6.7270000000000003E-3</v>
      </c>
      <c r="AC114" s="94" t="str">
        <f>+F114</f>
        <v>SS7</v>
      </c>
    </row>
    <row r="115" spans="1:29" x14ac:dyDescent="0.2">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x14ac:dyDescent="0.2">
      <c r="A116" s="96"/>
      <c r="B116" s="103">
        <f>IF(AND('AES Indiana Bill Calc.'!$D$17="SS",'AES Indiana Bill Calc.'!$D$18="Yes 50%",'AES Indiana Bill Calc.'!$D$20="Yes Before 2018"),'AES Indiana Bill Calc.'!$D$19,-1)</f>
        <v>-1</v>
      </c>
      <c r="C116" s="1" t="s">
        <v>229</v>
      </c>
      <c r="F116" s="36" t="s">
        <v>247</v>
      </c>
      <c r="G116" s="17">
        <f>SUM(J116:M116,O116:P116,R116:AA116)</f>
        <v>39.880000000000003</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0.01</v>
      </c>
      <c r="U116" s="42">
        <f>ROUND($B116*U$99,2)</f>
        <v>0</v>
      </c>
      <c r="V116" s="41">
        <f>ROUND($B116*V89,2)</f>
        <v>0</v>
      </c>
      <c r="W116" s="42">
        <f>ROUND($B116*W$99,2)</f>
        <v>0</v>
      </c>
      <c r="X116" s="42">
        <f>ROUND($B116*X$99,2)</f>
        <v>-0.01</v>
      </c>
      <c r="Y116" s="42">
        <f>ROUND($B116*Y$99,2)</f>
        <v>0</v>
      </c>
      <c r="Z116" s="42">
        <f>ROUND($B116*Z$99,2)</f>
        <v>0</v>
      </c>
      <c r="AA116" s="42">
        <f>ROUND($B116*AA$99,2)</f>
        <v>0</v>
      </c>
      <c r="AB116" s="19">
        <f>SUM(U$99:AA$99)+(-V$99+V83)</f>
        <v>6.7270000000000003E-3</v>
      </c>
      <c r="AC116" s="94" t="str">
        <f>+F116</f>
        <v>SS7</v>
      </c>
    </row>
    <row r="117" spans="1:29" x14ac:dyDescent="0.2">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x14ac:dyDescent="0.2">
      <c r="A118" s="96"/>
      <c r="B118" s="103">
        <f>IF(AND('AES Indiana Bill Calc.'!$D$17="SS",'AES Indiana Bill Calc.'!$D$18="Yes 25%",'AES Indiana Bill Calc.'!$D$20="Yes Before 2018"),'AES Indiana Bill Calc.'!$D$19,-1)</f>
        <v>-1</v>
      </c>
      <c r="C118" s="1" t="s">
        <v>230</v>
      </c>
      <c r="F118" s="36" t="s">
        <v>247</v>
      </c>
      <c r="G118" s="17">
        <f>SUM(J118:M118,O118:P118,R118:AA118)</f>
        <v>39.880000000000003</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0.01</v>
      </c>
      <c r="U118" s="42">
        <f>ROUND($B118*U$99,2)</f>
        <v>0</v>
      </c>
      <c r="V118" s="41">
        <f>ROUND($B118*V89,2)</f>
        <v>0</v>
      </c>
      <c r="W118" s="42">
        <f>ROUND($B118*W$99,2)</f>
        <v>0</v>
      </c>
      <c r="X118" s="42">
        <f>ROUND($B118*X$99,2)</f>
        <v>-0.01</v>
      </c>
      <c r="Y118" s="42">
        <f>ROUND($B118*Y$99,2)</f>
        <v>0</v>
      </c>
      <c r="Z118" s="42">
        <f>ROUND($B118*Z$99,2)</f>
        <v>0</v>
      </c>
      <c r="AA118" s="42">
        <f>ROUND($B118*AA$99,2)</f>
        <v>0</v>
      </c>
      <c r="AB118" s="19">
        <f>SUM(U$99:AA$99)+(-V$99+V85)</f>
        <v>6.7270000000000003E-3</v>
      </c>
      <c r="AC118" s="94" t="str">
        <f>+F118</f>
        <v>SS7</v>
      </c>
    </row>
    <row r="119" spans="1:29" x14ac:dyDescent="0.2">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x14ac:dyDescent="0.2">
      <c r="A120" s="96"/>
      <c r="B120" s="103">
        <f>IF(AND('AES Indiana Bill Calc.'!$D$17="SS",'AES Indiana Bill Calc.'!$D$18="Yes 10%",'AES Indiana Bill Calc.'!$D$20="Yes Before 2018"),'AES Indiana Bill Calc.'!$D$19,-1)</f>
        <v>-1</v>
      </c>
      <c r="C120" s="1" t="s">
        <v>246</v>
      </c>
      <c r="F120" s="36" t="s">
        <v>247</v>
      </c>
      <c r="G120" s="17">
        <f>SUM(J120:M120,O120:P120,R120:AA120)</f>
        <v>39.880000000000003</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0.01</v>
      </c>
      <c r="U120" s="42">
        <f>ROUND($B120*U$99,2)</f>
        <v>0</v>
      </c>
      <c r="V120" s="41">
        <f>ROUND($B120*V89,2)</f>
        <v>0</v>
      </c>
      <c r="W120" s="42">
        <f>ROUND($B120*W$99,2)</f>
        <v>0</v>
      </c>
      <c r="X120" s="42">
        <f>ROUND($B120*X$99,2)</f>
        <v>-0.01</v>
      </c>
      <c r="Y120" s="42">
        <f>ROUND($B120*Y$99,2)</f>
        <v>0</v>
      </c>
      <c r="Z120" s="42">
        <f>ROUND($B120*Z$99,2)</f>
        <v>0</v>
      </c>
      <c r="AA120" s="42">
        <f>ROUND($B120*AA$99,2)</f>
        <v>0</v>
      </c>
      <c r="AB120" s="19">
        <f>SUM(U$99:AA$99)+(-V$99+V87)</f>
        <v>1.6726999999999999E-2</v>
      </c>
      <c r="AC120" s="94" t="str">
        <f>+F120</f>
        <v>SS7</v>
      </c>
    </row>
    <row r="121" spans="1:29" x14ac:dyDescent="0.2">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x14ac:dyDescent="0.2">
      <c r="A122" s="96"/>
      <c r="B122" s="103">
        <f>IF(AND('AES Indiana Bill Calc.'!$D$17="SS",'AES Indiana Bill Calc.'!$D$18="No",'AES Indiana Bill Calc.'!$D$20="Yes Before 2018"),'AES Indiana Bill Calc.'!$D$19,-1)</f>
        <v>-1</v>
      </c>
      <c r="C122" s="1" t="s">
        <v>227</v>
      </c>
      <c r="F122" s="36" t="s">
        <v>247</v>
      </c>
      <c r="G122" s="17">
        <f>SUM(J122:M122,O122:P122,R122:AA122)</f>
        <v>39.880000000000003</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0.01</v>
      </c>
      <c r="U122" s="42">
        <f>ROUND($B122*U$99,2)</f>
        <v>0</v>
      </c>
      <c r="V122" s="41">
        <f>ROUND($B122*V89,2)</f>
        <v>0</v>
      </c>
      <c r="W122" s="42">
        <f>ROUND($B122*W$99,2)</f>
        <v>0</v>
      </c>
      <c r="X122" s="42">
        <f>ROUND($B122*X$99,2)</f>
        <v>-0.01</v>
      </c>
      <c r="Y122" s="42">
        <f>ROUND($B122*Y$99,2)</f>
        <v>0</v>
      </c>
      <c r="Z122" s="42">
        <f>ROUND($B122*Z$99,2)</f>
        <v>0</v>
      </c>
      <c r="AA122" s="42">
        <f>ROUND($B122*AA$99,2)</f>
        <v>0</v>
      </c>
      <c r="AB122" s="19">
        <f>SUM(U$99:AA$99)+(-V$99+V88)</f>
        <v>1.6726999999999999E-2</v>
      </c>
      <c r="AC122" s="94" t="str">
        <f>+F122</f>
        <v>SS7</v>
      </c>
    </row>
    <row r="123" spans="1:29" x14ac:dyDescent="0.2">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x14ac:dyDescent="0.2">
      <c r="A124" s="96"/>
      <c r="B124" s="103">
        <f>IF(AND('AES Indiana Bill Calc.'!$D$17="SS",'AES Indiana Bill Calc.'!$D$18="Yes 100%",'AES Indiana Bill Calc.'!$D$20="Yes 2018"),'AES Indiana Bill Calc.'!$D$19,-1)</f>
        <v>-1</v>
      </c>
      <c r="C124" s="1" t="s">
        <v>228</v>
      </c>
      <c r="F124" s="36" t="s">
        <v>248</v>
      </c>
      <c r="G124" s="17">
        <f>SUM(J124:M124,O124:P124,R124:AA124)</f>
        <v>39.880000000000003</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0.01</v>
      </c>
      <c r="U124" s="42">
        <f>ROUND($B124*U$99,2)</f>
        <v>0</v>
      </c>
      <c r="V124" s="41">
        <f>ROUND($B124*V$90,2)</f>
        <v>0</v>
      </c>
      <c r="W124" s="42">
        <f>ROUND($B124*W$99,2)</f>
        <v>0</v>
      </c>
      <c r="X124" s="42">
        <f>ROUND($B124*X$99,2)</f>
        <v>-0.01</v>
      </c>
      <c r="Y124" s="42">
        <f>ROUND($B124*Y$99,2)</f>
        <v>0</v>
      </c>
      <c r="Z124" s="42">
        <f>ROUND($B124*Z$99,2)</f>
        <v>0</v>
      </c>
      <c r="AA124" s="42">
        <f>ROUND($B124*AA$99,2)</f>
        <v>0</v>
      </c>
      <c r="AB124" s="19" t="e">
        <f>SUM(U$99:AA$99)+(-V$99+#REF!)</f>
        <v>#REF!</v>
      </c>
      <c r="AC124" s="94" t="str">
        <f>+F124</f>
        <v>SS8</v>
      </c>
    </row>
    <row r="125" spans="1:29" x14ac:dyDescent="0.2">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x14ac:dyDescent="0.2">
      <c r="A126" s="96"/>
      <c r="B126" s="103">
        <f>IF(AND('AES Indiana Bill Calc.'!$D$17="SS",'AES Indiana Bill Calc.'!$D$18="Yes 50%",'AES Indiana Bill Calc.'!$D$20="Yes 2018"),'AES Indiana Bill Calc.'!$D$19,-1)</f>
        <v>-1</v>
      </c>
      <c r="C126" s="1" t="s">
        <v>229</v>
      </c>
      <c r="F126" s="36" t="s">
        <v>248</v>
      </c>
      <c r="G126" s="17">
        <f>SUM(J126:M126,O126:P126,R126:AA126)</f>
        <v>39.880000000000003</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0.01</v>
      </c>
      <c r="U126" s="42">
        <f>ROUND($B126*U$99,2)</f>
        <v>0</v>
      </c>
      <c r="V126" s="41">
        <f>ROUND($B126*V$90,2)</f>
        <v>0</v>
      </c>
      <c r="W126" s="42">
        <f>ROUND($B126*W$99,2)</f>
        <v>0</v>
      </c>
      <c r="X126" s="42">
        <f>ROUND($B126*X$99,2)</f>
        <v>-0.01</v>
      </c>
      <c r="Y126" s="42">
        <f>ROUND($B126*Y$99,2)</f>
        <v>0</v>
      </c>
      <c r="Z126" s="42">
        <f>ROUND($B126*Z$99,2)</f>
        <v>0</v>
      </c>
      <c r="AA126" s="42">
        <f>ROUND($B126*AA$99,2)</f>
        <v>0</v>
      </c>
      <c r="AB126" s="19">
        <f>SUM(U$99:AA$99)+(-V$99+V91)</f>
        <v>1.6726999999999999E-2</v>
      </c>
      <c r="AC126" s="94" t="str">
        <f>+F126</f>
        <v>SS8</v>
      </c>
    </row>
    <row r="127" spans="1:29" x14ac:dyDescent="0.2">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x14ac:dyDescent="0.2">
      <c r="A128" s="96"/>
      <c r="B128" s="103">
        <f>IF(AND('AES Indiana Bill Calc.'!$D$17="SS",'AES Indiana Bill Calc.'!$D$18="Yes 25%",'AES Indiana Bill Calc.'!$D$20="Yes 2018"),'AES Indiana Bill Calc.'!$D$19,-1)</f>
        <v>-1</v>
      </c>
      <c r="C128" s="1" t="s">
        <v>230</v>
      </c>
      <c r="F128" s="36" t="s">
        <v>248</v>
      </c>
      <c r="G128" s="17">
        <f>SUM(J128:M128,O128:P128,R128:AA128)</f>
        <v>39.880000000000003</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0.01</v>
      </c>
      <c r="U128" s="42">
        <f>ROUND($B128*U$99,2)</f>
        <v>0</v>
      </c>
      <c r="V128" s="41">
        <f>ROUND($B128*V$90,2)</f>
        <v>0</v>
      </c>
      <c r="W128" s="42">
        <f>ROUND($B128*W$99,2)</f>
        <v>0</v>
      </c>
      <c r="X128" s="42">
        <f>ROUND($B128*X$99,2)</f>
        <v>-0.01</v>
      </c>
      <c r="Y128" s="42">
        <f>ROUND($B128*Y$99,2)</f>
        <v>0</v>
      </c>
      <c r="Z128" s="42">
        <f>ROUND($B128*Z$99,2)</f>
        <v>0</v>
      </c>
      <c r="AA128" s="42">
        <f>ROUND($B128*AA$99,2)</f>
        <v>0</v>
      </c>
      <c r="AB128" s="19">
        <f>SUM(U$99:AA$99)+(-V$99+V93)</f>
        <v>1.4204999999999999E-2</v>
      </c>
      <c r="AC128" s="94" t="str">
        <f>+F128</f>
        <v>SS8</v>
      </c>
    </row>
    <row r="129" spans="1:29" x14ac:dyDescent="0.2">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x14ac:dyDescent="0.2">
      <c r="A130" s="96"/>
      <c r="B130" s="103">
        <f>IF(AND('AES Indiana Bill Calc.'!$D$17="SS",'AES Indiana Bill Calc.'!$D$18="Yes 10%",'AES Indiana Bill Calc.'!$D$20="Yes 2018"),'AES Indiana Bill Calc.'!$D$19,-1)</f>
        <v>-1</v>
      </c>
      <c r="C130" s="1" t="s">
        <v>246</v>
      </c>
      <c r="F130" s="36" t="s">
        <v>248</v>
      </c>
      <c r="G130" s="17">
        <f>SUM(J130:M130,O130:P130,R130:AA130)</f>
        <v>39.880000000000003</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0.01</v>
      </c>
      <c r="U130" s="42">
        <f>ROUND($B130*U$99,2)</f>
        <v>0</v>
      </c>
      <c r="V130" s="41">
        <f>ROUND($B130*V$90,2)</f>
        <v>0</v>
      </c>
      <c r="W130" s="42">
        <f>ROUND($B130*W$99,2)</f>
        <v>0</v>
      </c>
      <c r="X130" s="42">
        <f>ROUND($B130*X$99,2)</f>
        <v>-0.01</v>
      </c>
      <c r="Y130" s="42">
        <f>ROUND($B130*Y$99,2)</f>
        <v>0</v>
      </c>
      <c r="Z130" s="42">
        <f>ROUND($B130*Z$99,2)</f>
        <v>0</v>
      </c>
      <c r="AA130" s="42">
        <f>ROUND($B130*AA$99,2)</f>
        <v>0</v>
      </c>
      <c r="AB130" s="19">
        <f>SUM(U$99:AA$99)+(-V$99+V94)</f>
        <v>1.6726999999999999E-2</v>
      </c>
      <c r="AC130" s="94" t="str">
        <f>+F130</f>
        <v>SS8</v>
      </c>
    </row>
    <row r="131" spans="1:29" x14ac:dyDescent="0.2">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x14ac:dyDescent="0.2">
      <c r="A132" s="96"/>
      <c r="B132" s="103">
        <f>IF(AND('AES Indiana Bill Calc.'!$D$17="SS",'AES Indiana Bill Calc.'!$D$18="No",'AES Indiana Bill Calc.'!$D$20="Yes 2018"),'AES Indiana Bill Calc.'!$D$19,-1)</f>
        <v>-1</v>
      </c>
      <c r="C132" s="1" t="s">
        <v>227</v>
      </c>
      <c r="F132" s="36" t="s">
        <v>248</v>
      </c>
      <c r="G132" s="17">
        <f>SUM(J132:M132,O132:P132,R132:AA132)</f>
        <v>39.880000000000003</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0.01</v>
      </c>
      <c r="U132" s="42">
        <f>ROUND($B132*U$99,2)</f>
        <v>0</v>
      </c>
      <c r="V132" s="41">
        <f>ROUND($B132*V$90,2)</f>
        <v>0</v>
      </c>
      <c r="W132" s="42">
        <f>ROUND($B132*W$99,2)</f>
        <v>0</v>
      </c>
      <c r="X132" s="42">
        <f>ROUND($B132*X$99,2)</f>
        <v>-0.01</v>
      </c>
      <c r="Y132" s="42">
        <f>ROUND($B132*Y$99,2)</f>
        <v>0</v>
      </c>
      <c r="Z132" s="42">
        <f>ROUND($B132*Z$99,2)</f>
        <v>0</v>
      </c>
      <c r="AA132" s="42">
        <f>ROUND($B132*AA$99,2)</f>
        <v>0</v>
      </c>
      <c r="AB132" s="19" t="e">
        <f>SUM(U$99:AA$99)+(-V$99+V102)</f>
        <v>#VALUE!</v>
      </c>
      <c r="AC132" s="94" t="str">
        <f>+F132</f>
        <v>SS8</v>
      </c>
    </row>
    <row r="133" spans="1:29" x14ac:dyDescent="0.2">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x14ac:dyDescent="0.2">
      <c r="A134" s="96"/>
      <c r="B134" s="103">
        <f>IF(AND('AES Indiana Bill Calc.'!$D$17="SS",'AES Indiana Bill Calc.'!$D$18="Yes 100%",'AES Indiana Bill Calc.'!$D$20="Yes 2019"),'AES Indiana Bill Calc.'!$D$19,-1)</f>
        <v>-1</v>
      </c>
      <c r="C134" s="1" t="s">
        <v>228</v>
      </c>
      <c r="F134" s="36" t="s">
        <v>249</v>
      </c>
      <c r="G134" s="17">
        <f>SUM(J134:M134,O134:P134,R134:AA134)</f>
        <v>39.880000000000003</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0.01</v>
      </c>
      <c r="U134" s="42">
        <f>ROUND($B134*U$99,2)</f>
        <v>0</v>
      </c>
      <c r="V134" s="41">
        <f>ROUND($B134*V$91,2)</f>
        <v>0</v>
      </c>
      <c r="W134" s="42">
        <f>ROUND($B134*W$99,2)</f>
        <v>0</v>
      </c>
      <c r="X134" s="42">
        <f>ROUND($B134*X$99,2)</f>
        <v>-0.01</v>
      </c>
      <c r="Y134" s="42">
        <f>ROUND($B134*Y$99,2)</f>
        <v>0</v>
      </c>
      <c r="Z134" s="42">
        <f>ROUND($B134*Z$99,2)</f>
        <v>0</v>
      </c>
      <c r="AA134" s="42">
        <f>ROUND($B134*AA$99,2)</f>
        <v>0</v>
      </c>
      <c r="AB134" s="19">
        <f>SUM(U$99:AA$99)+(-V$99+V104)</f>
        <v>6.7270000000000003E-3</v>
      </c>
      <c r="AC134" s="94" t="str">
        <f>+F134</f>
        <v>SS9</v>
      </c>
    </row>
    <row r="135" spans="1:29" x14ac:dyDescent="0.2">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x14ac:dyDescent="0.2">
      <c r="A136" s="96"/>
      <c r="B136" s="103">
        <f>IF(AND('AES Indiana Bill Calc.'!$D$17="SS",'AES Indiana Bill Calc.'!$D$18="Yes 50%",'AES Indiana Bill Calc.'!$D$20="Yes 2019"),'AES Indiana Bill Calc.'!$D$19,-1)</f>
        <v>-1</v>
      </c>
      <c r="C136" s="1" t="s">
        <v>229</v>
      </c>
      <c r="F136" s="36" t="s">
        <v>249</v>
      </c>
      <c r="G136" s="17">
        <f>SUM(J136:M136,O136:P136,R136:AA136)</f>
        <v>39.880000000000003</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0.01</v>
      </c>
      <c r="U136" s="42">
        <f>ROUND($B136*U$99,2)</f>
        <v>0</v>
      </c>
      <c r="V136" s="41">
        <f>ROUND($B136*V$91,2)</f>
        <v>0</v>
      </c>
      <c r="W136" s="42">
        <f>ROUND($B136*W$99,2)</f>
        <v>0</v>
      </c>
      <c r="X136" s="42">
        <f>ROUND($B136*X$99,2)</f>
        <v>-0.01</v>
      </c>
      <c r="Y136" s="42">
        <f>ROUND($B136*Y$99,2)</f>
        <v>0</v>
      </c>
      <c r="Z136" s="42">
        <f>ROUND($B136*Z$99,2)</f>
        <v>0</v>
      </c>
      <c r="AA136" s="42">
        <f>ROUND($B136*AA$99,2)</f>
        <v>0</v>
      </c>
      <c r="AB136" s="19">
        <f>SUM(U$99:AA$99)+(-V$99+V106)</f>
        <v>6.7270000000000003E-3</v>
      </c>
      <c r="AC136" s="94" t="str">
        <f>+F136</f>
        <v>SS9</v>
      </c>
    </row>
    <row r="137" spans="1:29" x14ac:dyDescent="0.2">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x14ac:dyDescent="0.2">
      <c r="A138" s="96"/>
      <c r="B138" s="103">
        <f>IF(AND('AES Indiana Bill Calc.'!$D$17="SS",'AES Indiana Bill Calc.'!$D$18="Yes 25%",'AES Indiana Bill Calc.'!$D$20="Yes 2019"),'AES Indiana Bill Calc.'!$D$19,-1)</f>
        <v>-1</v>
      </c>
      <c r="C138" s="1" t="s">
        <v>230</v>
      </c>
      <c r="F138" s="36" t="s">
        <v>249</v>
      </c>
      <c r="G138" s="17">
        <f>SUM(J138:M138,O138:P138,R138:AA138)</f>
        <v>39.880000000000003</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0.01</v>
      </c>
      <c r="U138" s="42">
        <f>ROUND($B138*U$99,2)</f>
        <v>0</v>
      </c>
      <c r="V138" s="41">
        <f>ROUND($B138*V$91,2)</f>
        <v>0</v>
      </c>
      <c r="W138" s="42">
        <f>ROUND($B138*W$99,2)</f>
        <v>0</v>
      </c>
      <c r="X138" s="42">
        <f>ROUND($B138*X$99,2)</f>
        <v>-0.01</v>
      </c>
      <c r="Y138" s="42">
        <f>ROUND($B138*Y$99,2)</f>
        <v>0</v>
      </c>
      <c r="Z138" s="42">
        <f>ROUND($B138*Z$99,2)</f>
        <v>0</v>
      </c>
      <c r="AA138" s="42">
        <f>ROUND($B138*AA$99,2)</f>
        <v>0</v>
      </c>
      <c r="AB138" s="19">
        <f>SUM(U$99:AA$99)+(-V$99+V108)</f>
        <v>6.7270000000000003E-3</v>
      </c>
      <c r="AC138" s="94" t="str">
        <f>+F138</f>
        <v>SS9</v>
      </c>
    </row>
    <row r="139" spans="1:29" x14ac:dyDescent="0.2">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x14ac:dyDescent="0.2">
      <c r="A140" s="96"/>
      <c r="B140" s="103">
        <f>IF(AND('AES Indiana Bill Calc.'!$D$17="SS",'AES Indiana Bill Calc.'!$D$18="Yes 10%",'AES Indiana Bill Calc.'!$D$20="Yes 2019"),'AES Indiana Bill Calc.'!$D$19,-1)</f>
        <v>-1</v>
      </c>
      <c r="C140" s="1" t="s">
        <v>246</v>
      </c>
      <c r="F140" s="36" t="s">
        <v>249</v>
      </c>
      <c r="G140" s="17">
        <f>SUM(J140:M140,O140:P140,R140:AA140)</f>
        <v>39.880000000000003</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0.01</v>
      </c>
      <c r="U140" s="42">
        <f>ROUND($B140*U$99,2)</f>
        <v>0</v>
      </c>
      <c r="V140" s="41">
        <f>ROUND($B140*V$91,2)</f>
        <v>0</v>
      </c>
      <c r="W140" s="42">
        <f>ROUND($B140*W$99,2)</f>
        <v>0</v>
      </c>
      <c r="X140" s="42">
        <f>ROUND($B140*X$99,2)</f>
        <v>-0.01</v>
      </c>
      <c r="Y140" s="42">
        <f>ROUND($B140*Y$99,2)</f>
        <v>0</v>
      </c>
      <c r="Z140" s="42">
        <f>ROUND($B140*Z$99,2)</f>
        <v>0</v>
      </c>
      <c r="AA140" s="42">
        <f>ROUND($B140*AA$99,2)</f>
        <v>0</v>
      </c>
      <c r="AB140" s="19">
        <f>SUM(U$99:AA$99)+(-V$99+V110)</f>
        <v>6.7270000000000003E-3</v>
      </c>
      <c r="AC140" s="94" t="str">
        <f>+F140</f>
        <v>SS9</v>
      </c>
    </row>
    <row r="141" spans="1:29" x14ac:dyDescent="0.2">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x14ac:dyDescent="0.2">
      <c r="B142" s="103">
        <f>IF(AND('AES Indiana Bill Calc.'!$D$17="SS",'AES Indiana Bill Calc.'!$D$18="No",'AES Indiana Bill Calc.'!$D$20="Yes 2019"),'AES Indiana Bill Calc.'!$D$19,-1)</f>
        <v>-1</v>
      </c>
      <c r="C142" s="1" t="s">
        <v>227</v>
      </c>
      <c r="F142" s="36" t="s">
        <v>249</v>
      </c>
      <c r="G142" s="17">
        <f>SUM(J142:M142,O142:P142,R142:AA142)</f>
        <v>39.880000000000003</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0.01</v>
      </c>
      <c r="U142" s="42">
        <f>ROUND($B142*U$99,2)</f>
        <v>0</v>
      </c>
      <c r="V142" s="41">
        <f>ROUND($B142*V$91,2)</f>
        <v>0</v>
      </c>
      <c r="W142" s="42">
        <f>ROUND($B142*W$99,2)</f>
        <v>0</v>
      </c>
      <c r="X142" s="42">
        <f>ROUND($B142*X$99,2)</f>
        <v>-0.01</v>
      </c>
      <c r="Y142" s="42">
        <f>ROUND($B142*Y$99,2)</f>
        <v>0</v>
      </c>
      <c r="Z142" s="42">
        <f>ROUND($B142*Z$99,2)</f>
        <v>0</v>
      </c>
      <c r="AA142" s="42">
        <f>ROUND($B142*AA$99,2)</f>
        <v>0</v>
      </c>
      <c r="AB142" s="19">
        <f>SUM(U$99:AA$99)+(-V$99+V104)</f>
        <v>6.7270000000000003E-3</v>
      </c>
      <c r="AC142" s="94" t="str">
        <f>+F142</f>
        <v>SS9</v>
      </c>
    </row>
    <row r="143" spans="1:29" x14ac:dyDescent="0.2">
      <c r="B143" s="103">
        <v>-1</v>
      </c>
      <c r="C143" s="9"/>
      <c r="F143" s="36"/>
      <c r="S143" s="50">
        <v>1</v>
      </c>
    </row>
    <row r="144" spans="1:29" x14ac:dyDescent="0.2">
      <c r="B144" s="103">
        <f>IF(AND('AES Indiana Bill Calc.'!$D$17="SS",'AES Indiana Bill Calc.'!$D$18="Yes 100%",'AES Indiana Bill Calc.'!$D$20="Yes 2020"),'AES Indiana Bill Calc.'!$D$19,-1)</f>
        <v>-1</v>
      </c>
      <c r="C144" s="1" t="s">
        <v>228</v>
      </c>
      <c r="F144" s="36" t="s">
        <v>250</v>
      </c>
      <c r="G144" s="17">
        <f>SUM(J144:M144,O144:P144,R144:AA144)</f>
        <v>39.880000000000003</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0.01</v>
      </c>
      <c r="U144" s="42">
        <f>ROUND($B144*U$99,2)</f>
        <v>0</v>
      </c>
      <c r="V144" s="41">
        <f>ROUND($B144*V$92,2)</f>
        <v>0</v>
      </c>
      <c r="W144" s="42">
        <f>ROUND($B144*W$99,2)</f>
        <v>0</v>
      </c>
      <c r="X144" s="42">
        <f>ROUND($B144*X$99,2)</f>
        <v>-0.01</v>
      </c>
      <c r="Y144" s="42">
        <f>ROUND($B144*Y$99,2)</f>
        <v>0</v>
      </c>
      <c r="Z144" s="42">
        <f>ROUND($B144*Z$99,2)</f>
        <v>0</v>
      </c>
      <c r="AA144" s="42">
        <f>ROUND($B144*AA$99,2)</f>
        <v>0</v>
      </c>
      <c r="AB144" s="19">
        <f>SUM(U$99:AA$99)+(-V$99+V104)</f>
        <v>6.7270000000000003E-3</v>
      </c>
      <c r="AC144" s="94" t="str">
        <f>+F144</f>
        <v>SS0</v>
      </c>
    </row>
    <row r="145" spans="2:29" x14ac:dyDescent="0.2">
      <c r="B145" s="103">
        <v>-1</v>
      </c>
      <c r="C145" s="9"/>
      <c r="F145" s="36"/>
      <c r="S145" s="50">
        <v>0.5</v>
      </c>
    </row>
    <row r="146" spans="2:29" x14ac:dyDescent="0.2">
      <c r="B146" s="103">
        <f>IF(AND('AES Indiana Bill Calc.'!$D$17="SS",'AES Indiana Bill Calc.'!$D$18="Yes 50%",'AES Indiana Bill Calc.'!$D$20="Yes 2020"),'AES Indiana Bill Calc.'!$D$19,-1)</f>
        <v>-1</v>
      </c>
      <c r="C146" s="1" t="s">
        <v>229</v>
      </c>
      <c r="F146" s="36" t="s">
        <v>250</v>
      </c>
      <c r="G146" s="17">
        <f>SUM(J146:M146,O146:P146,R146:AA146)</f>
        <v>39.880000000000003</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0.01</v>
      </c>
      <c r="U146" s="42">
        <f>ROUND($B146*U$99,2)</f>
        <v>0</v>
      </c>
      <c r="V146" s="41">
        <f>ROUND($B146*V$92,2)</f>
        <v>0</v>
      </c>
      <c r="W146" s="42">
        <f>ROUND($B146*W$99,2)</f>
        <v>0</v>
      </c>
      <c r="X146" s="42">
        <f>ROUND($B146*X$99,2)</f>
        <v>-0.01</v>
      </c>
      <c r="Y146" s="42">
        <f>ROUND($B146*Y$99,2)</f>
        <v>0</v>
      </c>
      <c r="Z146" s="42">
        <f>ROUND($B146*Z$99,2)</f>
        <v>0</v>
      </c>
      <c r="AA146" s="42">
        <f>ROUND($B146*AA$99,2)</f>
        <v>0</v>
      </c>
      <c r="AB146" s="19">
        <f>SUM(U$99:AA$99)+(-V$99+V106)</f>
        <v>6.7270000000000003E-3</v>
      </c>
      <c r="AC146" s="94" t="str">
        <f>+F146</f>
        <v>SS0</v>
      </c>
    </row>
    <row r="147" spans="2:29" x14ac:dyDescent="0.2">
      <c r="B147" s="103">
        <v>-1</v>
      </c>
      <c r="C147" s="9"/>
      <c r="F147" s="36"/>
      <c r="S147" s="50">
        <v>0.25</v>
      </c>
    </row>
    <row r="148" spans="2:29" x14ac:dyDescent="0.2">
      <c r="B148" s="103">
        <f>IF(AND('AES Indiana Bill Calc.'!$D$17="SS",'AES Indiana Bill Calc.'!$D$18="Yes 25%",'AES Indiana Bill Calc.'!$D$20="Yes 2020"),'AES Indiana Bill Calc.'!$D$19,-1)</f>
        <v>-1</v>
      </c>
      <c r="C148" s="1" t="s">
        <v>230</v>
      </c>
      <c r="F148" s="36" t="s">
        <v>250</v>
      </c>
      <c r="G148" s="17">
        <f>SUM(J148:M148,O148:P148,R148:AA148)</f>
        <v>39.880000000000003</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0.01</v>
      </c>
      <c r="U148" s="42">
        <f>ROUND($B148*U$99,2)</f>
        <v>0</v>
      </c>
      <c r="V148" s="41">
        <f>ROUND($B148*V$92,2)</f>
        <v>0</v>
      </c>
      <c r="W148" s="42">
        <f>ROUND($B148*W$99,2)</f>
        <v>0</v>
      </c>
      <c r="X148" s="42">
        <f>ROUND($B148*X$99,2)</f>
        <v>-0.01</v>
      </c>
      <c r="Y148" s="42">
        <f>ROUND($B148*Y$99,2)</f>
        <v>0</v>
      </c>
      <c r="Z148" s="42">
        <f>ROUND($B148*Z$99,2)</f>
        <v>0</v>
      </c>
      <c r="AA148" s="42">
        <f>ROUND($B148*AA$99,2)</f>
        <v>0</v>
      </c>
      <c r="AB148" s="19">
        <f>SUM(U$99:AA$99)+(-V$99+V108)</f>
        <v>6.7270000000000003E-3</v>
      </c>
      <c r="AC148" s="94" t="str">
        <f>+F148</f>
        <v>SS0</v>
      </c>
    </row>
    <row r="149" spans="2:29" x14ac:dyDescent="0.2">
      <c r="B149" s="103">
        <v>-1</v>
      </c>
      <c r="C149" s="9"/>
      <c r="F149" s="36"/>
      <c r="S149" s="50">
        <v>0.1</v>
      </c>
    </row>
    <row r="150" spans="2:29" x14ac:dyDescent="0.2">
      <c r="B150" s="103">
        <f>IF(AND('AES Indiana Bill Calc.'!$D$17="SS",'AES Indiana Bill Calc.'!$D$18="Yes 10%",'AES Indiana Bill Calc.'!$D$20="Yes 2020"),'AES Indiana Bill Calc.'!$D$19,-1)</f>
        <v>-1</v>
      </c>
      <c r="C150" s="1" t="s">
        <v>246</v>
      </c>
      <c r="F150" s="36" t="s">
        <v>250</v>
      </c>
      <c r="G150" s="17">
        <f>SUM(J150:M150,O150:P150,R150:AA150)</f>
        <v>39.880000000000003</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0.01</v>
      </c>
      <c r="U150" s="42">
        <f>ROUND($B150*U$99,2)</f>
        <v>0</v>
      </c>
      <c r="V150" s="41">
        <f>ROUND($B150*V$92,2)</f>
        <v>0</v>
      </c>
      <c r="W150" s="42">
        <f>ROUND($B150*W$99,2)</f>
        <v>0</v>
      </c>
      <c r="X150" s="42">
        <f>ROUND($B150*X$99,2)</f>
        <v>-0.01</v>
      </c>
      <c r="Y150" s="42">
        <f>ROUND($B150*Y$99,2)</f>
        <v>0</v>
      </c>
      <c r="Z150" s="42">
        <f>ROUND($B150*Z$99,2)</f>
        <v>0</v>
      </c>
      <c r="AA150" s="42">
        <f>ROUND($B150*AA$99,2)</f>
        <v>0</v>
      </c>
      <c r="AB150" s="19">
        <f>SUM(U$99:AA$99)+(-V$99+V110)</f>
        <v>6.7270000000000003E-3</v>
      </c>
      <c r="AC150" s="94" t="str">
        <f>+F150</f>
        <v>SS0</v>
      </c>
    </row>
    <row r="151" spans="2:29" x14ac:dyDescent="0.2">
      <c r="B151" s="103">
        <v>-1</v>
      </c>
      <c r="F151" s="36"/>
      <c r="S151" s="50">
        <v>0</v>
      </c>
    </row>
    <row r="152" spans="2:29" x14ac:dyDescent="0.2">
      <c r="B152" s="103">
        <f>IF(AND('AES Indiana Bill Calc.'!$D$17="SS",'AES Indiana Bill Calc.'!$D$18="No",'AES Indiana Bill Calc.'!$D$20="Yes 2020"),'AES Indiana Bill Calc.'!$D$19,-1)</f>
        <v>-1</v>
      </c>
      <c r="C152" s="1" t="s">
        <v>227</v>
      </c>
      <c r="F152" s="36" t="s">
        <v>250</v>
      </c>
      <c r="G152" s="17">
        <f>SUM(J152:M152,O152:P152,R152:AA152)</f>
        <v>39.880000000000003</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0.01</v>
      </c>
      <c r="U152" s="42">
        <f>ROUND($B152*U$99,2)</f>
        <v>0</v>
      </c>
      <c r="V152" s="41">
        <f>ROUND($B152*V$92,2)</f>
        <v>0</v>
      </c>
      <c r="W152" s="42">
        <f>ROUND($B152*W$99,2)</f>
        <v>0</v>
      </c>
      <c r="X152" s="42">
        <f>ROUND($B152*X$99,2)</f>
        <v>-0.01</v>
      </c>
      <c r="Y152" s="42">
        <f>ROUND($B152*Y$99,2)</f>
        <v>0</v>
      </c>
      <c r="Z152" s="42">
        <f>ROUND($B152*Z$99,2)</f>
        <v>0</v>
      </c>
      <c r="AA152" s="42">
        <f>ROUND($B152*AA$99,2)</f>
        <v>0</v>
      </c>
      <c r="AB152" s="19">
        <f>SUM(U$99:AA$99)+(-V$99+V112)</f>
        <v>6.7270000000000003E-3</v>
      </c>
      <c r="AC152" s="94" t="str">
        <f>+F152</f>
        <v>SS0</v>
      </c>
    </row>
    <row r="153" spans="2:29" x14ac:dyDescent="0.2">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x14ac:dyDescent="0.2">
      <c r="B154" s="103">
        <f>IF(AND('AES Indiana Bill Calc.'!$D$17="SS",'AES Indiana Bill Calc.'!$D$18="Yes 100%",'AES Indiana Bill Calc.'!$D$20="Yes 2021"),'AES Indiana Bill Calc.'!$D$19,-1)</f>
        <v>-1</v>
      </c>
      <c r="C154" s="1" t="s">
        <v>228</v>
      </c>
      <c r="D154" s="144"/>
      <c r="F154" s="36" t="s">
        <v>251</v>
      </c>
      <c r="G154" s="42">
        <f>SUM(J154:M154,O154:P154,R154:AA154)</f>
        <v>39.880000000000003</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0.01</v>
      </c>
      <c r="U154" s="42">
        <f>ROUND($B154*U$99,2)</f>
        <v>0</v>
      </c>
      <c r="V154" s="41">
        <f>ROUND($B154*V$93,2)</f>
        <v>0</v>
      </c>
      <c r="W154" s="144"/>
      <c r="X154" s="42">
        <f>ROUND($B154*X$99,2)</f>
        <v>-0.01</v>
      </c>
      <c r="Y154" s="42">
        <f>ROUND($B154*Y$99,2)</f>
        <v>0</v>
      </c>
      <c r="Z154" s="42">
        <f>ROUND($B154*Z$99,2)</f>
        <v>0</v>
      </c>
      <c r="AA154" s="42">
        <f>ROUND($B154*AA$99,2)</f>
        <v>0</v>
      </c>
      <c r="AB154" s="19">
        <f>SUM(U$99:AA$99)+(-V$99+V116)</f>
        <v>1.6726999999999999E-2</v>
      </c>
      <c r="AC154" s="144"/>
    </row>
    <row r="155" spans="2:29" x14ac:dyDescent="0.2">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x14ac:dyDescent="0.2">
      <c r="B156" s="103">
        <f>IF(AND('AES Indiana Bill Calc.'!$D$17="SS",'AES Indiana Bill Calc.'!$D$18="Yes 50%",'AES Indiana Bill Calc.'!$D$20="Yes 2021"),'AES Indiana Bill Calc.'!$D$19,-1)</f>
        <v>-1</v>
      </c>
      <c r="C156" s="1" t="s">
        <v>229</v>
      </c>
      <c r="D156" s="144"/>
      <c r="F156" s="36" t="s">
        <v>251</v>
      </c>
      <c r="G156" s="42">
        <f>SUM(J156:M156,O156:P156,R156:AA156)</f>
        <v>39.880000000000003</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0.01</v>
      </c>
      <c r="U156" s="42">
        <f>ROUND($B156*U$99,2)</f>
        <v>0</v>
      </c>
      <c r="V156" s="41">
        <f>ROUND($B156*V$93,2)</f>
        <v>0</v>
      </c>
      <c r="W156" s="144"/>
      <c r="X156" s="42">
        <f>ROUND($B156*X$99,2)</f>
        <v>-0.01</v>
      </c>
      <c r="Y156" s="42">
        <f>ROUND($B156*Y$99,2)</f>
        <v>0</v>
      </c>
      <c r="Z156" s="42">
        <f>ROUND($B156*Z$99,2)</f>
        <v>0</v>
      </c>
      <c r="AA156" s="42">
        <f>ROUND($B156*AA$99,2)</f>
        <v>0</v>
      </c>
      <c r="AB156" s="19">
        <f>SUM(U$99:AA$99)+(-V$99+V118)</f>
        <v>1.6726999999999999E-2</v>
      </c>
      <c r="AC156" s="144"/>
    </row>
    <row r="157" spans="2:29" x14ac:dyDescent="0.2">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x14ac:dyDescent="0.2">
      <c r="B158" s="103">
        <f>IF(AND('AES Indiana Bill Calc.'!$D$17="SS",'AES Indiana Bill Calc.'!$D$18="Yes 25%",'AES Indiana Bill Calc.'!$D$20="Yes 2021"),'AES Indiana Bill Calc.'!$D$19,-1)</f>
        <v>-1</v>
      </c>
      <c r="C158" s="1" t="s">
        <v>230</v>
      </c>
      <c r="D158" s="144"/>
      <c r="F158" s="36" t="s">
        <v>251</v>
      </c>
      <c r="G158" s="42">
        <f>SUM(J158:M158,O158:P158,R158:AA158)</f>
        <v>39.880000000000003</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0.01</v>
      </c>
      <c r="U158" s="42">
        <f>ROUND($B158*U$99,2)</f>
        <v>0</v>
      </c>
      <c r="V158" s="41">
        <f>ROUND($B158*V$93,2)</f>
        <v>0</v>
      </c>
      <c r="W158" s="144"/>
      <c r="X158" s="42">
        <f>ROUND($B158*X$99,2)</f>
        <v>-0.01</v>
      </c>
      <c r="Y158" s="42">
        <f>ROUND($B158*Y$99,2)</f>
        <v>0</v>
      </c>
      <c r="Z158" s="42">
        <f>ROUND($B158*Z$99,2)</f>
        <v>0</v>
      </c>
      <c r="AA158" s="42">
        <f>ROUND($B158*AA$99,2)</f>
        <v>0</v>
      </c>
      <c r="AB158" s="19">
        <f>SUM(U$99:AA$99)+(-V$99+V120)</f>
        <v>1.6726999999999999E-2</v>
      </c>
      <c r="AC158" s="144"/>
    </row>
    <row r="159" spans="2:29" x14ac:dyDescent="0.2">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x14ac:dyDescent="0.2">
      <c r="B160" s="103">
        <f>IF(AND('AES Indiana Bill Calc.'!$D$17="SS",'AES Indiana Bill Calc.'!$D$18="Yes 10%",'AES Indiana Bill Calc.'!$D$20="Yes 2021"),'AES Indiana Bill Calc.'!$D$19,-1)</f>
        <v>-1</v>
      </c>
      <c r="C160" s="1" t="s">
        <v>246</v>
      </c>
      <c r="D160" s="144"/>
      <c r="F160" s="36" t="s">
        <v>251</v>
      </c>
      <c r="G160" s="42">
        <f>SUM(J160:M160,O160:P160,R160:AA160)</f>
        <v>39.880000000000003</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0.01</v>
      </c>
      <c r="U160" s="42">
        <f>ROUND($B160*U$99,2)</f>
        <v>0</v>
      </c>
      <c r="V160" s="41">
        <f>ROUND($B160*V$93,2)</f>
        <v>0</v>
      </c>
      <c r="W160" s="144"/>
      <c r="X160" s="42">
        <f>ROUND($B160*X$99,2)</f>
        <v>-0.01</v>
      </c>
      <c r="Y160" s="42">
        <f>ROUND($B160*Y$99,2)</f>
        <v>0</v>
      </c>
      <c r="Z160" s="42">
        <f>ROUND($B160*Z$99,2)</f>
        <v>0</v>
      </c>
      <c r="AA160" s="42">
        <f>ROUND($B160*AA$99,2)</f>
        <v>0</v>
      </c>
      <c r="AB160" s="19">
        <f>SUM(U$99:AA$99)+(-V$99+V122)</f>
        <v>1.6726999999999999E-2</v>
      </c>
      <c r="AC160" s="144"/>
    </row>
    <row r="161" spans="2:123" x14ac:dyDescent="0.2">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25">
      <c r="B162" s="97">
        <f>IF(AND('AES Indiana Bill Calc.'!$D$17="SS",'AES Indiana Bill Calc.'!$D$18="No",'AES Indiana Bill Calc.'!$D$20="Yes 2021"),'AES Indiana Bill Calc.'!$D$19,-1)</f>
        <v>-1</v>
      </c>
      <c r="C162" s="145" t="s">
        <v>227</v>
      </c>
      <c r="D162" s="144"/>
      <c r="F162" s="36" t="s">
        <v>251</v>
      </c>
      <c r="G162" s="42">
        <f>SUM(J162:M162,O162:P162,R162:AA162)</f>
        <v>39.880000000000003</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0.01</v>
      </c>
      <c r="U162" s="42">
        <f>ROUND($B162*U$99,2)</f>
        <v>0</v>
      </c>
      <c r="V162" s="41">
        <f>ROUND($B162*V$93,2)</f>
        <v>0</v>
      </c>
      <c r="W162" s="144"/>
      <c r="X162" s="42">
        <f>ROUND($B162*X$99,2)</f>
        <v>-0.01</v>
      </c>
      <c r="Y162" s="42">
        <f>ROUND($B162*Y$99,2)</f>
        <v>0</v>
      </c>
      <c r="Z162" s="42">
        <f>ROUND($B162*Z$99,2)</f>
        <v>0</v>
      </c>
      <c r="AA162" s="42">
        <f>ROUND($B162*AA$99,2)</f>
        <v>0</v>
      </c>
      <c r="AB162" s="19">
        <f>SUM(U$99:AA$99)+(-V$99+V124)</f>
        <v>1.6726999999999999E-2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x14ac:dyDescent="0.2">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x14ac:dyDescent="0.2">
      <c r="B164" s="97">
        <f>IF(AND('AES Indiana Bill Calc.'!$D$17="SS",'AES Indiana Bill Calc.'!$D$18="Yes 100%",'AES Indiana Bill Calc.'!$D$20="Yes 2022"),'AES Indiana Bill Calc.'!$D$19,-1)</f>
        <v>-1</v>
      </c>
      <c r="C164" s="145" t="s">
        <v>228</v>
      </c>
      <c r="D164" s="144"/>
      <c r="F164" s="36" t="s">
        <v>252</v>
      </c>
      <c r="G164" s="42">
        <f>SUM(J164:M164,O164:P164,R164:AA164)</f>
        <v>39.880000000000003</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0.01</v>
      </c>
      <c r="U164" s="42">
        <f>ROUND($B164*U$99,2)</f>
        <v>0</v>
      </c>
      <c r="V164" s="41">
        <f>ROUND($B164*V$94,2)</f>
        <v>0</v>
      </c>
      <c r="W164" s="144"/>
      <c r="X164" s="42">
        <f>ROUND($B164*X$99,2)</f>
        <v>-0.01</v>
      </c>
      <c r="Y164" s="42">
        <f>ROUND($B164*Y$99,2)</f>
        <v>0</v>
      </c>
      <c r="Z164" s="42">
        <f>ROUND($B164*Z$99,2)</f>
        <v>0</v>
      </c>
      <c r="AA164" s="42">
        <f>ROUND($B164*AA$99,2)</f>
        <v>0</v>
      </c>
      <c r="AB164" s="19">
        <f>SUM(U$99:AA$99)+(-V$99+V126)</f>
        <v>1.6726999999999999E-2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x14ac:dyDescent="0.2">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x14ac:dyDescent="0.2">
      <c r="B166" s="97">
        <f>IF(AND('AES Indiana Bill Calc.'!$D$17="SS",'AES Indiana Bill Calc.'!$D$18="Yes 50%",'AES Indiana Bill Calc.'!$D$20="Yes 2022"),'AES Indiana Bill Calc.'!$D$19,-1)</f>
        <v>-1</v>
      </c>
      <c r="C166" s="145" t="s">
        <v>229</v>
      </c>
      <c r="D166" s="144"/>
      <c r="F166" s="36" t="s">
        <v>252</v>
      </c>
      <c r="G166" s="42">
        <f>SUM(J166:M166,O166:P166,R166:AA166)</f>
        <v>39.880000000000003</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0.01</v>
      </c>
      <c r="U166" s="42">
        <f>ROUND($B166*U$99,2)</f>
        <v>0</v>
      </c>
      <c r="V166" s="41">
        <f>ROUND($B166*V$94,2)</f>
        <v>0</v>
      </c>
      <c r="W166" s="144"/>
      <c r="X166" s="42">
        <f>ROUND($B166*X$99,2)</f>
        <v>-0.01</v>
      </c>
      <c r="Y166" s="42">
        <f>ROUND($B166*Y$99,2)</f>
        <v>0</v>
      </c>
      <c r="Z166" s="42">
        <f>ROUND($B166*Z$99,2)</f>
        <v>0</v>
      </c>
      <c r="AA166" s="42">
        <f>ROUND($B166*AA$99,2)</f>
        <v>0</v>
      </c>
      <c r="AB166" s="19">
        <f>SUM(U$99:AA$99)+(-V$99+V128)</f>
        <v>1.6726999999999999E-2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x14ac:dyDescent="0.2">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x14ac:dyDescent="0.2">
      <c r="B168" s="97">
        <f>IF(AND('AES Indiana Bill Calc.'!$D$17="SS",'AES Indiana Bill Calc.'!$D$18="Yes 25%",'AES Indiana Bill Calc.'!$D$20="Yes 2022"),'AES Indiana Bill Calc.'!$D$19,-1)</f>
        <v>-1</v>
      </c>
      <c r="C168" s="145" t="s">
        <v>230</v>
      </c>
      <c r="D168" s="144"/>
      <c r="F168" s="36" t="s">
        <v>252</v>
      </c>
      <c r="G168" s="42">
        <f>SUM(J168:M168,O168:P168,R168:AA168)</f>
        <v>39.880000000000003</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0.01</v>
      </c>
      <c r="U168" s="42">
        <f>ROUND($B168*U$99,2)</f>
        <v>0</v>
      </c>
      <c r="V168" s="41">
        <f>ROUND($B168*V$94,2)</f>
        <v>0</v>
      </c>
      <c r="W168" s="144"/>
      <c r="X168" s="42">
        <f>ROUND($B168*X$99,2)</f>
        <v>-0.01</v>
      </c>
      <c r="Y168" s="42">
        <f>ROUND($B168*Y$99,2)</f>
        <v>0</v>
      </c>
      <c r="Z168" s="42">
        <f>ROUND($B168*Z$99,2)</f>
        <v>0</v>
      </c>
      <c r="AA168" s="42">
        <f>ROUND($B168*AA$99,2)</f>
        <v>0</v>
      </c>
      <c r="AB168" s="19">
        <f>SUM(U$99:AA$99)+(-V$99+V130)</f>
        <v>1.6726999999999999E-2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x14ac:dyDescent="0.2">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x14ac:dyDescent="0.2">
      <c r="B170" s="97">
        <f>IF(AND('AES Indiana Bill Calc.'!$D$17="SS",'AES Indiana Bill Calc.'!$D$18="Yes 10%",'AES Indiana Bill Calc.'!$D$20="Yes 2022"),'AES Indiana Bill Calc.'!$D$19,-1)</f>
        <v>-1</v>
      </c>
      <c r="C170" s="145" t="s">
        <v>246</v>
      </c>
      <c r="D170" s="144"/>
      <c r="F170" s="36" t="s">
        <v>252</v>
      </c>
      <c r="G170" s="42">
        <f>SUM(J170:M170,O170:P170,R170:AA170)</f>
        <v>39.880000000000003</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0.01</v>
      </c>
      <c r="U170" s="42">
        <f>ROUND($B170*U$99,2)</f>
        <v>0</v>
      </c>
      <c r="V170" s="41">
        <f>ROUND($B170*V$94,2)</f>
        <v>0</v>
      </c>
      <c r="W170" s="144"/>
      <c r="X170" s="42">
        <f>ROUND($B170*X$99,2)</f>
        <v>-0.01</v>
      </c>
      <c r="Y170" s="42">
        <f>ROUND($B170*Y$99,2)</f>
        <v>0</v>
      </c>
      <c r="Z170" s="42">
        <f>ROUND($B170*Z$99,2)</f>
        <v>0</v>
      </c>
      <c r="AA170" s="42">
        <f>ROUND($B170*AA$99,2)</f>
        <v>0</v>
      </c>
      <c r="AB170" s="19">
        <f>SUM(U$99:AA$99)+(-V$99+V132)</f>
        <v>1.6726999999999999E-2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x14ac:dyDescent="0.2">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x14ac:dyDescent="0.2">
      <c r="B172" s="97">
        <f>IF(AND('AES Indiana Bill Calc.'!$D$17="SS",'AES Indiana Bill Calc.'!$D$18="No",'AES Indiana Bill Calc.'!$D$20="Yes 2022"),'AES Indiana Bill Calc.'!$D$19,-1)</f>
        <v>-1</v>
      </c>
      <c r="C172" s="145" t="s">
        <v>227</v>
      </c>
      <c r="D172" s="144"/>
      <c r="F172" s="36" t="s">
        <v>252</v>
      </c>
      <c r="G172" s="42">
        <f>SUM(J172:M172,O172:P172,R172:AA172)</f>
        <v>39.880000000000003</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0.01</v>
      </c>
      <c r="U172" s="42">
        <f>ROUND($B172*U$99,2)</f>
        <v>0</v>
      </c>
      <c r="V172" s="41">
        <f>ROUND($B172*V$94,2)</f>
        <v>0</v>
      </c>
      <c r="W172" s="144"/>
      <c r="X172" s="42">
        <f>ROUND($B172*X$99,2)</f>
        <v>-0.01</v>
      </c>
      <c r="Y172" s="42">
        <f>ROUND($B172*Y$99,2)</f>
        <v>0</v>
      </c>
      <c r="Z172" s="42">
        <f>ROUND($B172*Z$99,2)</f>
        <v>0</v>
      </c>
      <c r="AA172" s="42">
        <f>ROUND($B172*AA$99,2)</f>
        <v>0</v>
      </c>
      <c r="AB172" s="19">
        <f>SUM(U$99:AA$99)+(-V$99+V134)</f>
        <v>1.6726999999999999E-2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x14ac:dyDescent="0.2">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x14ac:dyDescent="0.2">
      <c r="B174" s="97">
        <f>IF(AND('AES Indiana Bill Calc.'!$D$17="SS",'AES Indiana Bill Calc.'!$D$18="Yes 100%",'AES Indiana Bill Calc.'!$D$20="Yes 2023"),'AES Indiana Bill Calc.'!$D$19,-1)</f>
        <v>-1</v>
      </c>
      <c r="C174" s="145" t="s">
        <v>228</v>
      </c>
      <c r="D174" s="144"/>
      <c r="F174" s="36" t="s">
        <v>253</v>
      </c>
      <c r="G174" s="42">
        <f>SUM(J174:M174,O174:P174,R174:AA174)</f>
        <v>39.880000000000003</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0.01</v>
      </c>
      <c r="U174" s="42">
        <f>ROUND($B174*U$99,2)</f>
        <v>0</v>
      </c>
      <c r="V174" s="41">
        <f>ROUND($B174*V$95,2)</f>
        <v>0</v>
      </c>
      <c r="W174" s="144"/>
      <c r="X174" s="42">
        <f>ROUND($B174*X$99,2)</f>
        <v>-0.01</v>
      </c>
      <c r="Y174" s="42">
        <f>ROUND($B174*Y$99,2)</f>
        <v>0</v>
      </c>
      <c r="Z174" s="42">
        <f>ROUND($B174*Z$99,2)</f>
        <v>0</v>
      </c>
      <c r="AA174" s="42">
        <f>ROUND($B174*AA$99,2)</f>
        <v>0</v>
      </c>
      <c r="AB174" s="19">
        <f>SUM(U$99:AA$99)+(-V$99+V136)</f>
        <v>1.6726999999999999E-2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x14ac:dyDescent="0.2">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x14ac:dyDescent="0.2">
      <c r="B176" s="103">
        <f>IF(AND('AES Indiana Bill Calc.'!$D$17="SS",'AES Indiana Bill Calc.'!$D$18="Yes 50%",'AES Indiana Bill Calc.'!$D$20="Yes 2023"),'AES Indiana Bill Calc.'!$D$19,-1)</f>
        <v>-1</v>
      </c>
      <c r="C176" s="1" t="s">
        <v>229</v>
      </c>
      <c r="D176" s="144"/>
      <c r="F176" s="36" t="s">
        <v>253</v>
      </c>
      <c r="G176" s="42">
        <f>SUM(J176:M176,O176:P176,R176:AA176)</f>
        <v>39.880000000000003</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0.01</v>
      </c>
      <c r="U176" s="42">
        <f>ROUND($B176*U$99,2)</f>
        <v>0</v>
      </c>
      <c r="V176" s="41">
        <f>ROUND($B176*V$95,2)</f>
        <v>0</v>
      </c>
      <c r="W176" s="144"/>
      <c r="X176" s="42">
        <f>ROUND($B176*X$99,2)</f>
        <v>-0.01</v>
      </c>
      <c r="Y176" s="42">
        <f>ROUND($B176*Y$99,2)</f>
        <v>0</v>
      </c>
      <c r="Z176" s="42">
        <f>ROUND($B176*Z$99,2)</f>
        <v>0</v>
      </c>
      <c r="AA176" s="42">
        <f>ROUND($B176*AA$99,2)</f>
        <v>0</v>
      </c>
      <c r="AB176" s="19">
        <f>SUM(U$99:AA$99)+(-V$99+V138)</f>
        <v>1.6726999999999999E-2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x14ac:dyDescent="0.2">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x14ac:dyDescent="0.2">
      <c r="B178" s="103">
        <f>IF(AND('AES Indiana Bill Calc.'!$D$17="SS",'AES Indiana Bill Calc.'!$D$18="Yes 25%",'AES Indiana Bill Calc.'!$D$20="Yes 2023"),'AES Indiana Bill Calc.'!$D$19,-1)</f>
        <v>-1</v>
      </c>
      <c r="C178" s="1" t="s">
        <v>230</v>
      </c>
      <c r="D178" s="144"/>
      <c r="F178" s="36" t="s">
        <v>253</v>
      </c>
      <c r="G178" s="42">
        <f>SUM(J178:M178,O178:P178,R178:AA178)</f>
        <v>39.880000000000003</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0.01</v>
      </c>
      <c r="U178" s="42">
        <f>ROUND($B178*U$99,2)</f>
        <v>0</v>
      </c>
      <c r="V178" s="41">
        <f>ROUND($B178*V$95,2)</f>
        <v>0</v>
      </c>
      <c r="W178" s="144"/>
      <c r="X178" s="42">
        <f>ROUND($B178*X$99,2)</f>
        <v>-0.01</v>
      </c>
      <c r="Y178" s="42">
        <f>ROUND($B178*Y$99,2)</f>
        <v>0</v>
      </c>
      <c r="Z178" s="42">
        <f>ROUND($B178*Z$99,2)</f>
        <v>0</v>
      </c>
      <c r="AA178" s="42">
        <f>ROUND($B178*AA$99,2)</f>
        <v>0</v>
      </c>
      <c r="AB178" s="19">
        <f>SUM(U$99:AA$99)+(-V$99+V140)</f>
        <v>1.6726999999999999E-2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x14ac:dyDescent="0.2">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x14ac:dyDescent="0.2">
      <c r="B180" s="103">
        <f>IF(AND('AES Indiana Bill Calc.'!$D$17="SS",'AES Indiana Bill Calc.'!$D$18="Yes 10%",'AES Indiana Bill Calc.'!$D$20="Yes 2023"),'AES Indiana Bill Calc.'!$D$19,-1)</f>
        <v>-1</v>
      </c>
      <c r="C180" s="1" t="s">
        <v>246</v>
      </c>
      <c r="D180" s="144"/>
      <c r="F180" s="36" t="s">
        <v>253</v>
      </c>
      <c r="G180" s="42">
        <f>SUM(J180:M180,O180:P180,R180:AA180)</f>
        <v>39.880000000000003</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0.01</v>
      </c>
      <c r="U180" s="42">
        <f>ROUND($B180*U$99,2)</f>
        <v>0</v>
      </c>
      <c r="V180" s="41">
        <f>ROUND($B180*V$95,2)</f>
        <v>0</v>
      </c>
      <c r="W180" s="144"/>
      <c r="X180" s="42">
        <f>ROUND($B180*X$99,2)</f>
        <v>-0.01</v>
      </c>
      <c r="Y180" s="42">
        <f>ROUND($B180*Y$99,2)</f>
        <v>0</v>
      </c>
      <c r="Z180" s="42">
        <f>ROUND($B180*Z$99,2)</f>
        <v>0</v>
      </c>
      <c r="AA180" s="42">
        <f>ROUND($B180*AA$99,2)</f>
        <v>0</v>
      </c>
      <c r="AB180" s="19">
        <f>SUM(U$99:AA$99)+(-V$99+V142)</f>
        <v>1.6726999999999999E-2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x14ac:dyDescent="0.2">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25">
      <c r="A182" s="21"/>
      <c r="B182" s="106">
        <f>IF(AND('AES Indiana Bill Calc.'!$D$17="SS",'AES Indiana Bill Calc.'!$D$18="No",'AES Indiana Bill Calc.'!$D$20="Yes 2023"),'AES Indiana Bill Calc.'!$D$19,-1)</f>
        <v>-1</v>
      </c>
      <c r="C182" s="146" t="s">
        <v>227</v>
      </c>
      <c r="D182" s="125"/>
      <c r="E182" s="21"/>
      <c r="F182" s="79" t="s">
        <v>253</v>
      </c>
      <c r="G182" s="23">
        <f>SUM(J182:M182,O182:P182,R182:AA182)</f>
        <v>39.880000000000003</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0.01</v>
      </c>
      <c r="U182" s="23">
        <f>ROUND($B182*U$99,2)</f>
        <v>0</v>
      </c>
      <c r="V182" s="24">
        <f>ROUND($B182*V$95,2)</f>
        <v>0</v>
      </c>
      <c r="W182" s="125"/>
      <c r="X182" s="23">
        <f>ROUND($B182*X$99,2)</f>
        <v>-0.01</v>
      </c>
      <c r="Y182" s="23">
        <f>ROUND($B182*Y$99,2)</f>
        <v>0</v>
      </c>
      <c r="Z182" s="23">
        <f>ROUND($B182*Z$99,2)</f>
        <v>0</v>
      </c>
      <c r="AA182" s="23">
        <f>ROUND($B182*AA$99,2)</f>
        <v>0</v>
      </c>
      <c r="AB182" s="25">
        <f>SUM(U$99:AA$99)+(-V$99+V144)</f>
        <v>1.6726999999999999E-2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x14ac:dyDescent="0.2">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x14ac:dyDescent="0.2">
      <c r="B184" s="97">
        <f>IF(AND('AES Indiana Bill Calc.'!$D$17="SS",'AES Indiana Bill Calc.'!$D$18="Yes 100%",'AES Indiana Bill Calc.'!$D$20="Yes 2024"),'AES Indiana Bill Calc.'!$D$19,-1)</f>
        <v>-1</v>
      </c>
      <c r="C184" s="145" t="s">
        <v>228</v>
      </c>
      <c r="D184" s="144"/>
      <c r="F184" s="36" t="s">
        <v>254</v>
      </c>
      <c r="G184" s="42">
        <f>SUM(J184:M184,O184:P184,R184:AA184)</f>
        <v>39.880000000000003</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0.01</v>
      </c>
      <c r="U184" s="42">
        <f>ROUND($B184*U$99,2)</f>
        <v>0</v>
      </c>
      <c r="V184" s="41">
        <f>ROUND($B184*V$96,2)</f>
        <v>0</v>
      </c>
      <c r="W184" s="144"/>
      <c r="X184" s="42">
        <f>ROUND($B184*X$99,2)</f>
        <v>-0.01</v>
      </c>
      <c r="Y184" s="42">
        <f>ROUND($B184*Y$99,2)</f>
        <v>0</v>
      </c>
      <c r="Z184" s="42">
        <f>ROUND($B184*Z$99,2)</f>
        <v>0</v>
      </c>
      <c r="AA184" s="42">
        <f>ROUND($B184*AA$99,2)</f>
        <v>0</v>
      </c>
      <c r="AB184" s="19">
        <f>SUM(U$99:AA$99)+(-V$99+V146)</f>
        <v>1.6726999999999999E-2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x14ac:dyDescent="0.2">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x14ac:dyDescent="0.2">
      <c r="B186" s="103">
        <f>IF(AND('AES Indiana Bill Calc.'!$D$17="SS",'AES Indiana Bill Calc.'!$D$18="Yes 50%",'AES Indiana Bill Calc.'!$D$20="Yes 2024"),'AES Indiana Bill Calc.'!$D$19,-1)</f>
        <v>-1</v>
      </c>
      <c r="C186" s="1" t="s">
        <v>229</v>
      </c>
      <c r="D186" s="144"/>
      <c r="F186" s="36" t="s">
        <v>254</v>
      </c>
      <c r="G186" s="42">
        <f>SUM(J186:M186,O186:P186,R186:AA186)</f>
        <v>39.880000000000003</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0.01</v>
      </c>
      <c r="U186" s="42">
        <f>ROUND($B186*U$99,2)</f>
        <v>0</v>
      </c>
      <c r="V186" s="41">
        <f>ROUND($B186*V$96,2)</f>
        <v>0</v>
      </c>
      <c r="W186" s="144"/>
      <c r="X186" s="42">
        <f>ROUND($B186*X$99,2)</f>
        <v>-0.01</v>
      </c>
      <c r="Y186" s="42">
        <f>ROUND($B186*Y$99,2)</f>
        <v>0</v>
      </c>
      <c r="Z186" s="42">
        <f>ROUND($B186*Z$99,2)</f>
        <v>0</v>
      </c>
      <c r="AA186" s="42">
        <f>ROUND($B186*AA$99,2)</f>
        <v>0</v>
      </c>
      <c r="AB186" s="19">
        <f>SUM(U$99:AA$99)+(-V$99+V148)</f>
        <v>1.6726999999999999E-2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x14ac:dyDescent="0.2">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x14ac:dyDescent="0.2">
      <c r="B188" s="103">
        <f>IF(AND('AES Indiana Bill Calc.'!$D$17="SS",'AES Indiana Bill Calc.'!$D$18="Yes 25%",'AES Indiana Bill Calc.'!$D$20="Yes 2024"),'AES Indiana Bill Calc.'!$D$19,-1)</f>
        <v>-1</v>
      </c>
      <c r="C188" s="1" t="s">
        <v>230</v>
      </c>
      <c r="D188" s="144"/>
      <c r="F188" s="36" t="s">
        <v>254</v>
      </c>
      <c r="G188" s="42">
        <f>SUM(J188:M188,O188:P188,R188:AA188)</f>
        <v>39.880000000000003</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0.01</v>
      </c>
      <c r="U188" s="42">
        <f>ROUND($B188*U$99,2)</f>
        <v>0</v>
      </c>
      <c r="V188" s="41">
        <f>ROUND($B188*V$96,2)</f>
        <v>0</v>
      </c>
      <c r="W188" s="144"/>
      <c r="X188" s="42">
        <f>ROUND($B188*X$99,2)</f>
        <v>-0.01</v>
      </c>
      <c r="Y188" s="42">
        <f>ROUND($B188*Y$99,2)</f>
        <v>0</v>
      </c>
      <c r="Z188" s="42">
        <f>ROUND($B188*Z$99,2)</f>
        <v>0</v>
      </c>
      <c r="AA188" s="42">
        <f>ROUND($B188*AA$99,2)</f>
        <v>0</v>
      </c>
      <c r="AB188" s="19">
        <f>SUM(U$99:AA$99)+(-V$99+V150)</f>
        <v>1.6726999999999999E-2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x14ac:dyDescent="0.2">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x14ac:dyDescent="0.2">
      <c r="B190" s="103">
        <f>IF(AND('AES Indiana Bill Calc.'!$D$17="SS",'AES Indiana Bill Calc.'!$D$18="Yes 10%",'AES Indiana Bill Calc.'!$D$20="Yes 2024"),'AES Indiana Bill Calc.'!$D$19,-1)</f>
        <v>-1</v>
      </c>
      <c r="C190" s="1" t="s">
        <v>246</v>
      </c>
      <c r="D190" s="144"/>
      <c r="F190" s="36" t="s">
        <v>254</v>
      </c>
      <c r="G190" s="42">
        <f>SUM(J190:M190,O190:P190,R190:AA190)</f>
        <v>39.880000000000003</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0.01</v>
      </c>
      <c r="U190" s="42">
        <f>ROUND($B190*U$99,2)</f>
        <v>0</v>
      </c>
      <c r="V190" s="41">
        <f>ROUND($B190*V$96,2)</f>
        <v>0</v>
      </c>
      <c r="W190" s="144"/>
      <c r="X190" s="42">
        <f>ROUND($B190*X$99,2)</f>
        <v>-0.01</v>
      </c>
      <c r="Y190" s="42">
        <f>ROUND($B190*Y$99,2)</f>
        <v>0</v>
      </c>
      <c r="Z190" s="42">
        <f>ROUND($B190*Z$99,2)</f>
        <v>0</v>
      </c>
      <c r="AA190" s="42">
        <f>ROUND($B190*AA$99,2)</f>
        <v>0</v>
      </c>
      <c r="AB190" s="19">
        <f>SUM(U$99:AA$99)+(-V$99+V152)</f>
        <v>1.6726999999999999E-2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x14ac:dyDescent="0.2">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25">
      <c r="A192" s="21"/>
      <c r="B192" s="106">
        <f>IF(AND('AES Indiana Bill Calc.'!$D$17="SS",'AES Indiana Bill Calc.'!$D$18="No",'AES Indiana Bill Calc.'!$D$20="Yes 2024"),'AES Indiana Bill Calc.'!$D$19,-1)</f>
        <v>-1</v>
      </c>
      <c r="C192" s="146" t="s">
        <v>227</v>
      </c>
      <c r="D192" s="125"/>
      <c r="E192" s="21"/>
      <c r="F192" s="36" t="s">
        <v>254</v>
      </c>
      <c r="G192" s="23">
        <f>SUM(J192:M192,O192:P192,R192:AA192)</f>
        <v>39.880000000000003</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0.01</v>
      </c>
      <c r="U192" s="23">
        <f>ROUND($B192*U$99,2)</f>
        <v>0</v>
      </c>
      <c r="V192" s="24">
        <f>ROUND($B192*V$96,2)</f>
        <v>0</v>
      </c>
      <c r="W192" s="125"/>
      <c r="X192" s="23">
        <f>ROUND($B192*X$99,2)</f>
        <v>-0.01</v>
      </c>
      <c r="Y192" s="23">
        <f>ROUND($B192*Y$99,2)</f>
        <v>0</v>
      </c>
      <c r="Z192" s="23">
        <f>ROUND($B192*Z$99,2)</f>
        <v>0</v>
      </c>
      <c r="AA192" s="23">
        <f>ROUND($B192*AA$99,2)</f>
        <v>0</v>
      </c>
      <c r="AB192" s="25">
        <f>SUM(U$99:AA$99)+(-V$99+V154)</f>
        <v>1.6726999999999999E-2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x14ac:dyDescent="0.2">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x14ac:dyDescent="0.2">
      <c r="B194" s="97">
        <f>IF(AND('AES Indiana Bill Calc.'!$D$17="SS",'AES Indiana Bill Calc.'!$D$18="Yes 100%",'AES Indiana Bill Calc.'!$D$20="Yes 2025"),'AES Indiana Bill Calc.'!$D$19,-1)</f>
        <v>-1</v>
      </c>
      <c r="C194" s="145" t="s">
        <v>228</v>
      </c>
      <c r="D194" s="144"/>
      <c r="F194" s="36" t="s">
        <v>255</v>
      </c>
      <c r="G194" s="42">
        <f>SUM(J194:M194,O194:P194,R194:AA194)</f>
        <v>39.880000000000003</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0.01</v>
      </c>
      <c r="U194" s="42">
        <f>ROUND($B194*U$99,2)</f>
        <v>0</v>
      </c>
      <c r="V194" s="41">
        <f>ROUND($B194*V$97,2)</f>
        <v>0</v>
      </c>
      <c r="W194" s="144"/>
      <c r="X194" s="42">
        <f>ROUND($B194*X$99,2)</f>
        <v>-0.01</v>
      </c>
      <c r="Y194" s="42">
        <f>ROUND($B194*Y$99,2)</f>
        <v>0</v>
      </c>
      <c r="Z194" s="42">
        <f>ROUND($B194*Z$99,2)</f>
        <v>0</v>
      </c>
      <c r="AA194" s="42">
        <f>ROUND($B194*AA$99,2)</f>
        <v>0</v>
      </c>
      <c r="AB194" s="19">
        <f>SUM(U$99:AA$99)+(-V$99+V156)</f>
        <v>1.6726999999999999E-2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x14ac:dyDescent="0.2">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x14ac:dyDescent="0.2">
      <c r="B196" s="103">
        <f>IF(AND('AES Indiana Bill Calc.'!$D$17="SS",'AES Indiana Bill Calc.'!$D$18="Yes 50%",'AES Indiana Bill Calc.'!$D$20="Yes 2025"),'AES Indiana Bill Calc.'!$D$19,-1)</f>
        <v>-1</v>
      </c>
      <c r="C196" s="1" t="s">
        <v>229</v>
      </c>
      <c r="D196" s="144"/>
      <c r="F196" s="36" t="s">
        <v>255</v>
      </c>
      <c r="G196" s="42">
        <f>SUM(J196:M196,O196:P196,R196:AA196)</f>
        <v>39.880000000000003</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0.01</v>
      </c>
      <c r="U196" s="42">
        <f>ROUND($B196*U$99,2)</f>
        <v>0</v>
      </c>
      <c r="V196" s="41">
        <f>ROUND($B196*V$97,2)</f>
        <v>0</v>
      </c>
      <c r="W196" s="144"/>
      <c r="X196" s="42">
        <f>ROUND($B196*X$99,2)</f>
        <v>-0.01</v>
      </c>
      <c r="Y196" s="42">
        <f>ROUND($B196*Y$99,2)</f>
        <v>0</v>
      </c>
      <c r="Z196" s="42">
        <f>ROUND($B196*Z$99,2)</f>
        <v>0</v>
      </c>
      <c r="AA196" s="42">
        <f>ROUND($B196*AA$99,2)</f>
        <v>0</v>
      </c>
      <c r="AB196" s="19">
        <f>SUM(U$99:AA$99)+(-V$99+V158)</f>
        <v>1.6726999999999999E-2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x14ac:dyDescent="0.2">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x14ac:dyDescent="0.2">
      <c r="B198" s="103">
        <f>IF(AND('AES Indiana Bill Calc.'!$D$17="SS",'AES Indiana Bill Calc.'!$D$18="Yes 25%",'AES Indiana Bill Calc.'!$D$20="Yes 2025"),'AES Indiana Bill Calc.'!$D$19,-1)</f>
        <v>-1</v>
      </c>
      <c r="C198" s="1" t="s">
        <v>230</v>
      </c>
      <c r="D198" s="144"/>
      <c r="F198" s="36" t="s">
        <v>255</v>
      </c>
      <c r="G198" s="42">
        <f>SUM(J198:M198,O198:P198,R198:AA198)</f>
        <v>39.880000000000003</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0.01</v>
      </c>
      <c r="U198" s="42">
        <f>ROUND($B198*U$99,2)</f>
        <v>0</v>
      </c>
      <c r="V198" s="41">
        <f>ROUND($B198*V$97,2)</f>
        <v>0</v>
      </c>
      <c r="W198" s="144"/>
      <c r="X198" s="42">
        <f>ROUND($B198*X$99,2)</f>
        <v>-0.01</v>
      </c>
      <c r="Y198" s="42">
        <f>ROUND($B198*Y$99,2)</f>
        <v>0</v>
      </c>
      <c r="Z198" s="42">
        <f>ROUND($B198*Z$99,2)</f>
        <v>0</v>
      </c>
      <c r="AA198" s="42">
        <f>ROUND($B198*AA$99,2)</f>
        <v>0</v>
      </c>
      <c r="AB198" s="19">
        <f>SUM(U$99:AA$99)+(-V$99+V160)</f>
        <v>1.6726999999999999E-2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x14ac:dyDescent="0.2">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x14ac:dyDescent="0.2">
      <c r="B200" s="103">
        <f>IF(AND('AES Indiana Bill Calc.'!$D$17="SS",'AES Indiana Bill Calc.'!$D$18="Yes 10%",'AES Indiana Bill Calc.'!$D$20="Yes 2025"),'AES Indiana Bill Calc.'!$D$19,-1)</f>
        <v>-1</v>
      </c>
      <c r="C200" s="1" t="s">
        <v>246</v>
      </c>
      <c r="D200" s="144"/>
      <c r="F200" s="36" t="s">
        <v>255</v>
      </c>
      <c r="G200" s="42">
        <f>SUM(J200:M200,O200:P200,R200:AA200)</f>
        <v>39.880000000000003</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0.01</v>
      </c>
      <c r="U200" s="42">
        <f>ROUND($B200*U$99,2)</f>
        <v>0</v>
      </c>
      <c r="V200" s="41">
        <f>ROUND($B200*V$97,2)</f>
        <v>0</v>
      </c>
      <c r="W200" s="144"/>
      <c r="X200" s="42">
        <f>ROUND($B200*X$99,2)</f>
        <v>-0.01</v>
      </c>
      <c r="Y200" s="42">
        <f>ROUND($B200*Y$99,2)</f>
        <v>0</v>
      </c>
      <c r="Z200" s="42">
        <f>ROUND($B200*Z$99,2)</f>
        <v>0</v>
      </c>
      <c r="AA200" s="42">
        <f>ROUND($B200*AA$99,2)</f>
        <v>0</v>
      </c>
      <c r="AB200" s="19">
        <f>SUM(U$99:AA$99)+(-V$99+V162)</f>
        <v>1.6726999999999999E-2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x14ac:dyDescent="0.2">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25">
      <c r="A202" s="21"/>
      <c r="B202" s="106">
        <f>IF(AND('AES Indiana Bill Calc.'!$D$17="SS",'AES Indiana Bill Calc.'!$D$18="No",'AES Indiana Bill Calc.'!$D$20="Yes 2025"),'AES Indiana Bill Calc.'!$D$19,-1)</f>
        <v>-1</v>
      </c>
      <c r="C202" s="146" t="s">
        <v>227</v>
      </c>
      <c r="D202" s="125"/>
      <c r="E202" s="21"/>
      <c r="F202" s="36" t="s">
        <v>255</v>
      </c>
      <c r="G202" s="23">
        <f>SUM(J202:M202,O202:P202,R202:AA202)</f>
        <v>39.880000000000003</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0.01</v>
      </c>
      <c r="U202" s="23">
        <f>ROUND($B202*U$99,2)</f>
        <v>0</v>
      </c>
      <c r="V202" s="24">
        <f>ROUND($B202*V$97,2)</f>
        <v>0</v>
      </c>
      <c r="W202" s="125"/>
      <c r="X202" s="23">
        <f>ROUND($B202*X$99,2)</f>
        <v>-0.01</v>
      </c>
      <c r="Y202" s="23">
        <f>ROUND($B202*Y$99,2)</f>
        <v>0</v>
      </c>
      <c r="Z202" s="23">
        <f>ROUND($B202*Z$99,2)</f>
        <v>0</v>
      </c>
      <c r="AA202" s="23">
        <f>ROUND($B202*AA$99,2)</f>
        <v>0</v>
      </c>
      <c r="AB202" s="25">
        <f>SUM(U$99:AA$99)+(-V$99+V164)</f>
        <v>1.6726999999999999E-2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x14ac:dyDescent="0.2">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x14ac:dyDescent="0.2">
      <c r="B204" s="97">
        <f>IF(AND('AES Indiana Bill Calc.'!$D$17="SS",'AES Indiana Bill Calc.'!$D$18="Yes 100%",'AES Indiana Bill Calc.'!$D$20="Yes 2026"),'AES Indiana Bill Calc.'!$D$19,-1)</f>
        <v>-1</v>
      </c>
      <c r="C204" s="145" t="s">
        <v>228</v>
      </c>
      <c r="D204" s="144"/>
      <c r="F204" s="36" t="s">
        <v>256</v>
      </c>
      <c r="G204" s="42">
        <f>SUM(J204:M204,O204:P204,R204:AA204)</f>
        <v>39.870000000000005</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0.01</v>
      </c>
      <c r="U204" s="42">
        <f>ROUND($B204*U$99,2)</f>
        <v>0</v>
      </c>
      <c r="V204" s="41">
        <f>ROUND($B204*V$98,2)</f>
        <v>-0.01</v>
      </c>
      <c r="W204" s="144"/>
      <c r="X204" s="42">
        <f>ROUND($B204*X$99,2)</f>
        <v>-0.01</v>
      </c>
      <c r="Y204" s="42">
        <f>ROUND($B204*Y$99,2)</f>
        <v>0</v>
      </c>
      <c r="Z204" s="42">
        <f>ROUND($B204*Z$99,2)</f>
        <v>0</v>
      </c>
      <c r="AA204" s="42">
        <f>ROUND($B204*AA$99,2)</f>
        <v>0</v>
      </c>
      <c r="AB204" s="19">
        <f>SUM(U$99:AA$99)+(-V$99+V166)</f>
        <v>1.6726999999999999E-2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x14ac:dyDescent="0.2">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x14ac:dyDescent="0.2">
      <c r="B206" s="103">
        <f>IF(AND('AES Indiana Bill Calc.'!$D$17="SS",'AES Indiana Bill Calc.'!$D$18="Yes 50%",'AES Indiana Bill Calc.'!$D$20="Yes 2026"),'AES Indiana Bill Calc.'!$D$19,-1)</f>
        <v>-1</v>
      </c>
      <c r="C206" s="1" t="s">
        <v>229</v>
      </c>
      <c r="D206" s="144"/>
      <c r="F206" s="36" t="s">
        <v>256</v>
      </c>
      <c r="G206" s="42">
        <f>SUM(J206:M206,O206:P206,R206:AA206)</f>
        <v>39.870000000000005</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0.01</v>
      </c>
      <c r="U206" s="42">
        <f>ROUND($B206*U$99,2)</f>
        <v>0</v>
      </c>
      <c r="V206" s="41">
        <f>ROUND($B206*V$98,2)</f>
        <v>-0.01</v>
      </c>
      <c r="W206" s="144"/>
      <c r="X206" s="42">
        <f>ROUND($B206*X$99,2)</f>
        <v>-0.01</v>
      </c>
      <c r="Y206" s="42">
        <f>ROUND($B206*Y$99,2)</f>
        <v>0</v>
      </c>
      <c r="Z206" s="42">
        <f>ROUND($B206*Z$99,2)</f>
        <v>0</v>
      </c>
      <c r="AA206" s="42">
        <f>ROUND($B206*AA$99,2)</f>
        <v>0</v>
      </c>
      <c r="AB206" s="19">
        <f>SUM(U$99:AA$99)+(-V$99+V168)</f>
        <v>1.6726999999999999E-2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x14ac:dyDescent="0.2">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x14ac:dyDescent="0.2">
      <c r="B208" s="103">
        <f>IF(AND('AES Indiana Bill Calc.'!$D$17="SS",'AES Indiana Bill Calc.'!$D$18="Yes 25%",'AES Indiana Bill Calc.'!$D$20="Yes 2026"),'AES Indiana Bill Calc.'!$D$19,-1)</f>
        <v>-1</v>
      </c>
      <c r="C208" s="1" t="s">
        <v>230</v>
      </c>
      <c r="D208" s="144"/>
      <c r="F208" s="36" t="s">
        <v>256</v>
      </c>
      <c r="G208" s="42">
        <f>SUM(J208:M208,O208:P208,R208:AA208)</f>
        <v>39.870000000000005</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0.01</v>
      </c>
      <c r="U208" s="42">
        <f>ROUND($B208*U$99,2)</f>
        <v>0</v>
      </c>
      <c r="V208" s="41">
        <f>ROUND($B208*V$98,2)</f>
        <v>-0.01</v>
      </c>
      <c r="W208" s="144"/>
      <c r="X208" s="42">
        <f>ROUND($B208*X$99,2)</f>
        <v>-0.01</v>
      </c>
      <c r="Y208" s="42">
        <f>ROUND($B208*Y$99,2)</f>
        <v>0</v>
      </c>
      <c r="Z208" s="42">
        <f>ROUND($B208*Z$99,2)</f>
        <v>0</v>
      </c>
      <c r="AA208" s="42">
        <f>ROUND($B208*AA$99,2)</f>
        <v>0</v>
      </c>
      <c r="AB208" s="19">
        <f>SUM(U$99:AA$99)+(-V$99+V170)</f>
        <v>1.6726999999999999E-2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x14ac:dyDescent="0.2">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x14ac:dyDescent="0.2">
      <c r="B210" s="103">
        <f>IF(AND('AES Indiana Bill Calc.'!$D$17="SS",'AES Indiana Bill Calc.'!$D$18="Yes 10%",'AES Indiana Bill Calc.'!$D$20="Yes 2026"),'AES Indiana Bill Calc.'!$D$19,-1)</f>
        <v>-1</v>
      </c>
      <c r="C210" s="1" t="s">
        <v>246</v>
      </c>
      <c r="D210" s="144"/>
      <c r="F210" s="36" t="s">
        <v>256</v>
      </c>
      <c r="G210" s="42">
        <f>SUM(J210:M210,O210:P210,R210:AA210)</f>
        <v>39.870000000000005</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0.01</v>
      </c>
      <c r="U210" s="42">
        <f>ROUND($B210*U$99,2)</f>
        <v>0</v>
      </c>
      <c r="V210" s="41">
        <f>ROUND($B210*V$98,2)</f>
        <v>-0.01</v>
      </c>
      <c r="W210" s="144"/>
      <c r="X210" s="42">
        <f>ROUND($B210*X$99,2)</f>
        <v>-0.01</v>
      </c>
      <c r="Y210" s="42">
        <f>ROUND($B210*Y$99,2)</f>
        <v>0</v>
      </c>
      <c r="Z210" s="42">
        <f>ROUND($B210*Z$99,2)</f>
        <v>0</v>
      </c>
      <c r="AA210" s="42">
        <f>ROUND($B210*AA$99,2)</f>
        <v>0</v>
      </c>
      <c r="AB210" s="19">
        <f>SUM(U$99:AA$99)+(-V$99+V172)</f>
        <v>1.6726999999999999E-2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x14ac:dyDescent="0.2">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25">
      <c r="A212" s="21"/>
      <c r="B212" s="106">
        <f>IF(AND('AES Indiana Bill Calc.'!$D$17="SS",'AES Indiana Bill Calc.'!$D$18="No",'AES Indiana Bill Calc.'!$D$20="Yes 2026"),'AES Indiana Bill Calc.'!$D$19,-1)</f>
        <v>-1</v>
      </c>
      <c r="C212" s="146" t="s">
        <v>227</v>
      </c>
      <c r="D212" s="125"/>
      <c r="E212" s="21"/>
      <c r="F212" s="36" t="s">
        <v>256</v>
      </c>
      <c r="G212" s="23">
        <f>SUM(J212:M212,O212:P212,R212:AA212)</f>
        <v>39.870000000000005</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0.01</v>
      </c>
      <c r="U212" s="23">
        <f>ROUND($B212*U$99,2)</f>
        <v>0</v>
      </c>
      <c r="V212" s="24">
        <f>ROUND($B212*V$98,2)</f>
        <v>-0.01</v>
      </c>
      <c r="W212" s="125"/>
      <c r="X212" s="23">
        <f>ROUND($B212*X$99,2)</f>
        <v>-0.01</v>
      </c>
      <c r="Y212" s="23">
        <f>ROUND($B212*Y$99,2)</f>
        <v>0</v>
      </c>
      <c r="Z212" s="23">
        <f>ROUND($B212*Z$99,2)</f>
        <v>0</v>
      </c>
      <c r="AA212" s="23">
        <f>ROUND($B212*AA$99,2)</f>
        <v>0</v>
      </c>
      <c r="AB212" s="25">
        <f>SUM(U$99:AA$99)+(-V$99+V174)</f>
        <v>1.6726999999999999E-2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x14ac:dyDescent="0.2">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x14ac:dyDescent="0.2">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x14ac:dyDescent="0.2">
      <c r="B215" s="103">
        <v>-1</v>
      </c>
      <c r="C215" s="9"/>
      <c r="F215" s="36"/>
      <c r="G215" s="17"/>
      <c r="H215" s="19"/>
      <c r="I215" s="19"/>
      <c r="J215" s="16"/>
      <c r="K215" s="16"/>
      <c r="L215" s="16"/>
      <c r="M215" s="8"/>
      <c r="N215" s="8"/>
      <c r="O215" s="8"/>
      <c r="P215" s="8"/>
      <c r="Q215" s="8"/>
      <c r="R215" s="8"/>
      <c r="S215" s="17"/>
      <c r="T215" s="17"/>
      <c r="U215" s="17"/>
      <c r="V215" s="27">
        <f>+T9</f>
        <v>0</v>
      </c>
      <c r="W215" s="6" t="s">
        <v>242</v>
      </c>
      <c r="X215" s="17"/>
      <c r="Y215" s="17"/>
      <c r="Z215" s="17"/>
      <c r="AA215" s="17"/>
      <c r="AB215" s="19" t="e">
        <f>+AB$227-V$227+#REF!</f>
        <v>#REF!</v>
      </c>
    </row>
    <row r="216" spans="1:123" x14ac:dyDescent="0.2">
      <c r="B216" s="103">
        <v>-1</v>
      </c>
      <c r="C216" s="9"/>
      <c r="H216" s="19"/>
      <c r="I216" s="19"/>
      <c r="J216" s="16"/>
      <c r="K216" s="16"/>
      <c r="L216" s="16"/>
      <c r="M216" s="8"/>
      <c r="N216" s="8"/>
      <c r="O216" s="8"/>
      <c r="P216" s="8"/>
      <c r="Q216" s="8"/>
      <c r="R216" s="8"/>
      <c r="S216" s="17"/>
      <c r="T216" s="17"/>
      <c r="U216" s="17"/>
      <c r="V216" s="27">
        <f>+T11</f>
        <v>0</v>
      </c>
      <c r="W216" s="6" t="s">
        <v>243</v>
      </c>
      <c r="X216" s="17"/>
      <c r="Y216" s="17"/>
      <c r="Z216" s="17"/>
      <c r="AA216" s="17"/>
      <c r="AB216" s="19">
        <f>+AB$227-V$227+V215</f>
        <v>1.602E-2</v>
      </c>
    </row>
    <row r="217" spans="1:123" x14ac:dyDescent="0.2">
      <c r="B217" s="103">
        <v>-1</v>
      </c>
      <c r="C217" s="9"/>
      <c r="H217" s="19"/>
      <c r="I217" s="19"/>
      <c r="J217" s="16"/>
      <c r="K217" s="16"/>
      <c r="L217" s="16"/>
      <c r="M217" s="8"/>
      <c r="N217" s="8"/>
      <c r="O217" s="8"/>
      <c r="P217" s="8"/>
      <c r="Q217" s="8"/>
      <c r="R217" s="8"/>
      <c r="S217" s="17"/>
      <c r="T217" s="17"/>
      <c r="U217" s="17"/>
      <c r="V217" s="27">
        <f>+T13</f>
        <v>0</v>
      </c>
      <c r="W217" s="6" t="s">
        <v>234</v>
      </c>
      <c r="X217" s="17"/>
      <c r="Y217" s="17"/>
      <c r="Z217" s="17"/>
      <c r="AA217" s="17"/>
      <c r="AB217" s="19">
        <f>+AB$227-V$227+V216</f>
        <v>1.602E-2</v>
      </c>
    </row>
    <row r="218" spans="1:123" x14ac:dyDescent="0.2">
      <c r="B218" s="103">
        <v>-1</v>
      </c>
      <c r="C218" s="9"/>
      <c r="H218" s="19"/>
      <c r="I218" s="19"/>
      <c r="J218" s="16"/>
      <c r="K218" s="16"/>
      <c r="L218" s="16"/>
      <c r="M218" s="8"/>
      <c r="N218" s="8"/>
      <c r="O218" s="8"/>
      <c r="P218" s="8"/>
      <c r="Q218" s="8"/>
      <c r="R218" s="8"/>
      <c r="S218" s="17"/>
      <c r="T218" s="17"/>
      <c r="U218" s="17"/>
      <c r="V218" s="27">
        <f>T15</f>
        <v>0</v>
      </c>
      <c r="W218" s="6" t="s">
        <v>235</v>
      </c>
      <c r="X218" s="17"/>
      <c r="Y218" s="17"/>
      <c r="Z218" s="17"/>
      <c r="AA218" s="17"/>
      <c r="AB218" s="19"/>
    </row>
    <row r="219" spans="1:123" x14ac:dyDescent="0.2">
      <c r="B219" s="103">
        <v>-1</v>
      </c>
      <c r="C219" s="9"/>
      <c r="H219" s="19"/>
      <c r="I219" s="19"/>
      <c r="J219" s="16"/>
      <c r="K219" s="16"/>
      <c r="L219" s="16"/>
      <c r="M219" s="8"/>
      <c r="N219" s="8"/>
      <c r="O219" s="8"/>
      <c r="P219" s="8"/>
      <c r="Q219" s="8"/>
      <c r="R219" s="8"/>
      <c r="S219" s="17"/>
      <c r="T219" s="17"/>
      <c r="U219" s="17"/>
      <c r="V219" s="27">
        <f>$T$18</f>
        <v>0</v>
      </c>
      <c r="W219" s="6" t="s">
        <v>236</v>
      </c>
      <c r="X219" s="17"/>
      <c r="Y219" s="17"/>
      <c r="Z219" s="17"/>
      <c r="AA219" s="17"/>
      <c r="AB219" s="19"/>
    </row>
    <row r="220" spans="1:123" x14ac:dyDescent="0.2">
      <c r="B220" s="103">
        <v>-1</v>
      </c>
      <c r="C220" s="9"/>
      <c r="H220" s="19"/>
      <c r="I220" s="19"/>
      <c r="J220" s="16"/>
      <c r="K220" s="16"/>
      <c r="L220" s="16"/>
      <c r="M220" s="8"/>
      <c r="N220" s="8"/>
      <c r="O220" s="8"/>
      <c r="P220" s="8"/>
      <c r="Q220" s="8"/>
      <c r="R220" s="8"/>
      <c r="S220" s="17"/>
      <c r="T220" s="17"/>
      <c r="U220" s="17"/>
      <c r="V220" s="27">
        <f>$T$20</f>
        <v>0</v>
      </c>
      <c r="W220" s="6" t="s">
        <v>237</v>
      </c>
      <c r="X220" s="17"/>
      <c r="Y220" s="17"/>
      <c r="Z220" s="17"/>
      <c r="AA220" s="17"/>
      <c r="AB220" s="19"/>
    </row>
    <row r="221" spans="1:123" x14ac:dyDescent="0.2">
      <c r="B221" s="103">
        <v>-1</v>
      </c>
      <c r="C221" s="9"/>
      <c r="H221" s="19"/>
      <c r="I221" s="19"/>
      <c r="J221" s="16"/>
      <c r="K221" s="16"/>
      <c r="L221" s="16"/>
      <c r="M221" s="8"/>
      <c r="N221" s="8"/>
      <c r="O221" s="8"/>
      <c r="P221" s="8"/>
      <c r="Q221" s="8"/>
      <c r="R221" s="8"/>
      <c r="S221" s="17"/>
      <c r="T221" s="17"/>
      <c r="U221" s="17"/>
      <c r="V221" s="27">
        <f>$T$22</f>
        <v>-2.5219999999999999E-3</v>
      </c>
      <c r="W221" s="6" t="s">
        <v>238</v>
      </c>
      <c r="X221" s="17"/>
      <c r="Y221" s="17"/>
      <c r="Z221" s="17"/>
      <c r="AA221" s="17"/>
      <c r="AB221" s="19"/>
    </row>
    <row r="222" spans="1:123" x14ac:dyDescent="0.2">
      <c r="B222" s="103">
        <v>-1</v>
      </c>
      <c r="C222" s="9"/>
      <c r="H222" s="19"/>
      <c r="I222" s="19"/>
      <c r="J222" s="16"/>
      <c r="K222" s="16"/>
      <c r="L222" s="16"/>
      <c r="M222" s="8"/>
      <c r="N222" s="8"/>
      <c r="O222" s="8"/>
      <c r="P222" s="8"/>
      <c r="Q222" s="8"/>
      <c r="R222" s="8"/>
      <c r="S222" s="17"/>
      <c r="T222" s="17"/>
      <c r="U222" s="17"/>
      <c r="V222" s="27">
        <f>$T$24</f>
        <v>0</v>
      </c>
      <c r="W222" s="6" t="s">
        <v>239</v>
      </c>
      <c r="X222" s="17"/>
      <c r="Y222" s="17"/>
      <c r="Z222" s="17"/>
      <c r="AA222" s="17"/>
      <c r="AB222" s="19"/>
    </row>
    <row r="223" spans="1:123" x14ac:dyDescent="0.2">
      <c r="B223" s="103">
        <v>-1</v>
      </c>
      <c r="C223" s="9"/>
      <c r="H223" s="19"/>
      <c r="I223" s="19"/>
      <c r="J223" s="16"/>
      <c r="K223" s="16"/>
      <c r="L223" s="16"/>
      <c r="M223" s="8"/>
      <c r="N223" s="8"/>
      <c r="O223" s="8"/>
      <c r="P223" s="8"/>
      <c r="Q223" s="8"/>
      <c r="R223" s="8"/>
      <c r="S223" s="17"/>
      <c r="T223" s="17"/>
      <c r="U223" s="17"/>
      <c r="V223" s="19">
        <f>T26</f>
        <v>0</v>
      </c>
      <c r="W223" s="6" t="s">
        <v>240</v>
      </c>
      <c r="X223" s="17"/>
      <c r="Y223" s="17"/>
      <c r="Z223" s="17"/>
      <c r="AA223" s="17"/>
      <c r="AB223" s="19"/>
    </row>
    <row r="224" spans="1:123" x14ac:dyDescent="0.2">
      <c r="B224" s="103">
        <v>-1</v>
      </c>
      <c r="C224" s="9"/>
      <c r="H224" s="19"/>
      <c r="I224" s="19"/>
      <c r="J224" s="16"/>
      <c r="K224" s="16"/>
      <c r="L224" s="16"/>
      <c r="M224" s="8"/>
      <c r="N224" s="8"/>
      <c r="O224" s="8"/>
      <c r="P224" s="8"/>
      <c r="Q224" s="8"/>
      <c r="R224" s="8"/>
      <c r="S224" s="17"/>
      <c r="T224" s="17"/>
      <c r="U224" s="17"/>
      <c r="V224" s="19">
        <f>T28</f>
        <v>-1.1789999999999999E-3</v>
      </c>
      <c r="W224" s="6" t="s">
        <v>241</v>
      </c>
      <c r="X224" s="17"/>
      <c r="Y224" s="17"/>
      <c r="Z224" s="17"/>
      <c r="AA224" s="17"/>
      <c r="AB224" s="19"/>
    </row>
    <row r="225" spans="1:29" x14ac:dyDescent="0.2">
      <c r="B225" s="103">
        <v>-1</v>
      </c>
      <c r="C225" s="9"/>
      <c r="H225" s="19"/>
      <c r="I225" s="19"/>
      <c r="J225" s="16"/>
      <c r="K225" s="16"/>
      <c r="L225" s="16"/>
      <c r="M225" s="8"/>
      <c r="N225" s="8"/>
      <c r="O225" s="8"/>
      <c r="P225" s="8"/>
      <c r="Q225" s="8"/>
      <c r="R225" s="8"/>
      <c r="S225" s="17"/>
      <c r="T225" s="17"/>
      <c r="U225" s="17"/>
      <c r="V225" s="19">
        <f>T30</f>
        <v>0</v>
      </c>
      <c r="W225" s="6" t="s">
        <v>242</v>
      </c>
      <c r="X225" s="17"/>
      <c r="Y225" s="17"/>
      <c r="Z225" s="17"/>
      <c r="AA225" s="17"/>
      <c r="AB225" s="19"/>
    </row>
    <row r="226" spans="1:29" x14ac:dyDescent="0.2">
      <c r="B226" s="103"/>
      <c r="C226" s="9"/>
      <c r="H226" s="19"/>
      <c r="I226" s="19"/>
      <c r="J226" s="16"/>
      <c r="K226" s="16"/>
      <c r="L226" s="16"/>
      <c r="M226" s="8"/>
      <c r="N226" s="8"/>
      <c r="O226" s="8"/>
      <c r="P226" s="8"/>
      <c r="Q226" s="8"/>
      <c r="R226" s="8"/>
      <c r="S226" s="17"/>
      <c r="T226" s="17"/>
      <c r="U226" s="17"/>
      <c r="V226" s="19">
        <f>T32</f>
        <v>5.8520000000000004E-3</v>
      </c>
      <c r="W226" s="6" t="s">
        <v>243</v>
      </c>
      <c r="X226" s="17"/>
      <c r="Y226" s="17"/>
      <c r="Z226" s="17"/>
      <c r="AA226" s="17"/>
      <c r="AB226" s="19"/>
    </row>
    <row r="227" spans="1:29" x14ac:dyDescent="0.2">
      <c r="B227" s="103">
        <v>-1</v>
      </c>
      <c r="C227" s="4"/>
      <c r="F227" s="8"/>
      <c r="I227" s="19"/>
      <c r="J227" s="159">
        <v>55</v>
      </c>
      <c r="K227" s="160">
        <v>0.123516</v>
      </c>
      <c r="L227" s="5"/>
      <c r="M227" s="5"/>
      <c r="N227" s="5"/>
      <c r="O227" s="5"/>
      <c r="P227" s="5"/>
      <c r="Q227" s="140" t="s">
        <v>257</v>
      </c>
      <c r="R227" s="5"/>
      <c r="S227" s="27">
        <f>+M$4</f>
        <v>1.8E-3</v>
      </c>
      <c r="T227" s="27">
        <f t="shared" ref="T227:AA227" si="16">+R$4</f>
        <v>-5.5440000000000003E-3</v>
      </c>
      <c r="U227" s="27">
        <f>+S$4</f>
        <v>3.4810000000000002E-3</v>
      </c>
      <c r="V227" s="27">
        <f t="shared" si="16"/>
        <v>1.2638E-2</v>
      </c>
      <c r="W227" s="27">
        <f t="shared" si="16"/>
        <v>0</v>
      </c>
      <c r="X227" s="27">
        <f t="shared" si="16"/>
        <v>9.1430000000000001E-3</v>
      </c>
      <c r="Y227" s="27">
        <f t="shared" si="16"/>
        <v>-8.1800000000000004E-4</v>
      </c>
      <c r="Z227" s="27">
        <f t="shared" si="16"/>
        <v>4.2139999999999999E-3</v>
      </c>
      <c r="AA227" s="27">
        <f t="shared" si="16"/>
        <v>7.0699999999999995E-4</v>
      </c>
      <c r="AB227" s="19">
        <f>SUM(U227:Z227)</f>
        <v>2.8657999999999999E-2</v>
      </c>
    </row>
    <row r="228" spans="1:29" x14ac:dyDescent="0.2">
      <c r="A228" s="1"/>
      <c r="B228" s="103">
        <v>-1</v>
      </c>
      <c r="F228" s="8"/>
      <c r="I228" s="19"/>
      <c r="J228" s="73"/>
      <c r="K228" s="73">
        <v>999999</v>
      </c>
    </row>
    <row r="229" spans="1:29" x14ac:dyDescent="0.2">
      <c r="B229" s="103">
        <v>-1</v>
      </c>
      <c r="F229" s="12"/>
      <c r="I229" s="19"/>
      <c r="J229" s="12" t="s">
        <v>217</v>
      </c>
      <c r="K229" s="258" t="s">
        <v>30</v>
      </c>
      <c r="L229" s="258"/>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
      <c r="A230" s="13"/>
      <c r="B230" s="103">
        <v>-1</v>
      </c>
      <c r="C230" s="14"/>
      <c r="D230" s="15"/>
      <c r="F230" s="13" t="s">
        <v>221</v>
      </c>
      <c r="G230" s="13" t="s">
        <v>222</v>
      </c>
      <c r="H230" s="13" t="s">
        <v>223</v>
      </c>
      <c r="I230" s="19"/>
      <c r="J230" s="13" t="s">
        <v>224</v>
      </c>
      <c r="K230" s="13" t="s">
        <v>258</v>
      </c>
      <c r="L230" s="13"/>
      <c r="M230" s="13"/>
      <c r="N230" s="140" t="s">
        <v>218</v>
      </c>
      <c r="O230" s="13"/>
      <c r="P230" s="13"/>
      <c r="Q230" s="13"/>
      <c r="R230" s="13"/>
      <c r="S230" s="13" t="s">
        <v>180</v>
      </c>
      <c r="T230" s="13" t="s">
        <v>38</v>
      </c>
      <c r="U230" s="136" t="s">
        <v>40</v>
      </c>
      <c r="V230" s="13" t="s">
        <v>181</v>
      </c>
      <c r="W230" s="13" t="s">
        <v>182</v>
      </c>
      <c r="X230" s="13" t="s">
        <v>183</v>
      </c>
      <c r="Y230" s="136" t="s">
        <v>46</v>
      </c>
      <c r="Z230" s="136" t="s">
        <v>48</v>
      </c>
      <c r="AA230" s="136" t="s">
        <v>50</v>
      </c>
      <c r="AB230" s="66" t="s">
        <v>184</v>
      </c>
    </row>
    <row r="231" spans="1:29" x14ac:dyDescent="0.2">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x14ac:dyDescent="0.2">
      <c r="B232" s="103">
        <f>IF(AND('AES Indiana Bill Calc.'!$D$17="SH",'AES Indiana Bill Calc.'!$D$18="No",'AES Indiana Bill Calc.'!$D$20="No"),'AES Indiana Bill Calc.'!$D$19,-1)</f>
        <v>-1</v>
      </c>
      <c r="C232" s="1" t="s">
        <v>227</v>
      </c>
      <c r="F232" s="36" t="s">
        <v>66</v>
      </c>
      <c r="G232" s="17">
        <f>SUM(J232:M232,O232:P232,R232:AA232)</f>
        <v>54.870000000000005</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0.01</v>
      </c>
      <c r="U232" s="17">
        <f t="shared" si="17"/>
        <v>0</v>
      </c>
      <c r="V232" s="17">
        <f t="shared" si="17"/>
        <v>-0.01</v>
      </c>
      <c r="W232" s="17">
        <f t="shared" si="17"/>
        <v>0</v>
      </c>
      <c r="X232" s="17">
        <f t="shared" si="17"/>
        <v>-0.01</v>
      </c>
      <c r="Y232" s="17">
        <f t="shared" si="17"/>
        <v>0</v>
      </c>
      <c r="Z232" s="17">
        <f t="shared" si="17"/>
        <v>0</v>
      </c>
      <c r="AA232" s="17">
        <f t="shared" si="17"/>
        <v>0</v>
      </c>
      <c r="AB232" s="19">
        <f>SUM(U227:AA227)</f>
        <v>2.9364999999999999E-2</v>
      </c>
      <c r="AC232" s="67" t="str">
        <f>+F232</f>
        <v>SH</v>
      </c>
    </row>
    <row r="233" spans="1:29" x14ac:dyDescent="0.2">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x14ac:dyDescent="0.2">
      <c r="B234" s="103">
        <f>IF(AND('AES Indiana Bill Calc.'!$D$17="SH",'AES Indiana Bill Calc.'!$D$18="Yes 100%",'AES Indiana Bill Calc.'!$D$20="No"),'AES Indiana Bill Calc.'!$D$19,-1)</f>
        <v>-1</v>
      </c>
      <c r="C234" s="1" t="s">
        <v>228</v>
      </c>
      <c r="F234" s="36" t="s">
        <v>66</v>
      </c>
      <c r="G234" s="17">
        <f>SUM(J234:M234,O234:P234,R234:AA234)</f>
        <v>54.870000000000005</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0.01</v>
      </c>
      <c r="U234" s="17">
        <f t="shared" si="18"/>
        <v>0</v>
      </c>
      <c r="V234" s="17">
        <f t="shared" si="18"/>
        <v>-0.01</v>
      </c>
      <c r="W234" s="17">
        <f t="shared" si="18"/>
        <v>0</v>
      </c>
      <c r="X234" s="17">
        <f t="shared" si="18"/>
        <v>-0.01</v>
      </c>
      <c r="Y234" s="17">
        <f t="shared" si="18"/>
        <v>0</v>
      </c>
      <c r="Z234" s="17">
        <f t="shared" si="18"/>
        <v>0</v>
      </c>
      <c r="AA234" s="17">
        <f t="shared" si="18"/>
        <v>0</v>
      </c>
      <c r="AB234" s="19">
        <f>SUM(U$227:AA$227)</f>
        <v>2.9364999999999999E-2</v>
      </c>
      <c r="AC234" s="67" t="str">
        <f>+F234</f>
        <v>SH</v>
      </c>
    </row>
    <row r="235" spans="1:29" x14ac:dyDescent="0.2">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x14ac:dyDescent="0.2">
      <c r="B236" s="103">
        <f>IF(AND('AES Indiana Bill Calc.'!$D$17="SH",'AES Indiana Bill Calc.'!$D$18="Yes 50%",'AES Indiana Bill Calc.'!$D$20="No"),'AES Indiana Bill Calc.'!$D$19,-1)</f>
        <v>-1</v>
      </c>
      <c r="C236" s="1" t="s">
        <v>229</v>
      </c>
      <c r="F236" s="36" t="s">
        <v>66</v>
      </c>
      <c r="G236" s="17">
        <f>SUM(J236:M236,O236:P236,R236:AA236)</f>
        <v>54.870000000000005</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0.01</v>
      </c>
      <c r="U236" s="17">
        <f t="shared" si="19"/>
        <v>0</v>
      </c>
      <c r="V236" s="17">
        <f t="shared" si="19"/>
        <v>-0.01</v>
      </c>
      <c r="W236" s="17">
        <f t="shared" si="19"/>
        <v>0</v>
      </c>
      <c r="X236" s="17">
        <f t="shared" si="19"/>
        <v>-0.01</v>
      </c>
      <c r="Y236" s="17">
        <f t="shared" si="19"/>
        <v>0</v>
      </c>
      <c r="Z236" s="17">
        <f t="shared" si="19"/>
        <v>0</v>
      </c>
      <c r="AA236" s="17">
        <f t="shared" si="19"/>
        <v>0</v>
      </c>
      <c r="AB236" s="19">
        <f>SUM(U$227:AA$227)</f>
        <v>2.9364999999999999E-2</v>
      </c>
      <c r="AC236" s="67" t="str">
        <f>+F236</f>
        <v>SH</v>
      </c>
    </row>
    <row r="237" spans="1:29" x14ac:dyDescent="0.2">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x14ac:dyDescent="0.2">
      <c r="B238" s="103">
        <f>IF(AND('AES Indiana Bill Calc.'!$D$17="SH",'AES Indiana Bill Calc.'!$D$18="Yes 25%",'AES Indiana Bill Calc.'!$D$20="No"),'AES Indiana Bill Calc.'!$D$19,-1)</f>
        <v>-1</v>
      </c>
      <c r="C238" s="1" t="s">
        <v>230</v>
      </c>
      <c r="F238" s="36" t="s">
        <v>66</v>
      </c>
      <c r="G238" s="17">
        <f>SUM(J238:M238,O238:P238,R238:AA238)</f>
        <v>54.870000000000005</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0.01</v>
      </c>
      <c r="U238" s="17">
        <f t="shared" si="20"/>
        <v>0</v>
      </c>
      <c r="V238" s="17">
        <f t="shared" si="20"/>
        <v>-0.01</v>
      </c>
      <c r="W238" s="17">
        <f t="shared" si="20"/>
        <v>0</v>
      </c>
      <c r="X238" s="17">
        <f t="shared" si="20"/>
        <v>-0.01</v>
      </c>
      <c r="Y238" s="17">
        <f t="shared" si="20"/>
        <v>0</v>
      </c>
      <c r="Z238" s="17">
        <f t="shared" si="20"/>
        <v>0</v>
      </c>
      <c r="AA238" s="17">
        <f t="shared" si="20"/>
        <v>0</v>
      </c>
      <c r="AB238" s="19">
        <f>SUM(U$227:AA$227)</f>
        <v>2.9364999999999999E-2</v>
      </c>
      <c r="AC238" s="67" t="str">
        <f>+F238</f>
        <v>SH</v>
      </c>
    </row>
    <row r="239" spans="1:29" x14ac:dyDescent="0.2">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x14ac:dyDescent="0.2">
      <c r="B240" s="103">
        <f>IF(AND('AES Indiana Bill Calc.'!$D$17="SH",'AES Indiana Bill Calc.'!$D$18="Yes 10%",'AES Indiana Bill Calc.'!$D$20="No"),'AES Indiana Bill Calc.'!$D$19,-1)</f>
        <v>-1</v>
      </c>
      <c r="C240" s="1" t="s">
        <v>246</v>
      </c>
      <c r="F240" s="36" t="s">
        <v>66</v>
      </c>
      <c r="G240" s="17">
        <f>SUM(J240:M240,O240:P240,R240:AA240)</f>
        <v>54.870000000000005</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0.01</v>
      </c>
      <c r="U240" s="17">
        <f t="shared" si="21"/>
        <v>0</v>
      </c>
      <c r="V240" s="17">
        <f t="shared" si="21"/>
        <v>-0.01</v>
      </c>
      <c r="W240" s="17">
        <f t="shared" si="21"/>
        <v>0</v>
      </c>
      <c r="X240" s="17">
        <f t="shared" si="21"/>
        <v>-0.01</v>
      </c>
      <c r="Y240" s="17">
        <f t="shared" si="21"/>
        <v>0</v>
      </c>
      <c r="Z240" s="17">
        <f t="shared" si="21"/>
        <v>0</v>
      </c>
      <c r="AA240" s="17">
        <f t="shared" si="21"/>
        <v>0</v>
      </c>
      <c r="AB240" s="19">
        <f>SUM(U$227:AA$227)</f>
        <v>2.9364999999999999E-2</v>
      </c>
      <c r="AC240" s="67" t="str">
        <f>+F240</f>
        <v>SH</v>
      </c>
    </row>
    <row r="241" spans="1:29" x14ac:dyDescent="0.2">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x14ac:dyDescent="0.2">
      <c r="B242" s="103">
        <f>IF(AND('AES Indiana Bill Calc.'!$D$17="SH",'AES Indiana Bill Calc.'!$D$18="Yes 100%",'AES Indiana Bill Calc.'!$D$20="Yes Before 2018"),'AES Indiana Bill Calc.'!$D$19,-1)</f>
        <v>-1</v>
      </c>
      <c r="C242" s="1" t="s">
        <v>228</v>
      </c>
      <c r="F242" s="36" t="s">
        <v>259</v>
      </c>
      <c r="G242" s="17">
        <f>SUM(J242:M242,O242:P242,R242:AA242)</f>
        <v>54.88</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0.01</v>
      </c>
      <c r="U242" s="42">
        <f>ROUND($B242*U$227,2)</f>
        <v>0</v>
      </c>
      <c r="V242" s="41">
        <f>ROUND($B242*V$217,2)</f>
        <v>0</v>
      </c>
      <c r="W242" s="42">
        <f>ROUND($B242*W$227,2)</f>
        <v>0</v>
      </c>
      <c r="X242" s="42">
        <f>ROUND($B242*X$227,2)</f>
        <v>-0.01</v>
      </c>
      <c r="Y242" s="42">
        <f>ROUND($B242*Y$227,2)</f>
        <v>0</v>
      </c>
      <c r="Z242" s="42">
        <f>ROUND($B242*Z$227,2)</f>
        <v>0</v>
      </c>
      <c r="AA242" s="42">
        <f>ROUND($B242*AA$227,2)</f>
        <v>0</v>
      </c>
      <c r="AB242" s="19">
        <f>SUM(U$227:AA$227)+(-V$227+V163)</f>
        <v>1.6726999999999999E-2</v>
      </c>
      <c r="AC242" s="94" t="str">
        <f>+F242</f>
        <v>SH7</v>
      </c>
    </row>
    <row r="243" spans="1:29" x14ac:dyDescent="0.2">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x14ac:dyDescent="0.2">
      <c r="B244" s="103">
        <f>IF(AND('AES Indiana Bill Calc.'!$D$17="SH",'AES Indiana Bill Calc.'!$D$18="Yes 50%",'AES Indiana Bill Calc.'!$D$20="Yes Before 2018"),'AES Indiana Bill Calc.'!$D$19,-1)</f>
        <v>-1</v>
      </c>
      <c r="C244" s="1" t="s">
        <v>229</v>
      </c>
      <c r="F244" s="36" t="s">
        <v>259</v>
      </c>
      <c r="G244" s="17">
        <f>SUM(J244:M244,O244:P244,R244:AA244)</f>
        <v>54.88</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0.01</v>
      </c>
      <c r="U244" s="42">
        <f>ROUND($B244*U$227,2)</f>
        <v>0</v>
      </c>
      <c r="V244" s="41">
        <f>ROUND($B244*V$217,2)</f>
        <v>0</v>
      </c>
      <c r="W244" s="42">
        <f>ROUND($B244*W$227,2)</f>
        <v>0</v>
      </c>
      <c r="X244" s="42">
        <f>ROUND($B244*X$227,2)</f>
        <v>-0.01</v>
      </c>
      <c r="Y244" s="42">
        <f>ROUND($B244*Y$227,2)</f>
        <v>0</v>
      </c>
      <c r="Z244" s="42">
        <f>ROUND($B244*Z$227,2)</f>
        <v>0</v>
      </c>
      <c r="AA244" s="42">
        <f>ROUND($B244*AA$227,2)</f>
        <v>0</v>
      </c>
      <c r="AB244" s="19">
        <f>SUM(U$227:AA$227)+(-V$227+V165)</f>
        <v>1.6726999999999999E-2</v>
      </c>
      <c r="AC244" s="94" t="str">
        <f>+F244</f>
        <v>SH7</v>
      </c>
    </row>
    <row r="245" spans="1:29" x14ac:dyDescent="0.2">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x14ac:dyDescent="0.2">
      <c r="B246" s="103">
        <f>IF(AND('AES Indiana Bill Calc.'!$D$17="SH",'AES Indiana Bill Calc.'!$D$18="Yes 25%",'AES Indiana Bill Calc.'!$D$20="Yes Before 2018"),'AES Indiana Bill Calc.'!$D$19,-1)</f>
        <v>-1</v>
      </c>
      <c r="C246" s="1" t="s">
        <v>230</v>
      </c>
      <c r="F246" s="36" t="s">
        <v>259</v>
      </c>
      <c r="G246" s="17">
        <f>SUM(J246:M246,O246:P246,R246:AA246)</f>
        <v>54.88</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0.01</v>
      </c>
      <c r="U246" s="42">
        <f>ROUND($B246*U$227,2)</f>
        <v>0</v>
      </c>
      <c r="V246" s="41">
        <f>ROUND($B246*V$217,2)</f>
        <v>0</v>
      </c>
      <c r="W246" s="42">
        <f>ROUND($B246*W$227,2)</f>
        <v>0</v>
      </c>
      <c r="X246" s="42">
        <f>ROUND($B246*X$227,2)</f>
        <v>-0.01</v>
      </c>
      <c r="Y246" s="42">
        <f>ROUND($B246*Y$227,2)</f>
        <v>0</v>
      </c>
      <c r="Z246" s="42">
        <f>ROUND($B246*Z$227,2)</f>
        <v>0</v>
      </c>
      <c r="AA246" s="42">
        <f>ROUND($B246*AA$227,2)</f>
        <v>0</v>
      </c>
      <c r="AB246" s="19">
        <f>SUM(U$227:AA$227)+(-V$227+V167)</f>
        <v>1.6726999999999999E-2</v>
      </c>
      <c r="AC246" s="94" t="str">
        <f>+F246</f>
        <v>SH7</v>
      </c>
    </row>
    <row r="247" spans="1:29" x14ac:dyDescent="0.2">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x14ac:dyDescent="0.2">
      <c r="B248" s="103">
        <f>IF(AND('AES Indiana Bill Calc.'!$D$17="SH",'AES Indiana Bill Calc.'!$D$18="Yes 10%",'AES Indiana Bill Calc.'!$D$20="Yes Before 2018"),'AES Indiana Bill Calc.'!$D$19,-1)</f>
        <v>-1</v>
      </c>
      <c r="C248" s="1" t="s">
        <v>246</v>
      </c>
      <c r="F248" s="36" t="s">
        <v>259</v>
      </c>
      <c r="G248" s="17">
        <f>SUM(J248:M248,O248:P248,R248:AA248)</f>
        <v>54.88</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0.01</v>
      </c>
      <c r="U248" s="42">
        <f>ROUND($B248*U$227,2)</f>
        <v>0</v>
      </c>
      <c r="V248" s="41">
        <f>ROUND($B248*V$217,2)</f>
        <v>0</v>
      </c>
      <c r="W248" s="42">
        <f>ROUND($B248*W$227,2)</f>
        <v>0</v>
      </c>
      <c r="X248" s="42">
        <f>ROUND($B248*X$227,2)</f>
        <v>-0.01</v>
      </c>
      <c r="Y248" s="42">
        <f>ROUND($B248*Y$227,2)</f>
        <v>0</v>
      </c>
      <c r="Z248" s="42">
        <f>ROUND($B248*Z$227,2)</f>
        <v>0</v>
      </c>
      <c r="AA248" s="42">
        <f>ROUND($B248*AA$227,2)</f>
        <v>0</v>
      </c>
      <c r="AB248" s="19">
        <f>SUM(U$227:AA$227)+(-V$227+V169)</f>
        <v>1.6726999999999999E-2</v>
      </c>
      <c r="AC248" s="94" t="str">
        <f>+F248</f>
        <v>SH7</v>
      </c>
    </row>
    <row r="249" spans="1:29" x14ac:dyDescent="0.2">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x14ac:dyDescent="0.2">
      <c r="B250" s="103">
        <f>IF(AND('AES Indiana Bill Calc.'!$D$17="SH",'AES Indiana Bill Calc.'!$D$18="No",'AES Indiana Bill Calc.'!$D$20="Yes Before 2018"),'AES Indiana Bill Calc.'!$D$19,-1)</f>
        <v>-1</v>
      </c>
      <c r="C250" s="1" t="s">
        <v>227</v>
      </c>
      <c r="F250" s="36" t="s">
        <v>259</v>
      </c>
      <c r="G250" s="17">
        <f>SUM(J250:M250,O250:P250,R250:AA250)</f>
        <v>54.88</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0.01</v>
      </c>
      <c r="U250" s="42">
        <f>ROUND($B250*U$227,2)</f>
        <v>0</v>
      </c>
      <c r="V250" s="41">
        <f>ROUND($B250*V$217,2)</f>
        <v>0</v>
      </c>
      <c r="W250" s="42">
        <f>ROUND($B250*W$227,2)</f>
        <v>0</v>
      </c>
      <c r="X250" s="42">
        <f>ROUND($B250*X$227,2)</f>
        <v>-0.01</v>
      </c>
      <c r="Y250" s="42">
        <f>ROUND($B250*Y$227,2)</f>
        <v>0</v>
      </c>
      <c r="Z250" s="42">
        <f>ROUND($B250*Z$227,2)</f>
        <v>0</v>
      </c>
      <c r="AA250" s="42">
        <f>ROUND($B250*AA$227,2)</f>
        <v>0</v>
      </c>
      <c r="AB250" s="19">
        <f>SUM(U$227:AA$227)+(-V$227+V171)</f>
        <v>1.6726999999999999E-2</v>
      </c>
      <c r="AC250" s="94" t="str">
        <f>+F250</f>
        <v>SH7</v>
      </c>
    </row>
    <row r="251" spans="1:29" x14ac:dyDescent="0.2">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x14ac:dyDescent="0.2">
      <c r="A252" s="96"/>
      <c r="B252" s="103">
        <f>IF(AND('AES Indiana Bill Calc.'!$D$17="SH",'AES Indiana Bill Calc.'!$D$18="Yes 100%",'AES Indiana Bill Calc.'!$D$20="Yes 2018"),'AES Indiana Bill Calc.'!$D$19,-1)</f>
        <v>-1</v>
      </c>
      <c r="C252" s="1" t="s">
        <v>228</v>
      </c>
      <c r="F252" s="36" t="s">
        <v>260</v>
      </c>
      <c r="G252" s="17">
        <f>SUM(J252:M252,O252:P252,R252:AA252)</f>
        <v>54.88</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0.01</v>
      </c>
      <c r="U252" s="42">
        <f>ROUND($B252*U$227,2)</f>
        <v>0</v>
      </c>
      <c r="V252" s="41">
        <f>ROUND($B252*V$218,2)</f>
        <v>0</v>
      </c>
      <c r="W252" s="42">
        <f>ROUND($B252*W$227,2)</f>
        <v>0</v>
      </c>
      <c r="X252" s="42">
        <f>ROUND($B252*X$227,2)</f>
        <v>-0.01</v>
      </c>
      <c r="Y252" s="42">
        <f>ROUND($B252*Y$227,2)</f>
        <v>0</v>
      </c>
      <c r="Z252" s="42">
        <f>ROUND($B252*Z$227,2)</f>
        <v>0</v>
      </c>
      <c r="AA252" s="42">
        <f>ROUND($B252*AA$227,2)</f>
        <v>0</v>
      </c>
      <c r="AB252" s="19">
        <f>SUM(U$227:AA$227)+(-V$227+V217)</f>
        <v>1.6726999999999999E-2</v>
      </c>
      <c r="AC252" s="94" t="str">
        <f>+F252</f>
        <v>SH8</v>
      </c>
    </row>
    <row r="253" spans="1:29" x14ac:dyDescent="0.2">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x14ac:dyDescent="0.2">
      <c r="A254" s="96"/>
      <c r="B254" s="103">
        <f>IF(AND('AES Indiana Bill Calc.'!$D$17="SH",'AES Indiana Bill Calc.'!$D$18="Yes 50%",'AES Indiana Bill Calc.'!$D$20="Yes 2018"),'AES Indiana Bill Calc.'!$D$19,-1)</f>
        <v>-1</v>
      </c>
      <c r="C254" s="1" t="s">
        <v>229</v>
      </c>
      <c r="F254" s="36" t="s">
        <v>260</v>
      </c>
      <c r="G254" s="17">
        <f>SUM(J254:M254,O254:P254,R254:AA254)</f>
        <v>54.88</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0.01</v>
      </c>
      <c r="U254" s="42">
        <f>ROUND($B254*U$227,2)</f>
        <v>0</v>
      </c>
      <c r="V254" s="41">
        <f>ROUND($B254*V$218,2)</f>
        <v>0</v>
      </c>
      <c r="W254" s="42">
        <f>ROUND($B254*W$227,2)</f>
        <v>0</v>
      </c>
      <c r="X254" s="42">
        <f>ROUND($B254*X$227,2)</f>
        <v>-0.01</v>
      </c>
      <c r="Y254" s="42">
        <f>ROUND($B254*Y$227,2)</f>
        <v>0</v>
      </c>
      <c r="Z254" s="42">
        <f>ROUND($B254*Z$227,2)</f>
        <v>0</v>
      </c>
      <c r="AA254" s="42">
        <f>ROUND($B254*AA$227,2)</f>
        <v>0</v>
      </c>
      <c r="AB254" s="19">
        <f>SUM(U$227:AA$227)+(-V$227+V219)</f>
        <v>1.6726999999999999E-2</v>
      </c>
      <c r="AC254" s="94" t="str">
        <f>+F254</f>
        <v>SH8</v>
      </c>
    </row>
    <row r="255" spans="1:29" x14ac:dyDescent="0.2">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x14ac:dyDescent="0.2">
      <c r="A256" s="96"/>
      <c r="B256" s="103">
        <f>IF(AND('AES Indiana Bill Calc.'!$D$17="SH",'AES Indiana Bill Calc.'!$D$18="Yes 25%",'AES Indiana Bill Calc.'!$D$20="Yes 2018"),'AES Indiana Bill Calc.'!$D$19,-1)</f>
        <v>-1</v>
      </c>
      <c r="C256" s="1" t="s">
        <v>230</v>
      </c>
      <c r="F256" s="36" t="s">
        <v>260</v>
      </c>
      <c r="G256" s="17">
        <f>SUM(J256:M256,O256:P256,R256:AA256)</f>
        <v>54.88</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0.01</v>
      </c>
      <c r="U256" s="42">
        <f>ROUND($B256*U$227,2)</f>
        <v>0</v>
      </c>
      <c r="V256" s="41">
        <f>ROUND($B256*V$218,2)</f>
        <v>0</v>
      </c>
      <c r="W256" s="42">
        <f>ROUND($B256*W$227,2)</f>
        <v>0</v>
      </c>
      <c r="X256" s="42">
        <f>ROUND($B256*X$227,2)</f>
        <v>-0.01</v>
      </c>
      <c r="Y256" s="42">
        <f>ROUND($B256*Y$227,2)</f>
        <v>0</v>
      </c>
      <c r="Z256" s="42">
        <f>ROUND($B256*Z$227,2)</f>
        <v>0</v>
      </c>
      <c r="AA256" s="42">
        <f>ROUND($B256*AA$227,2)</f>
        <v>0</v>
      </c>
      <c r="AB256" s="19">
        <f>SUM(U$227:AA$227)+(-V$227+V221)</f>
        <v>1.4204999999999999E-2</v>
      </c>
      <c r="AC256" s="94" t="str">
        <f>+F256</f>
        <v>SH8</v>
      </c>
    </row>
    <row r="257" spans="1:29" x14ac:dyDescent="0.2">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x14ac:dyDescent="0.2">
      <c r="A258" s="96"/>
      <c r="B258" s="103">
        <f>IF(AND('AES Indiana Bill Calc.'!$D$17="SH",'AES Indiana Bill Calc.'!$D$18="Yes 10%",'AES Indiana Bill Calc.'!$D$20="Yes 2018"),'AES Indiana Bill Calc.'!$D$19,-1)</f>
        <v>-1</v>
      </c>
      <c r="C258" s="1" t="s">
        <v>246</v>
      </c>
      <c r="F258" s="36" t="s">
        <v>260</v>
      </c>
      <c r="G258" s="17">
        <f>SUM(J258:M258,O258:P258,R258:AA258)</f>
        <v>54.88</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0.01</v>
      </c>
      <c r="U258" s="42">
        <f>ROUND($B258*U$227,2)</f>
        <v>0</v>
      </c>
      <c r="V258" s="41">
        <f>ROUND($B258*V$218,2)</f>
        <v>0</v>
      </c>
      <c r="W258" s="42">
        <f>ROUND($B258*W$227,2)</f>
        <v>0</v>
      </c>
      <c r="X258" s="42">
        <f>ROUND($B258*X$227,2)</f>
        <v>-0.01</v>
      </c>
      <c r="Y258" s="42">
        <f>ROUND($B258*Y$227,2)</f>
        <v>0</v>
      </c>
      <c r="Z258" s="42">
        <f>ROUND($B258*Z$227,2)</f>
        <v>0</v>
      </c>
      <c r="AA258" s="42">
        <f>ROUND($B258*AA$227,2)</f>
        <v>0</v>
      </c>
      <c r="AB258" s="19">
        <f>SUM(U$227:AA$227)+(-V$227+V228)</f>
        <v>1.6726999999999999E-2</v>
      </c>
      <c r="AC258" s="94" t="str">
        <f>+F258</f>
        <v>SH8</v>
      </c>
    </row>
    <row r="259" spans="1:29" x14ac:dyDescent="0.2">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x14ac:dyDescent="0.2">
      <c r="A260" s="96"/>
      <c r="B260" s="103">
        <f>IF(AND('AES Indiana Bill Calc.'!$D$17="SH",'AES Indiana Bill Calc.'!$D$18="No",'AES Indiana Bill Calc.'!$D$20="Yes 2018"),'AES Indiana Bill Calc.'!$D$19,-1)</f>
        <v>-1</v>
      </c>
      <c r="C260" s="1" t="s">
        <v>227</v>
      </c>
      <c r="F260" s="36" t="s">
        <v>260</v>
      </c>
      <c r="G260" s="17">
        <f>SUM(J260:M260,O260:P260,R260:AA260)</f>
        <v>54.88</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0.01</v>
      </c>
      <c r="U260" s="42">
        <f>ROUND($B260*U$227,2)</f>
        <v>0</v>
      </c>
      <c r="V260" s="41">
        <f>ROUND($B260*V$218,2)</f>
        <v>0</v>
      </c>
      <c r="W260" s="42">
        <f>ROUND($B260*W$227,2)</f>
        <v>0</v>
      </c>
      <c r="X260" s="42">
        <f>ROUND($B260*X$227,2)</f>
        <v>-0.01</v>
      </c>
      <c r="Y260" s="42">
        <f>ROUND($B260*Y$227,2)</f>
        <v>0</v>
      </c>
      <c r="Z260" s="42">
        <f>ROUND($B260*Z$227,2)</f>
        <v>0</v>
      </c>
      <c r="AA260" s="42">
        <f>ROUND($B260*AA$227,2)</f>
        <v>0</v>
      </c>
      <c r="AB260" s="19" t="e">
        <f>SUM(U$227:AA$227)+(-V$227+V230)</f>
        <v>#VALUE!</v>
      </c>
      <c r="AC260" s="94" t="str">
        <f>+F260</f>
        <v>SH8</v>
      </c>
    </row>
    <row r="261" spans="1:29" x14ac:dyDescent="0.2">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x14ac:dyDescent="0.2">
      <c r="A262" s="96"/>
      <c r="B262" s="103">
        <f>IF(AND('AES Indiana Bill Calc.'!$D$17="SH",'AES Indiana Bill Calc.'!$D$18="Yes 100%",'AES Indiana Bill Calc.'!$D$20="Yes 2019"),'AES Indiana Bill Calc.'!$D$19,-1)</f>
        <v>-1</v>
      </c>
      <c r="C262" s="1" t="s">
        <v>228</v>
      </c>
      <c r="F262" s="36" t="s">
        <v>261</v>
      </c>
      <c r="G262" s="17">
        <f>SUM(J262:M262,O262:P262,R262:AA262)</f>
        <v>54.88</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0.01</v>
      </c>
      <c r="U262" s="42">
        <f>ROUND($B262*U$227,2)</f>
        <v>0</v>
      </c>
      <c r="V262" s="41">
        <f>ROUND($B262*V$219,2)</f>
        <v>0</v>
      </c>
      <c r="W262" s="42">
        <f>ROUND($B262*W$227,2)</f>
        <v>0</v>
      </c>
      <c r="X262" s="42">
        <f>ROUND($B262*X$227,2)</f>
        <v>-0.01</v>
      </c>
      <c r="Y262" s="42">
        <f>ROUND($B262*Y$227,2)</f>
        <v>0</v>
      </c>
      <c r="Z262" s="42">
        <f>ROUND($B262*Z$227,2)</f>
        <v>0</v>
      </c>
      <c r="AA262" s="42">
        <f>ROUND($B262*AA$227,2)</f>
        <v>0</v>
      </c>
      <c r="AB262" s="19">
        <f>SUM(U$227:AA$227)+(-V$227+V227)</f>
        <v>2.9364999999999999E-2</v>
      </c>
      <c r="AC262" s="94" t="str">
        <f>+F262</f>
        <v>SH9</v>
      </c>
    </row>
    <row r="263" spans="1:29" x14ac:dyDescent="0.2">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x14ac:dyDescent="0.2">
      <c r="A264" s="96"/>
      <c r="B264" s="103">
        <f>IF(AND('AES Indiana Bill Calc.'!$D$17="SH",'AES Indiana Bill Calc.'!$D$18="Yes 50%",'AES Indiana Bill Calc.'!$D$20="Yes 2019"),'AES Indiana Bill Calc.'!$D$19,-1)</f>
        <v>-1</v>
      </c>
      <c r="C264" s="1" t="s">
        <v>229</v>
      </c>
      <c r="F264" s="36" t="s">
        <v>261</v>
      </c>
      <c r="G264" s="17">
        <f>SUM(J264:M264,O264:P264,R264:AA264)</f>
        <v>54.88</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0.01</v>
      </c>
      <c r="U264" s="42">
        <f>ROUND($B264*U$227,2)</f>
        <v>0</v>
      </c>
      <c r="V264" s="41">
        <f>ROUND($B264*V$219,2)</f>
        <v>0</v>
      </c>
      <c r="W264" s="42">
        <f>ROUND($B264*W$227,2)</f>
        <v>0</v>
      </c>
      <c r="X264" s="42">
        <f>ROUND($B264*X$227,2)</f>
        <v>-0.01</v>
      </c>
      <c r="Y264" s="42">
        <f>ROUND($B264*Y$227,2)</f>
        <v>0</v>
      </c>
      <c r="Z264" s="42">
        <f>ROUND($B264*Z$227,2)</f>
        <v>0</v>
      </c>
      <c r="AA264" s="42">
        <f>ROUND($B264*AA$227,2)</f>
        <v>0</v>
      </c>
      <c r="AB264" s="19">
        <f>SUM(U$227:AA$227)+(-V$227+V229)</f>
        <v>22.016726999999999</v>
      </c>
      <c r="AC264" s="94" t="str">
        <f>+F264</f>
        <v>SH9</v>
      </c>
    </row>
    <row r="265" spans="1:29" x14ac:dyDescent="0.2">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x14ac:dyDescent="0.2">
      <c r="A266" s="96"/>
      <c r="B266" s="103">
        <f>IF(AND('AES Indiana Bill Calc.'!$D$17="SH",'AES Indiana Bill Calc.'!$D$18="Yes 25%",'AES Indiana Bill Calc.'!$D$20="Yes 2019"),'AES Indiana Bill Calc.'!$D$19,-1)</f>
        <v>-1</v>
      </c>
      <c r="C266" s="1" t="s">
        <v>230</v>
      </c>
      <c r="F266" s="36" t="s">
        <v>261</v>
      </c>
      <c r="G266" s="17">
        <f>SUM(J266:M266,O266:P266,R266:AA266)</f>
        <v>54.88</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0.01</v>
      </c>
      <c r="U266" s="42">
        <f>ROUND($B266*U$227,2)</f>
        <v>0</v>
      </c>
      <c r="V266" s="41">
        <f>ROUND($B266*V$219,2)</f>
        <v>0</v>
      </c>
      <c r="W266" s="42">
        <f>ROUND($B266*W$227,2)</f>
        <v>0</v>
      </c>
      <c r="X266" s="42">
        <f>ROUND($B266*X$227,2)</f>
        <v>-0.01</v>
      </c>
      <c r="Y266" s="42">
        <f>ROUND($B266*Y$227,2)</f>
        <v>0</v>
      </c>
      <c r="Z266" s="42">
        <f>ROUND($B266*Z$227,2)</f>
        <v>0</v>
      </c>
      <c r="AA266" s="42">
        <f>ROUND($B266*AA$227,2)</f>
        <v>0</v>
      </c>
      <c r="AB266" s="19">
        <f>SUM(U$227:AA$227)+(-V$227+V231)</f>
        <v>1.6726999999999999E-2</v>
      </c>
      <c r="AC266" s="94" t="str">
        <f>+F266</f>
        <v>SH9</v>
      </c>
    </row>
    <row r="267" spans="1:29" x14ac:dyDescent="0.2">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x14ac:dyDescent="0.2">
      <c r="A268" s="96"/>
      <c r="B268" s="103">
        <f>IF(AND('AES Indiana Bill Calc.'!$D$17="SH",'AES Indiana Bill Calc.'!$D$18="Yes 10%",'AES Indiana Bill Calc.'!$D$20="Yes 2019"),'AES Indiana Bill Calc.'!$D$19,-1)</f>
        <v>-1</v>
      </c>
      <c r="C268" s="1" t="s">
        <v>246</v>
      </c>
      <c r="F268" s="36" t="s">
        <v>261</v>
      </c>
      <c r="G268" s="17">
        <f>SUM(J268:M268,O268:P268,R268:AA268)</f>
        <v>54.88</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0.01</v>
      </c>
      <c r="U268" s="42">
        <f>ROUND($B268*U$227,2)</f>
        <v>0</v>
      </c>
      <c r="V268" s="41">
        <f>ROUND($B268*V$219,2)</f>
        <v>0</v>
      </c>
      <c r="W268" s="42">
        <f>ROUND($B268*W$227,2)</f>
        <v>0</v>
      </c>
      <c r="X268" s="42">
        <f>ROUND($B268*X$227,2)</f>
        <v>-0.01</v>
      </c>
      <c r="Y268" s="42">
        <f>ROUND($B268*Y$227,2)</f>
        <v>0</v>
      </c>
      <c r="Z268" s="42">
        <f>ROUND($B268*Z$227,2)</f>
        <v>0</v>
      </c>
      <c r="AA268" s="42">
        <f>ROUND($B268*AA$227,2)</f>
        <v>0</v>
      </c>
      <c r="AB268" s="19">
        <f>SUM(U$227:AA$227)+(-V$227+V233)</f>
        <v>1.6726999999999999E-2</v>
      </c>
      <c r="AC268" s="94" t="str">
        <f>+F268</f>
        <v>SH9</v>
      </c>
    </row>
    <row r="269" spans="1:29" x14ac:dyDescent="0.2">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x14ac:dyDescent="0.2">
      <c r="A270" s="96"/>
      <c r="B270" s="103">
        <f>IF(AND('AES Indiana Bill Calc.'!$D$17="SH",'AES Indiana Bill Calc.'!$D$18="No",'AES Indiana Bill Calc.'!$D$20="Yes 2019"),'AES Indiana Bill Calc.'!$D$19,-1)</f>
        <v>-1</v>
      </c>
      <c r="C270" s="1" t="s">
        <v>227</v>
      </c>
      <c r="F270" s="36" t="s">
        <v>261</v>
      </c>
      <c r="G270" s="17">
        <f>SUM(J270:M270,O270:P270,R270:AA270)</f>
        <v>54.88</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0.01</v>
      </c>
      <c r="U270" s="42">
        <f>ROUND($B270*U$227,2)</f>
        <v>0</v>
      </c>
      <c r="V270" s="41">
        <f>ROUND($B270*V$219,2)</f>
        <v>0</v>
      </c>
      <c r="W270" s="42">
        <f>ROUND($B270*W$227,2)</f>
        <v>0</v>
      </c>
      <c r="X270" s="42">
        <f>ROUND($B270*X$227,2)</f>
        <v>-0.01</v>
      </c>
      <c r="Y270" s="42">
        <f>ROUND($B270*Y$227,2)</f>
        <v>0</v>
      </c>
      <c r="Z270" s="42">
        <f>ROUND($B270*Z$227,2)</f>
        <v>0</v>
      </c>
      <c r="AA270" s="42">
        <f>ROUND($B270*AA$227,2)</f>
        <v>0</v>
      </c>
      <c r="AB270" s="19">
        <f>SUM(U$227:AA$227)+(-V$227+V235)</f>
        <v>1.6726999999999999E-2</v>
      </c>
      <c r="AC270" s="94" t="str">
        <f>+F270</f>
        <v>SH9</v>
      </c>
    </row>
    <row r="271" spans="1:29" x14ac:dyDescent="0.2">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x14ac:dyDescent="0.2">
      <c r="A272" s="96"/>
      <c r="B272" s="103">
        <f>IF(AND('AES Indiana Bill Calc.'!$D$17="SH",'AES Indiana Bill Calc.'!$D$18="Yes 100%",'AES Indiana Bill Calc.'!$D$20="Yes 2020"),'AES Indiana Bill Calc.'!$D$19,-1)</f>
        <v>-1</v>
      </c>
      <c r="C272" s="1" t="s">
        <v>228</v>
      </c>
      <c r="F272" s="36" t="s">
        <v>262</v>
      </c>
      <c r="G272" s="17">
        <f>SUM(J272:M272,O272:P272,R272:AA272)</f>
        <v>54.88</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0.01</v>
      </c>
      <c r="U272" s="42">
        <f>ROUND($B272*U$227,2)</f>
        <v>0</v>
      </c>
      <c r="V272" s="41">
        <f>ROUND($B272*V$220,2)</f>
        <v>0</v>
      </c>
      <c r="W272" s="42">
        <f>ROUND($B272*W$227,2)</f>
        <v>0</v>
      </c>
      <c r="X272" s="42">
        <f>ROUND($B272*X$227,2)</f>
        <v>-0.01</v>
      </c>
      <c r="Y272" s="42">
        <f>ROUND($B272*Y$227,2)</f>
        <v>0</v>
      </c>
      <c r="Z272" s="42">
        <f>ROUND($B272*Z$227,2)</f>
        <v>0</v>
      </c>
      <c r="AA272" s="42">
        <f>ROUND($B272*AA$227,2)</f>
        <v>0</v>
      </c>
      <c r="AB272" s="19">
        <f>SUM(U$227:AA$227)+(-V$227+V237)</f>
        <v>1.6726999999999999E-2</v>
      </c>
      <c r="AC272" s="94" t="str">
        <f>+F272</f>
        <v>SH0</v>
      </c>
    </row>
    <row r="273" spans="1:29" x14ac:dyDescent="0.2">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x14ac:dyDescent="0.2">
      <c r="A274" s="96"/>
      <c r="B274" s="103">
        <f>IF(AND('AES Indiana Bill Calc.'!$D$17="SH",'AES Indiana Bill Calc.'!$D$18="Yes 50%",'AES Indiana Bill Calc.'!$D$20="Yes 2020"),'AES Indiana Bill Calc.'!$D$19,-1)</f>
        <v>-1</v>
      </c>
      <c r="C274" s="1" t="s">
        <v>229</v>
      </c>
      <c r="F274" s="36" t="s">
        <v>262</v>
      </c>
      <c r="G274" s="17">
        <f>SUM(J274:M274,O274:P274,R274:AA274)</f>
        <v>54.88</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0.01</v>
      </c>
      <c r="U274" s="42">
        <f>ROUND($B274*U$227,2)</f>
        <v>0</v>
      </c>
      <c r="V274" s="41">
        <f>ROUND($B274*V$220,2)</f>
        <v>0</v>
      </c>
      <c r="W274" s="42">
        <f>ROUND($B274*W$227,2)</f>
        <v>0</v>
      </c>
      <c r="X274" s="42">
        <f>ROUND($B274*X$227,2)</f>
        <v>-0.01</v>
      </c>
      <c r="Y274" s="42">
        <f>ROUND($B274*Y$227,2)</f>
        <v>0</v>
      </c>
      <c r="Z274" s="42">
        <f>ROUND($B274*Z$227,2)</f>
        <v>0</v>
      </c>
      <c r="AA274" s="42">
        <f>ROUND($B274*AA$227,2)</f>
        <v>0</v>
      </c>
      <c r="AB274" s="19">
        <f>SUM(U$227:AA$227)+(-V$227+V239)</f>
        <v>1.6726999999999999E-2</v>
      </c>
      <c r="AC274" s="94" t="str">
        <f>+F274</f>
        <v>SH0</v>
      </c>
    </row>
    <row r="275" spans="1:29" x14ac:dyDescent="0.2">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x14ac:dyDescent="0.2">
      <c r="A276" s="96"/>
      <c r="B276" s="103">
        <f>IF(AND('AES Indiana Bill Calc.'!$D$17="SH",'AES Indiana Bill Calc.'!$D$18="Yes 25%",'AES Indiana Bill Calc.'!$D$20="Yes 2020"),'AES Indiana Bill Calc.'!$D$19,-1)</f>
        <v>-1</v>
      </c>
      <c r="C276" s="1" t="s">
        <v>230</v>
      </c>
      <c r="F276" s="36" t="s">
        <v>262</v>
      </c>
      <c r="G276" s="17">
        <f>SUM(J276:M276,O276:P276,R276:AA276)</f>
        <v>54.88</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0.01</v>
      </c>
      <c r="U276" s="42">
        <f>ROUND($B276*U$227,2)</f>
        <v>0</v>
      </c>
      <c r="V276" s="41">
        <f>ROUND($B276*V$220,2)</f>
        <v>0</v>
      </c>
      <c r="W276" s="42">
        <f>ROUND($B276*W$227,2)</f>
        <v>0</v>
      </c>
      <c r="X276" s="42">
        <f>ROUND($B276*X$227,2)</f>
        <v>-0.01</v>
      </c>
      <c r="Y276" s="42">
        <f>ROUND($B276*Y$227,2)</f>
        <v>0</v>
      </c>
      <c r="Z276" s="42">
        <f>ROUND($B276*Z$227,2)</f>
        <v>0</v>
      </c>
      <c r="AA276" s="42">
        <f>ROUND($B276*AA$227,2)</f>
        <v>0</v>
      </c>
      <c r="AB276" s="19">
        <f>SUM(U$227:AA$227)+(-V$227+V241)</f>
        <v>1.6726999999999999E-2</v>
      </c>
      <c r="AC276" s="94" t="str">
        <f>+F276</f>
        <v>SH0</v>
      </c>
    </row>
    <row r="277" spans="1:29" x14ac:dyDescent="0.2">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x14ac:dyDescent="0.2">
      <c r="A278" s="96"/>
      <c r="B278" s="103">
        <f>IF(AND('AES Indiana Bill Calc.'!$D$17="SH",'AES Indiana Bill Calc.'!$D$18="Yes 10%",'AES Indiana Bill Calc.'!$D$20="Yes 2020"),'AES Indiana Bill Calc.'!$D$19,-1)</f>
        <v>-1</v>
      </c>
      <c r="C278" s="1" t="s">
        <v>246</v>
      </c>
      <c r="F278" s="36" t="s">
        <v>262</v>
      </c>
      <c r="G278" s="17">
        <f>SUM(J278:M278,O278:P278,R278:AA278)</f>
        <v>54.88</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0.01</v>
      </c>
      <c r="U278" s="42">
        <f>ROUND($B278*U$227,2)</f>
        <v>0</v>
      </c>
      <c r="V278" s="41">
        <f>ROUND($B278*V$220,2)</f>
        <v>0</v>
      </c>
      <c r="W278" s="42">
        <f>ROUND($B278*W$227,2)</f>
        <v>0</v>
      </c>
      <c r="X278" s="42">
        <f>ROUND($B278*X$227,2)</f>
        <v>-0.01</v>
      </c>
      <c r="Y278" s="42">
        <f>ROUND($B278*Y$227,2)</f>
        <v>0</v>
      </c>
      <c r="Z278" s="42">
        <f>ROUND($B278*Z$227,2)</f>
        <v>0</v>
      </c>
      <c r="AA278" s="42">
        <f>ROUND($B278*AA$227,2)</f>
        <v>0</v>
      </c>
      <c r="AB278" s="19">
        <f>SUM(U$227:AA$227)+(-V$227+V243)</f>
        <v>1.6726999999999999E-2</v>
      </c>
      <c r="AC278" s="94" t="str">
        <f>+F278</f>
        <v>SH0</v>
      </c>
    </row>
    <row r="279" spans="1:29" x14ac:dyDescent="0.2">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x14ac:dyDescent="0.2">
      <c r="A280" s="96"/>
      <c r="B280" s="103">
        <f>IF(AND('AES Indiana Bill Calc.'!$D$17="SH",'AES Indiana Bill Calc.'!$D$18="No",'AES Indiana Bill Calc.'!$D$20="Yes 2020"),'AES Indiana Bill Calc.'!$D$19,-1)</f>
        <v>-1</v>
      </c>
      <c r="C280" s="1" t="s">
        <v>227</v>
      </c>
      <c r="F280" s="36" t="s">
        <v>262</v>
      </c>
      <c r="G280" s="17">
        <f>SUM(J280:M280,O280:P280,R280:AA280)</f>
        <v>54.88</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0.01</v>
      </c>
      <c r="U280" s="42">
        <f>ROUND($B280*U$227,2)</f>
        <v>0</v>
      </c>
      <c r="V280" s="41">
        <f>ROUND($B280*V$220,2)</f>
        <v>0</v>
      </c>
      <c r="W280" s="42">
        <f>ROUND($B280*W$227,2)</f>
        <v>0</v>
      </c>
      <c r="X280" s="42">
        <f>ROUND($B280*X$227,2)</f>
        <v>-0.01</v>
      </c>
      <c r="Y280" s="42">
        <f>ROUND($B280*Y$227,2)</f>
        <v>0</v>
      </c>
      <c r="Z280" s="42">
        <f>ROUND($B280*Z$227,2)</f>
        <v>0</v>
      </c>
      <c r="AA280" s="42">
        <f>ROUND($B280*AA$227,2)</f>
        <v>0</v>
      </c>
      <c r="AB280" s="19">
        <f>SUM(U$227:AA$227)+(-V$227+V245)</f>
        <v>1.6726999999999999E-2</v>
      </c>
      <c r="AC280" s="94" t="str">
        <f>+F280</f>
        <v>SH0</v>
      </c>
    </row>
    <row r="281" spans="1:29" x14ac:dyDescent="0.2">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x14ac:dyDescent="0.2">
      <c r="A282" s="96"/>
      <c r="B282" s="103">
        <f>IF(AND('AES Indiana Bill Calc.'!$D$17="SH",'AES Indiana Bill Calc.'!$D$18="Yes 100%",'AES Indiana Bill Calc.'!$D$20="Yes 2021"),'AES Indiana Bill Calc.'!$D$19,-1)</f>
        <v>-1</v>
      </c>
      <c r="C282" s="1" t="s">
        <v>228</v>
      </c>
      <c r="F282" s="36" t="s">
        <v>263</v>
      </c>
      <c r="G282" s="17">
        <f>SUM(J282:M282,O282:P282,R282:AA282)</f>
        <v>54.88</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0.01</v>
      </c>
      <c r="U282" s="42">
        <f>ROUND($B282*U$227,2)</f>
        <v>0</v>
      </c>
      <c r="V282" s="41">
        <f>ROUND($B282*V$221,2)</f>
        <v>0</v>
      </c>
      <c r="W282" s="42">
        <f>ROUND($B282*W$227,2)</f>
        <v>0</v>
      </c>
      <c r="X282" s="42">
        <f>ROUND($B282*X$227,2)</f>
        <v>-0.01</v>
      </c>
      <c r="Y282" s="42">
        <f>ROUND($B282*Y$227,2)</f>
        <v>0</v>
      </c>
      <c r="Z282" s="42">
        <f>ROUND($B282*Z$227,2)</f>
        <v>0</v>
      </c>
      <c r="AA282" s="42">
        <f>ROUND($B282*AA$227,2)</f>
        <v>0</v>
      </c>
      <c r="AB282" s="19">
        <f>SUM(U$227:AA$227)+(-V$227+V247)</f>
        <v>1.6726999999999999E-2</v>
      </c>
      <c r="AC282" s="94" t="str">
        <f>+F282</f>
        <v>SH1</v>
      </c>
    </row>
    <row r="283" spans="1:29" x14ac:dyDescent="0.2">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x14ac:dyDescent="0.2">
      <c r="A284" s="96"/>
      <c r="B284" s="103">
        <f>IF(AND('AES Indiana Bill Calc.'!$D$17="SH",'AES Indiana Bill Calc.'!$D$18="Yes 50%",'AES Indiana Bill Calc.'!$D$20="Yes 2021"),'AES Indiana Bill Calc.'!$D$19,-1)</f>
        <v>-1</v>
      </c>
      <c r="C284" s="1" t="s">
        <v>229</v>
      </c>
      <c r="F284" s="36" t="s">
        <v>263</v>
      </c>
      <c r="G284" s="17">
        <f>SUM(J284:M284,O284:P284,R284:AA284)</f>
        <v>54.88</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0.01</v>
      </c>
      <c r="U284" s="42">
        <f>ROUND($B284*U$227,2)</f>
        <v>0</v>
      </c>
      <c r="V284" s="41">
        <f>ROUND($B284*V$221,2)</f>
        <v>0</v>
      </c>
      <c r="W284" s="42">
        <f>ROUND($B284*W$227,2)</f>
        <v>0</v>
      </c>
      <c r="X284" s="42">
        <f>ROUND($B284*X$227,2)</f>
        <v>-0.01</v>
      </c>
      <c r="Y284" s="42">
        <f>ROUND($B284*Y$227,2)</f>
        <v>0</v>
      </c>
      <c r="Z284" s="42">
        <f>ROUND($B284*Z$227,2)</f>
        <v>0</v>
      </c>
      <c r="AA284" s="42">
        <f>ROUND($B284*AA$227,2)</f>
        <v>0</v>
      </c>
      <c r="AB284" s="19">
        <f>SUM(U$227:AA$227)+(-V$227+V249)</f>
        <v>1.6726999999999999E-2</v>
      </c>
      <c r="AC284" s="94" t="str">
        <f>+F284</f>
        <v>SH1</v>
      </c>
    </row>
    <row r="285" spans="1:29" x14ac:dyDescent="0.2">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x14ac:dyDescent="0.2">
      <c r="A286" s="96"/>
      <c r="B286" s="103">
        <f>IF(AND('AES Indiana Bill Calc.'!$D$17="SH",'AES Indiana Bill Calc.'!$D$18="Yes 25%",'AES Indiana Bill Calc.'!$D$20="Yes 2021"),'AES Indiana Bill Calc.'!$D$19,-1)</f>
        <v>-1</v>
      </c>
      <c r="C286" s="1" t="s">
        <v>230</v>
      </c>
      <c r="F286" s="36" t="s">
        <v>263</v>
      </c>
      <c r="G286" s="17">
        <f>SUM(J286:M286,O286:P286,R286:AA286)</f>
        <v>54.88</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0.01</v>
      </c>
      <c r="U286" s="42">
        <f>ROUND($B286*U$227,2)</f>
        <v>0</v>
      </c>
      <c r="V286" s="41">
        <f>ROUND($B286*V$221,2)</f>
        <v>0</v>
      </c>
      <c r="W286" s="42">
        <f>ROUND($B286*W$227,2)</f>
        <v>0</v>
      </c>
      <c r="X286" s="42">
        <f>ROUND($B286*X$227,2)</f>
        <v>-0.01</v>
      </c>
      <c r="Y286" s="42">
        <f>ROUND($B286*Y$227,2)</f>
        <v>0</v>
      </c>
      <c r="Z286" s="42">
        <f>ROUND($B286*Z$227,2)</f>
        <v>0</v>
      </c>
      <c r="AA286" s="42">
        <f>ROUND($B286*AA$227,2)</f>
        <v>0</v>
      </c>
      <c r="AB286" s="19">
        <f>SUM(U$227:AA$227)+(-V$227+V251)</f>
        <v>1.6726999999999999E-2</v>
      </c>
      <c r="AC286" s="94" t="str">
        <f>+F286</f>
        <v>SH1</v>
      </c>
    </row>
    <row r="287" spans="1:29" x14ac:dyDescent="0.2">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x14ac:dyDescent="0.2">
      <c r="A288" s="96"/>
      <c r="B288" s="103">
        <f>IF(AND('AES Indiana Bill Calc.'!$D$17="SH",'AES Indiana Bill Calc.'!$D$18="Yes 10%",'AES Indiana Bill Calc.'!$D$20="Yes 2021"),'AES Indiana Bill Calc.'!$D$19,-1)</f>
        <v>-1</v>
      </c>
      <c r="C288" s="1" t="s">
        <v>246</v>
      </c>
      <c r="F288" s="36" t="s">
        <v>263</v>
      </c>
      <c r="G288" s="17">
        <f>SUM(J288:M288,O288:P288,R288:AA288)</f>
        <v>54.88</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0.01</v>
      </c>
      <c r="U288" s="42">
        <f>ROUND($B288*U$227,2)</f>
        <v>0</v>
      </c>
      <c r="V288" s="41">
        <f>ROUND($B288*V$221,2)</f>
        <v>0</v>
      </c>
      <c r="W288" s="42">
        <f>ROUND($B288*W$227,2)</f>
        <v>0</v>
      </c>
      <c r="X288" s="42">
        <f>ROUND($B288*X$227,2)</f>
        <v>-0.01</v>
      </c>
      <c r="Y288" s="42">
        <f>ROUND($B288*Y$227,2)</f>
        <v>0</v>
      </c>
      <c r="Z288" s="42">
        <f>ROUND($B288*Z$227,2)</f>
        <v>0</v>
      </c>
      <c r="AA288" s="42">
        <f>ROUND($B288*AA$227,2)</f>
        <v>0</v>
      </c>
      <c r="AB288" s="19">
        <f>SUM(U$227:AA$227)+(-V$227+V253)</f>
        <v>1.6726999999999999E-2</v>
      </c>
      <c r="AC288" s="94" t="str">
        <f>+F288</f>
        <v>SH1</v>
      </c>
    </row>
    <row r="289" spans="1:29" x14ac:dyDescent="0.2">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x14ac:dyDescent="0.2">
      <c r="A290" s="96"/>
      <c r="B290" s="103">
        <f>IF(AND('AES Indiana Bill Calc.'!$D$17="SH",'AES Indiana Bill Calc.'!$D$18="No",'AES Indiana Bill Calc.'!$D$20="Yes 2021"),'AES Indiana Bill Calc.'!$D$19,-1)</f>
        <v>-1</v>
      </c>
      <c r="C290" s="1" t="s">
        <v>227</v>
      </c>
      <c r="F290" s="36" t="s">
        <v>263</v>
      </c>
      <c r="G290" s="17">
        <f>SUM(J290:M290,O290:P290,R290:AA290)</f>
        <v>54.88</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0.01</v>
      </c>
      <c r="U290" s="42">
        <f>ROUND($B290*U$227,2)</f>
        <v>0</v>
      </c>
      <c r="V290" s="41">
        <f>ROUND($B290*V$221,2)</f>
        <v>0</v>
      </c>
      <c r="W290" s="42">
        <f>ROUND($B290*W$227,2)</f>
        <v>0</v>
      </c>
      <c r="X290" s="42">
        <f>ROUND($B290*X$227,2)</f>
        <v>-0.01</v>
      </c>
      <c r="Y290" s="42">
        <f>ROUND($B290*Y$227,2)</f>
        <v>0</v>
      </c>
      <c r="Z290" s="42">
        <f>ROUND($B290*Z$227,2)</f>
        <v>0</v>
      </c>
      <c r="AA290" s="42">
        <f>ROUND($B290*AA$227,2)</f>
        <v>0</v>
      </c>
      <c r="AB290" s="19">
        <f>SUM(U$227:AA$227)+(-V$227+V255)</f>
        <v>1.6726999999999999E-2</v>
      </c>
      <c r="AC290" s="94" t="str">
        <f>+F290</f>
        <v>SH1</v>
      </c>
    </row>
    <row r="291" spans="1:29" x14ac:dyDescent="0.2">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x14ac:dyDescent="0.2">
      <c r="A292" s="96"/>
      <c r="B292" s="103">
        <f>IF(AND('AES Indiana Bill Calc.'!$D$17="SH",'AES Indiana Bill Calc.'!$D$18="Yes 100%",'AES Indiana Bill Calc.'!$D$20="Yes 2022"),'AES Indiana Bill Calc.'!$D$19,-1)</f>
        <v>-1</v>
      </c>
      <c r="C292" s="1" t="s">
        <v>228</v>
      </c>
      <c r="F292" s="36" t="s">
        <v>264</v>
      </c>
      <c r="G292" s="17">
        <f>SUM(J292:M292,O292:P292,R292:AA292)</f>
        <v>54.88</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0.01</v>
      </c>
      <c r="U292" s="42">
        <f>ROUND($B292*U$227,2)</f>
        <v>0</v>
      </c>
      <c r="V292" s="41">
        <f>ROUND($B292*V$222,2)</f>
        <v>0</v>
      </c>
      <c r="W292" s="42">
        <f>ROUND($B292*W$227,2)</f>
        <v>0</v>
      </c>
      <c r="X292" s="42">
        <f>ROUND($B292*X$227,2)</f>
        <v>-0.01</v>
      </c>
      <c r="Y292" s="42">
        <f>ROUND($B292*Y$227,2)</f>
        <v>0</v>
      </c>
      <c r="Z292" s="42">
        <f>ROUND($B292*Z$227,2)</f>
        <v>0</v>
      </c>
      <c r="AA292" s="42">
        <f>ROUND($B292*AA$227,2)</f>
        <v>0</v>
      </c>
      <c r="AB292" s="19">
        <f>SUM(U$227:AA$227)+(-V$227+V257)</f>
        <v>1.6726999999999999E-2</v>
      </c>
      <c r="AC292" s="94" t="str">
        <f>+F292</f>
        <v>SH2</v>
      </c>
    </row>
    <row r="293" spans="1:29" x14ac:dyDescent="0.2">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x14ac:dyDescent="0.2">
      <c r="A294" s="96"/>
      <c r="B294" s="103">
        <f>IF(AND('AES Indiana Bill Calc.'!$D$17="SH",'AES Indiana Bill Calc.'!$D$18="Yes 50%",'AES Indiana Bill Calc.'!$D$20="Yes 2022"),'AES Indiana Bill Calc.'!$D$19,-1)</f>
        <v>-1</v>
      </c>
      <c r="C294" s="1" t="s">
        <v>229</v>
      </c>
      <c r="F294" s="36" t="s">
        <v>264</v>
      </c>
      <c r="G294" s="17">
        <f>SUM(J294:M294,O294:P294,R294:AA294)</f>
        <v>54.88</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0.01</v>
      </c>
      <c r="U294" s="42">
        <f>ROUND($B294*U$227,2)</f>
        <v>0</v>
      </c>
      <c r="V294" s="41">
        <f>ROUND($B294*V$222,2)</f>
        <v>0</v>
      </c>
      <c r="W294" s="42">
        <f>ROUND($B294*W$227,2)</f>
        <v>0</v>
      </c>
      <c r="X294" s="42">
        <f>ROUND($B294*X$227,2)</f>
        <v>-0.01</v>
      </c>
      <c r="Y294" s="42">
        <f>ROUND($B294*Y$227,2)</f>
        <v>0</v>
      </c>
      <c r="Z294" s="42">
        <f>ROUND($B294*Z$227,2)</f>
        <v>0</v>
      </c>
      <c r="AA294" s="42">
        <f>ROUND($B294*AA$227,2)</f>
        <v>0</v>
      </c>
      <c r="AB294" s="19">
        <f>SUM(U$227:AA$227)+(-V$227+V259)</f>
        <v>1.6726999999999999E-2</v>
      </c>
      <c r="AC294" s="94" t="str">
        <f>+F294</f>
        <v>SH2</v>
      </c>
    </row>
    <row r="295" spans="1:29" x14ac:dyDescent="0.2">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x14ac:dyDescent="0.2">
      <c r="A296" s="96"/>
      <c r="B296" s="103">
        <f>IF(AND('AES Indiana Bill Calc.'!$D$17="SH",'AES Indiana Bill Calc.'!$D$18="Yes 25%",'AES Indiana Bill Calc.'!$D$20="Yes 2022"),'AES Indiana Bill Calc.'!$D$19,-1)</f>
        <v>-1</v>
      </c>
      <c r="C296" s="1" t="s">
        <v>230</v>
      </c>
      <c r="F296" s="36" t="s">
        <v>264</v>
      </c>
      <c r="G296" s="17">
        <f>SUM(J296:M296,O296:P296,R296:AA296)</f>
        <v>54.88</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0.01</v>
      </c>
      <c r="U296" s="42">
        <f>ROUND($B296*U$227,2)</f>
        <v>0</v>
      </c>
      <c r="V296" s="41">
        <f>ROUND($B296*V$222,2)</f>
        <v>0</v>
      </c>
      <c r="W296" s="42">
        <f>ROUND($B296*W$227,2)</f>
        <v>0</v>
      </c>
      <c r="X296" s="42">
        <f>ROUND($B296*X$227,2)</f>
        <v>-0.01</v>
      </c>
      <c r="Y296" s="42">
        <f>ROUND($B296*Y$227,2)</f>
        <v>0</v>
      </c>
      <c r="Z296" s="42">
        <f>ROUND($B296*Z$227,2)</f>
        <v>0</v>
      </c>
      <c r="AA296" s="42">
        <f>ROUND($B296*AA$227,2)</f>
        <v>0</v>
      </c>
      <c r="AB296" s="19">
        <f>SUM(U$227:AA$227)+(-V$227+V261)</f>
        <v>1.6726999999999999E-2</v>
      </c>
      <c r="AC296" s="94" t="str">
        <f>+F296</f>
        <v>SH2</v>
      </c>
    </row>
    <row r="297" spans="1:29" x14ac:dyDescent="0.2">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x14ac:dyDescent="0.2">
      <c r="A298" s="96"/>
      <c r="B298" s="103">
        <f>IF(AND('AES Indiana Bill Calc.'!$D$17="SH",'AES Indiana Bill Calc.'!$D$18="Yes 10%",'AES Indiana Bill Calc.'!$D$20="Yes 2022"),'AES Indiana Bill Calc.'!$D$19,-1)</f>
        <v>-1</v>
      </c>
      <c r="C298" s="1" t="s">
        <v>246</v>
      </c>
      <c r="F298" s="36" t="s">
        <v>264</v>
      </c>
      <c r="G298" s="17">
        <f>SUM(J298:M298,O298:P298,R298:AA298)</f>
        <v>54.88</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0.01</v>
      </c>
      <c r="U298" s="42">
        <f>ROUND($B298*U$227,2)</f>
        <v>0</v>
      </c>
      <c r="V298" s="41">
        <f>ROUND($B298*V$222,2)</f>
        <v>0</v>
      </c>
      <c r="W298" s="42">
        <f>ROUND($B298*W$227,2)</f>
        <v>0</v>
      </c>
      <c r="X298" s="42">
        <f>ROUND($B298*X$227,2)</f>
        <v>-0.01</v>
      </c>
      <c r="Y298" s="42">
        <f>ROUND($B298*Y$227,2)</f>
        <v>0</v>
      </c>
      <c r="Z298" s="42">
        <f>ROUND($B298*Z$227,2)</f>
        <v>0</v>
      </c>
      <c r="AA298" s="42">
        <f>ROUND($B298*AA$227,2)</f>
        <v>0</v>
      </c>
      <c r="AB298" s="19">
        <f>SUM(U$227:AA$227)+(-V$227+V263)</f>
        <v>1.6726999999999999E-2</v>
      </c>
      <c r="AC298" s="94" t="str">
        <f>+F298</f>
        <v>SH2</v>
      </c>
    </row>
    <row r="299" spans="1:29" x14ac:dyDescent="0.2">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x14ac:dyDescent="0.2">
      <c r="A300" s="96"/>
      <c r="B300" s="103">
        <f>IF(AND('AES Indiana Bill Calc.'!$D$17="SH",'AES Indiana Bill Calc.'!$D$18="No",'AES Indiana Bill Calc.'!$D$20="Yes 2022"),'AES Indiana Bill Calc.'!$D$19,-1)</f>
        <v>-1</v>
      </c>
      <c r="C300" s="1" t="s">
        <v>227</v>
      </c>
      <c r="F300" s="36" t="s">
        <v>264</v>
      </c>
      <c r="G300" s="17">
        <f>SUM(J300:M300,O300:P300,R300:AA300)</f>
        <v>54.88</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0.01</v>
      </c>
      <c r="U300" s="42">
        <f>ROUND($B300*U$227,2)</f>
        <v>0</v>
      </c>
      <c r="V300" s="41">
        <f>ROUND($B300*V$222,2)</f>
        <v>0</v>
      </c>
      <c r="W300" s="42">
        <f>ROUND($B300*W$227,2)</f>
        <v>0</v>
      </c>
      <c r="X300" s="42">
        <f>ROUND($B300*X$227,2)</f>
        <v>-0.01</v>
      </c>
      <c r="Y300" s="42">
        <f>ROUND($B300*Y$227,2)</f>
        <v>0</v>
      </c>
      <c r="Z300" s="42">
        <f>ROUND($B300*Z$227,2)</f>
        <v>0</v>
      </c>
      <c r="AA300" s="42">
        <f>ROUND($B300*AA$227,2)</f>
        <v>0</v>
      </c>
      <c r="AB300" s="19">
        <f>SUM(U$227:AA$227)+(-V$227+V265)</f>
        <v>1.6726999999999999E-2</v>
      </c>
      <c r="AC300" s="94" t="str">
        <f>+F300</f>
        <v>SH2</v>
      </c>
    </row>
    <row r="301" spans="1:29" x14ac:dyDescent="0.2">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x14ac:dyDescent="0.2">
      <c r="A302" s="96"/>
      <c r="B302" s="103">
        <f>IF(AND('AES Indiana Bill Calc.'!$D$17="SH",'AES Indiana Bill Calc.'!$D$18="Yes 100%",'AES Indiana Bill Calc.'!$D$20="Yes 2023"),'AES Indiana Bill Calc.'!$D$19,-1)</f>
        <v>-1</v>
      </c>
      <c r="C302" s="1" t="s">
        <v>228</v>
      </c>
      <c r="F302" s="36" t="s">
        <v>265</v>
      </c>
      <c r="G302" s="17">
        <f>SUM(J302:M302,O302:P302,R302:AA302)</f>
        <v>54.88</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0.01</v>
      </c>
      <c r="U302" s="42">
        <f>ROUND($B302*U$227,2)</f>
        <v>0</v>
      </c>
      <c r="V302" s="41">
        <f>ROUND($B302*V$222,2)</f>
        <v>0</v>
      </c>
      <c r="W302" s="42">
        <f>ROUND($B302*W$227,2)</f>
        <v>0</v>
      </c>
      <c r="X302" s="42">
        <f>ROUND($B302*X$227,2)</f>
        <v>-0.01</v>
      </c>
      <c r="Y302" s="42">
        <f>ROUND($B302*Y$227,2)</f>
        <v>0</v>
      </c>
      <c r="Z302" s="42">
        <f>ROUND($B302*Z$227,2)</f>
        <v>0</v>
      </c>
      <c r="AA302" s="42">
        <f>ROUND($B302*AA$227,2)</f>
        <v>0</v>
      </c>
      <c r="AB302" s="19">
        <f>SUM(U$227:AA$227)+(-V$227+V267)</f>
        <v>1.6726999999999999E-2</v>
      </c>
      <c r="AC302" s="94" t="str">
        <f>+F302</f>
        <v>SH3</v>
      </c>
    </row>
    <row r="303" spans="1:29" x14ac:dyDescent="0.2">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x14ac:dyDescent="0.2">
      <c r="A304" s="96"/>
      <c r="B304" s="103">
        <f>IF(AND('AES Indiana Bill Calc.'!$D$17="SH",'AES Indiana Bill Calc.'!$D$18="Yes 50%",'AES Indiana Bill Calc.'!$D$20="Yes 2023"),'AES Indiana Bill Calc.'!$D$19,-1)</f>
        <v>-1</v>
      </c>
      <c r="C304" s="1" t="s">
        <v>229</v>
      </c>
      <c r="F304" s="36" t="s">
        <v>265</v>
      </c>
      <c r="G304" s="17">
        <f>SUM(J304:M304,O304:P304,R304:AA304)</f>
        <v>54.88</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0.01</v>
      </c>
      <c r="U304" s="42">
        <f>ROUND($B304*U$227,2)</f>
        <v>0</v>
      </c>
      <c r="V304" s="41">
        <f>ROUND($B304*V$223,2)</f>
        <v>0</v>
      </c>
      <c r="W304" s="42">
        <f>ROUND($B304*W$227,2)</f>
        <v>0</v>
      </c>
      <c r="X304" s="42">
        <f>ROUND($B304*X$227,2)</f>
        <v>-0.01</v>
      </c>
      <c r="Y304" s="42">
        <f>ROUND($B304*Y$227,2)</f>
        <v>0</v>
      </c>
      <c r="Z304" s="42">
        <f>ROUND($B304*Z$227,2)</f>
        <v>0</v>
      </c>
      <c r="AA304" s="42">
        <f>ROUND($B304*AA$227,2)</f>
        <v>0</v>
      </c>
      <c r="AB304" s="19">
        <f>SUM(U$227:AA$227)+(-V$227+V269)</f>
        <v>1.6726999999999999E-2</v>
      </c>
      <c r="AC304" s="94" t="str">
        <f>+F304</f>
        <v>SH3</v>
      </c>
    </row>
    <row r="305" spans="1:29" x14ac:dyDescent="0.2">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x14ac:dyDescent="0.2">
      <c r="A306" s="96"/>
      <c r="B306" s="103">
        <f>IF(AND('AES Indiana Bill Calc.'!$D$17="SH",'AES Indiana Bill Calc.'!$D$18="Yes 25%",'AES Indiana Bill Calc.'!$D$20="Yes 2023"),'AES Indiana Bill Calc.'!$D$19,-1)</f>
        <v>-1</v>
      </c>
      <c r="C306" s="1" t="s">
        <v>230</v>
      </c>
      <c r="F306" s="36" t="s">
        <v>265</v>
      </c>
      <c r="G306" s="17">
        <f>SUM(J306:M306,O306:P306,R306:AA306)</f>
        <v>54.88</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0.01</v>
      </c>
      <c r="U306" s="42">
        <f>ROUND($B306*U$227,2)</f>
        <v>0</v>
      </c>
      <c r="V306" s="41">
        <f>ROUND($B306*V$223,2)</f>
        <v>0</v>
      </c>
      <c r="W306" s="42">
        <f>ROUND($B306*W$227,2)</f>
        <v>0</v>
      </c>
      <c r="X306" s="42">
        <f>ROUND($B306*X$227,2)</f>
        <v>-0.01</v>
      </c>
      <c r="Y306" s="42">
        <f>ROUND($B306*Y$227,2)</f>
        <v>0</v>
      </c>
      <c r="Z306" s="42">
        <f>ROUND($B306*Z$227,2)</f>
        <v>0</v>
      </c>
      <c r="AA306" s="42">
        <f>ROUND($B306*AA$227,2)</f>
        <v>0</v>
      </c>
      <c r="AB306" s="19">
        <f>SUM(U$227:AA$227)+(-V$227+V271)</f>
        <v>1.6726999999999999E-2</v>
      </c>
      <c r="AC306" s="94" t="str">
        <f>+F306</f>
        <v>SH3</v>
      </c>
    </row>
    <row r="307" spans="1:29" x14ac:dyDescent="0.2">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x14ac:dyDescent="0.2">
      <c r="A308" s="96"/>
      <c r="B308" s="103">
        <f>IF(AND('AES Indiana Bill Calc.'!$D$17="SH",'AES Indiana Bill Calc.'!$D$18="Yes 10%",'AES Indiana Bill Calc.'!$D$20="Yes 2023"),'AES Indiana Bill Calc.'!$D$19,-1)</f>
        <v>-1</v>
      </c>
      <c r="C308" s="1" t="s">
        <v>246</v>
      </c>
      <c r="F308" s="36" t="s">
        <v>265</v>
      </c>
      <c r="G308" s="17">
        <f>SUM(J308:M308,O308:P308,R308:AA308)</f>
        <v>54.88</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0.01</v>
      </c>
      <c r="U308" s="42">
        <f>ROUND($B308*U$227,2)</f>
        <v>0</v>
      </c>
      <c r="V308" s="41">
        <f>ROUND($B308*V$223,2)</f>
        <v>0</v>
      </c>
      <c r="W308" s="42">
        <f>ROUND($B308*W$227,2)</f>
        <v>0</v>
      </c>
      <c r="X308" s="42">
        <f>ROUND($B308*X$227,2)</f>
        <v>-0.01</v>
      </c>
      <c r="Y308" s="42">
        <f>ROUND($B308*Y$227,2)</f>
        <v>0</v>
      </c>
      <c r="Z308" s="42">
        <f>ROUND($B308*Z$227,2)</f>
        <v>0</v>
      </c>
      <c r="AA308" s="42">
        <f>ROUND($B308*AA$227,2)</f>
        <v>0</v>
      </c>
      <c r="AB308" s="19">
        <f>SUM(U$227:AA$227)+(-V$227+V273)</f>
        <v>1.6726999999999999E-2</v>
      </c>
      <c r="AC308" s="94" t="str">
        <f>+F308</f>
        <v>SH3</v>
      </c>
    </row>
    <row r="309" spans="1:29" x14ac:dyDescent="0.2">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x14ac:dyDescent="0.2">
      <c r="A310" s="96"/>
      <c r="B310" s="103">
        <f>IF(AND('AES Indiana Bill Calc.'!$D$17="SH",'AES Indiana Bill Calc.'!$D$18="No",'AES Indiana Bill Calc.'!$D$20="Yes 2023"),'AES Indiana Bill Calc.'!$D$19,-1)</f>
        <v>-1</v>
      </c>
      <c r="C310" s="1" t="s">
        <v>227</v>
      </c>
      <c r="F310" s="36" t="s">
        <v>265</v>
      </c>
      <c r="G310" s="17">
        <f>SUM(J310:M310,O310:P310,R310:AA310)</f>
        <v>54.88</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0.01</v>
      </c>
      <c r="U310" s="42">
        <f>ROUND($B310*U$227,2)</f>
        <v>0</v>
      </c>
      <c r="V310" s="41">
        <f>ROUND($B310*V$223,2)</f>
        <v>0</v>
      </c>
      <c r="W310" s="42">
        <f>ROUND($B310*W$227,2)</f>
        <v>0</v>
      </c>
      <c r="X310" s="42">
        <f>ROUND($B310*X$227,2)</f>
        <v>-0.01</v>
      </c>
      <c r="Y310" s="42">
        <f>ROUND($B310*Y$227,2)</f>
        <v>0</v>
      </c>
      <c r="Z310" s="42">
        <f>ROUND($B310*Z$227,2)</f>
        <v>0</v>
      </c>
      <c r="AA310" s="42">
        <f>ROUND($B310*AA$227,2)</f>
        <v>0</v>
      </c>
      <c r="AB310" s="19">
        <f>SUM(U$227:AA$227)+(-V$227+V275)</f>
        <v>1.6726999999999999E-2</v>
      </c>
      <c r="AC310" s="94" t="str">
        <f>+F310</f>
        <v>SH3</v>
      </c>
    </row>
    <row r="311" spans="1:29" x14ac:dyDescent="0.2">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x14ac:dyDescent="0.2">
      <c r="A312" s="96"/>
      <c r="B312" s="103">
        <f>IF(AND('AES Indiana Bill Calc.'!$D$17="SH",'AES Indiana Bill Calc.'!$D$18="Yes 100%",'AES Indiana Bill Calc.'!$D$20="Yes 2024"),'AES Indiana Bill Calc.'!$D$19,-1)</f>
        <v>-1</v>
      </c>
      <c r="C312" s="1" t="s">
        <v>228</v>
      </c>
      <c r="F312" s="36" t="s">
        <v>266</v>
      </c>
      <c r="G312" s="17">
        <f>SUM(J312:M312,O312:P312,R312:AA312)</f>
        <v>54.88</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0.01</v>
      </c>
      <c r="U312" s="42">
        <f>ROUND($B312*U$227,2)</f>
        <v>0</v>
      </c>
      <c r="V312" s="41">
        <f>ROUND($B312*V$224,2)</f>
        <v>0</v>
      </c>
      <c r="W312" s="42">
        <f>ROUND($B312*W$227,2)</f>
        <v>0</v>
      </c>
      <c r="X312" s="42">
        <f>ROUND($B312*X$227,2)</f>
        <v>-0.01</v>
      </c>
      <c r="Y312" s="42">
        <f>ROUND($B312*Y$227,2)</f>
        <v>0</v>
      </c>
      <c r="Z312" s="42">
        <f>ROUND($B312*Z$227,2)</f>
        <v>0</v>
      </c>
      <c r="AA312" s="42">
        <f>ROUND($B312*AA$227,2)</f>
        <v>0</v>
      </c>
      <c r="AB312" s="19">
        <f>SUM(U$227:AA$227)+(-V$227+V277)</f>
        <v>1.6726999999999999E-2</v>
      </c>
      <c r="AC312" s="94" t="str">
        <f>+F312</f>
        <v>SH4</v>
      </c>
    </row>
    <row r="313" spans="1:29" x14ac:dyDescent="0.2">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x14ac:dyDescent="0.2">
      <c r="A314" s="96"/>
      <c r="B314" s="103">
        <f>IF(AND('AES Indiana Bill Calc.'!$D$17="SH",'AES Indiana Bill Calc.'!$D$18="Yes 50%",'AES Indiana Bill Calc.'!$D$20="Yes 2024"),'AES Indiana Bill Calc.'!$D$19,-1)</f>
        <v>-1</v>
      </c>
      <c r="C314" s="1" t="s">
        <v>229</v>
      </c>
      <c r="F314" s="36" t="s">
        <v>266</v>
      </c>
      <c r="G314" s="17">
        <f>SUM(J314:M314,O314:P314,R314:AA314)</f>
        <v>54.88</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0.01</v>
      </c>
      <c r="U314" s="42">
        <f>ROUND($B314*U$227,2)</f>
        <v>0</v>
      </c>
      <c r="V314" s="41">
        <f>ROUND($B314*V$224,2)</f>
        <v>0</v>
      </c>
      <c r="W314" s="42">
        <f>ROUND($B314*W$227,2)</f>
        <v>0</v>
      </c>
      <c r="X314" s="42">
        <f>ROUND($B314*X$227,2)</f>
        <v>-0.01</v>
      </c>
      <c r="Y314" s="42">
        <f>ROUND($B314*Y$227,2)</f>
        <v>0</v>
      </c>
      <c r="Z314" s="42">
        <f>ROUND($B314*Z$227,2)</f>
        <v>0</v>
      </c>
      <c r="AA314" s="42">
        <f>ROUND($B314*AA$227,2)</f>
        <v>0</v>
      </c>
      <c r="AB314" s="19">
        <f>SUM(U$227:AA$227)+(-V$227+V279)</f>
        <v>1.6726999999999999E-2</v>
      </c>
      <c r="AC314" s="94" t="str">
        <f>+F314</f>
        <v>SH4</v>
      </c>
    </row>
    <row r="315" spans="1:29" x14ac:dyDescent="0.2">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x14ac:dyDescent="0.2">
      <c r="A316" s="96"/>
      <c r="B316" s="103">
        <f>IF(AND('AES Indiana Bill Calc.'!$D$17="SH",'AES Indiana Bill Calc.'!$D$18="Yes 25%",'AES Indiana Bill Calc.'!$D$20="Yes 2024"),'AES Indiana Bill Calc.'!$D$19,-1)</f>
        <v>-1</v>
      </c>
      <c r="C316" s="1" t="s">
        <v>230</v>
      </c>
      <c r="F316" s="36" t="s">
        <v>266</v>
      </c>
      <c r="G316" s="17">
        <f>SUM(J316:M316,O316:P316,R316:AA316)</f>
        <v>54.88</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0.01</v>
      </c>
      <c r="U316" s="42">
        <f>ROUND($B316*U$227,2)</f>
        <v>0</v>
      </c>
      <c r="V316" s="41">
        <f>ROUND($B316*V$224,2)</f>
        <v>0</v>
      </c>
      <c r="W316" s="42">
        <f>ROUND($B316*W$227,2)</f>
        <v>0</v>
      </c>
      <c r="X316" s="42">
        <f>ROUND($B316*X$227,2)</f>
        <v>-0.01</v>
      </c>
      <c r="Y316" s="42">
        <f>ROUND($B316*Y$227,2)</f>
        <v>0</v>
      </c>
      <c r="Z316" s="42">
        <f>ROUND($B316*Z$227,2)</f>
        <v>0</v>
      </c>
      <c r="AA316" s="42">
        <f>ROUND($B316*AA$227,2)</f>
        <v>0</v>
      </c>
      <c r="AB316" s="19">
        <f>SUM(U$227:AA$227)+(-V$227+V281)</f>
        <v>1.6726999999999999E-2</v>
      </c>
      <c r="AC316" s="94" t="str">
        <f>+F316</f>
        <v>SH4</v>
      </c>
    </row>
    <row r="317" spans="1:29" x14ac:dyDescent="0.2">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x14ac:dyDescent="0.2">
      <c r="A318" s="96"/>
      <c r="B318" s="103">
        <f>IF(AND('AES Indiana Bill Calc.'!$D$17="SH",'AES Indiana Bill Calc.'!$D$18="Yes 10%",'AES Indiana Bill Calc.'!$D$20="Yes 2024"),'AES Indiana Bill Calc.'!$D$19,-1)</f>
        <v>-1</v>
      </c>
      <c r="C318" s="1" t="s">
        <v>246</v>
      </c>
      <c r="F318" s="36" t="s">
        <v>266</v>
      </c>
      <c r="G318" s="17">
        <f>SUM(J318:M318,O318:P318,R318:AA318)</f>
        <v>54.88</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0.01</v>
      </c>
      <c r="U318" s="42">
        <f>ROUND($B318*U$227,2)</f>
        <v>0</v>
      </c>
      <c r="V318" s="41">
        <f>ROUND($B318*V$224,2)</f>
        <v>0</v>
      </c>
      <c r="W318" s="42">
        <f>ROUND($B318*W$227,2)</f>
        <v>0</v>
      </c>
      <c r="X318" s="42">
        <f>ROUND($B318*X$227,2)</f>
        <v>-0.01</v>
      </c>
      <c r="Y318" s="42">
        <f>ROUND($B318*Y$227,2)</f>
        <v>0</v>
      </c>
      <c r="Z318" s="42">
        <f>ROUND($B318*Z$227,2)</f>
        <v>0</v>
      </c>
      <c r="AA318" s="42">
        <f>ROUND($B318*AA$227,2)</f>
        <v>0</v>
      </c>
      <c r="AB318" s="19">
        <f>SUM(U$227:AA$227)+(-V$227+V283)</f>
        <v>1.6726999999999999E-2</v>
      </c>
      <c r="AC318" s="94" t="str">
        <f>+F318</f>
        <v>SH4</v>
      </c>
    </row>
    <row r="319" spans="1:29" x14ac:dyDescent="0.2">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x14ac:dyDescent="0.2">
      <c r="A320" s="96"/>
      <c r="B320" s="103">
        <f>IF(AND('AES Indiana Bill Calc.'!$D$17="SH",'AES Indiana Bill Calc.'!$D$18="No",'AES Indiana Bill Calc.'!$D$20="Yes 2024"),'AES Indiana Bill Calc.'!$D$19,-1)</f>
        <v>-1</v>
      </c>
      <c r="C320" s="1" t="s">
        <v>227</v>
      </c>
      <c r="F320" s="36" t="s">
        <v>266</v>
      </c>
      <c r="G320" s="17">
        <f>SUM(J320:M320,O320:P320,R320:AA320)</f>
        <v>54.88</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0.01</v>
      </c>
      <c r="U320" s="42">
        <f>ROUND($B320*U$227,2)</f>
        <v>0</v>
      </c>
      <c r="V320" s="41">
        <f>ROUND($B320*V$224,2)</f>
        <v>0</v>
      </c>
      <c r="W320" s="42">
        <f>ROUND($B320*W$227,2)</f>
        <v>0</v>
      </c>
      <c r="X320" s="42">
        <f>ROUND($B320*X$227,2)</f>
        <v>-0.01</v>
      </c>
      <c r="Y320" s="42">
        <f>ROUND($B320*Y$227,2)</f>
        <v>0</v>
      </c>
      <c r="Z320" s="42">
        <f>ROUND($B320*Z$227,2)</f>
        <v>0</v>
      </c>
      <c r="AA320" s="42">
        <f>ROUND($B320*AA$227,2)</f>
        <v>0</v>
      </c>
      <c r="AB320" s="19">
        <f>SUM(U$227:AA$227)+(-V$227+V285)</f>
        <v>1.6726999999999999E-2</v>
      </c>
      <c r="AC320" s="94" t="str">
        <f>+F320</f>
        <v>SH4</v>
      </c>
    </row>
    <row r="321" spans="1:29" x14ac:dyDescent="0.2">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x14ac:dyDescent="0.2">
      <c r="A322" s="96"/>
      <c r="B322" s="103">
        <f>IF(AND('AES Indiana Bill Calc.'!$D$17="SH",'AES Indiana Bill Calc.'!$D$18="Yes 100%",'AES Indiana Bill Calc.'!$D$20="Yes 2025"),'AES Indiana Bill Calc.'!$D$19,-1)</f>
        <v>-1</v>
      </c>
      <c r="C322" s="1" t="s">
        <v>228</v>
      </c>
      <c r="F322" s="36" t="s">
        <v>267</v>
      </c>
      <c r="G322" s="17">
        <f>SUM(J322:M322,O322:P322,R322:AA322)</f>
        <v>54.88</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0.01</v>
      </c>
      <c r="U322" s="42">
        <f>ROUND($B322*U$227,2)</f>
        <v>0</v>
      </c>
      <c r="V322" s="41">
        <f>ROUND($B322*V$225,2)</f>
        <v>0</v>
      </c>
      <c r="W322" s="42">
        <f>ROUND($B322*W$227,2)</f>
        <v>0</v>
      </c>
      <c r="X322" s="42">
        <f>ROUND($B322*X$227,2)</f>
        <v>-0.01</v>
      </c>
      <c r="Y322" s="42">
        <f>ROUND($B322*Y$227,2)</f>
        <v>0</v>
      </c>
      <c r="Z322" s="42">
        <f>ROUND($B322*Z$227,2)</f>
        <v>0</v>
      </c>
      <c r="AA322" s="42">
        <f>ROUND($B322*AA$227,2)</f>
        <v>0</v>
      </c>
      <c r="AB322" s="19">
        <f>SUM(U$227:AA$227)+(-V$227+V287)</f>
        <v>1.6726999999999999E-2</v>
      </c>
      <c r="AC322" s="94" t="str">
        <f>+F322</f>
        <v>SH5</v>
      </c>
    </row>
    <row r="323" spans="1:29" x14ac:dyDescent="0.2">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x14ac:dyDescent="0.2">
      <c r="A324" s="96"/>
      <c r="B324" s="103">
        <f>IF(AND('AES Indiana Bill Calc.'!$D$17="SH",'AES Indiana Bill Calc.'!$D$18="Yes 50%",'AES Indiana Bill Calc.'!$D$20="Yes 2025"),'AES Indiana Bill Calc.'!$D$19,-1)</f>
        <v>-1</v>
      </c>
      <c r="C324" s="1" t="s">
        <v>229</v>
      </c>
      <c r="F324" s="36" t="s">
        <v>267</v>
      </c>
      <c r="G324" s="17">
        <f>SUM(J324:M324,O324:P324,R324:AA324)</f>
        <v>54.88</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0.01</v>
      </c>
      <c r="U324" s="42">
        <f>ROUND($B324*U$227,2)</f>
        <v>0</v>
      </c>
      <c r="V324" s="41">
        <f>ROUND($B324*V$225,2)</f>
        <v>0</v>
      </c>
      <c r="W324" s="42">
        <f>ROUND($B324*W$227,2)</f>
        <v>0</v>
      </c>
      <c r="X324" s="42">
        <f>ROUND($B324*X$227,2)</f>
        <v>-0.01</v>
      </c>
      <c r="Y324" s="42">
        <f>ROUND($B324*Y$227,2)</f>
        <v>0</v>
      </c>
      <c r="Z324" s="42">
        <f>ROUND($B324*Z$227,2)</f>
        <v>0</v>
      </c>
      <c r="AA324" s="42">
        <f>ROUND($B324*AA$227,2)</f>
        <v>0</v>
      </c>
      <c r="AB324" s="19">
        <f>SUM(U$227:AA$227)+(-V$227+V289)</f>
        <v>1.6726999999999999E-2</v>
      </c>
      <c r="AC324" s="94" t="str">
        <f>+F324</f>
        <v>SH5</v>
      </c>
    </row>
    <row r="325" spans="1:29" x14ac:dyDescent="0.2">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x14ac:dyDescent="0.2">
      <c r="A326" s="96"/>
      <c r="B326" s="103">
        <f>IF(AND('AES Indiana Bill Calc.'!$D$17="SH",'AES Indiana Bill Calc.'!$D$18="Yes 25%",'AES Indiana Bill Calc.'!$D$20="Yes 2025"),'AES Indiana Bill Calc.'!$D$19,-1)</f>
        <v>-1</v>
      </c>
      <c r="C326" s="1" t="s">
        <v>230</v>
      </c>
      <c r="F326" s="36" t="s">
        <v>267</v>
      </c>
      <c r="G326" s="17">
        <f>SUM(J326:M326,O326:P326,R326:AA326)</f>
        <v>54.88</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0.01</v>
      </c>
      <c r="U326" s="42">
        <f>ROUND($B326*U$227,2)</f>
        <v>0</v>
      </c>
      <c r="V326" s="41">
        <f>ROUND($B326*V$225,2)</f>
        <v>0</v>
      </c>
      <c r="W326" s="42">
        <f>ROUND($B326*W$227,2)</f>
        <v>0</v>
      </c>
      <c r="X326" s="42">
        <f>ROUND($B326*X$227,2)</f>
        <v>-0.01</v>
      </c>
      <c r="Y326" s="42">
        <f>ROUND($B326*Y$227,2)</f>
        <v>0</v>
      </c>
      <c r="Z326" s="42">
        <f>ROUND($B326*Z$227,2)</f>
        <v>0</v>
      </c>
      <c r="AA326" s="42">
        <f>ROUND($B326*AA$227,2)</f>
        <v>0</v>
      </c>
      <c r="AB326" s="19">
        <f>SUM(U$227:AA$227)+(-V$227+V291)</f>
        <v>1.6726999999999999E-2</v>
      </c>
      <c r="AC326" s="94" t="str">
        <f>+F326</f>
        <v>SH5</v>
      </c>
    </row>
    <row r="327" spans="1:29" x14ac:dyDescent="0.2">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x14ac:dyDescent="0.2">
      <c r="A328" s="96"/>
      <c r="B328" s="103">
        <f>IF(AND('AES Indiana Bill Calc.'!$D$17="SH",'AES Indiana Bill Calc.'!$D$18="Yes 10%",'AES Indiana Bill Calc.'!$D$20="Yes 2025"),'AES Indiana Bill Calc.'!$D$19,-1)</f>
        <v>-1</v>
      </c>
      <c r="C328" s="1" t="s">
        <v>246</v>
      </c>
      <c r="F328" s="36" t="s">
        <v>267</v>
      </c>
      <c r="G328" s="17">
        <f>SUM(J328:M328,O328:P328,R328:AA328)</f>
        <v>54.88</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0.01</v>
      </c>
      <c r="U328" s="42">
        <f>ROUND($B328*U$227,2)</f>
        <v>0</v>
      </c>
      <c r="V328" s="41">
        <f>ROUND($B328*V$225,2)</f>
        <v>0</v>
      </c>
      <c r="W328" s="42">
        <f>ROUND($B328*W$227,2)</f>
        <v>0</v>
      </c>
      <c r="X328" s="42">
        <f>ROUND($B328*X$227,2)</f>
        <v>-0.01</v>
      </c>
      <c r="Y328" s="42">
        <f>ROUND($B328*Y$227,2)</f>
        <v>0</v>
      </c>
      <c r="Z328" s="42">
        <f>ROUND($B328*Z$227,2)</f>
        <v>0</v>
      </c>
      <c r="AA328" s="42">
        <f>ROUND($B328*AA$227,2)</f>
        <v>0</v>
      </c>
      <c r="AB328" s="19">
        <f>SUM(U$227:AA$227)+(-V$227+V293)</f>
        <v>1.6726999999999999E-2</v>
      </c>
      <c r="AC328" s="94" t="str">
        <f>+F328</f>
        <v>SH5</v>
      </c>
    </row>
    <row r="329" spans="1:29" x14ac:dyDescent="0.2">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x14ac:dyDescent="0.2">
      <c r="A330" s="96"/>
      <c r="B330" s="103">
        <f>IF(AND('AES Indiana Bill Calc.'!$D$17="SH",'AES Indiana Bill Calc.'!$D$18="No",'AES Indiana Bill Calc.'!$D$20="Yes 2025"),'AES Indiana Bill Calc.'!$D$19,-1)</f>
        <v>-1</v>
      </c>
      <c r="C330" s="1" t="s">
        <v>227</v>
      </c>
      <c r="F330" s="36" t="s">
        <v>267</v>
      </c>
      <c r="G330" s="17">
        <f>SUM(J330:M330,O330:P330,R330:AA330)</f>
        <v>54.88</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0.01</v>
      </c>
      <c r="U330" s="42">
        <f>ROUND($B330*U$227,2)</f>
        <v>0</v>
      </c>
      <c r="V330" s="41">
        <f>ROUND($B330*V$225,2)</f>
        <v>0</v>
      </c>
      <c r="W330" s="42">
        <f>ROUND($B330*W$227,2)</f>
        <v>0</v>
      </c>
      <c r="X330" s="42">
        <f>ROUND($B330*X$227,2)</f>
        <v>-0.01</v>
      </c>
      <c r="Y330" s="42">
        <f>ROUND($B330*Y$227,2)</f>
        <v>0</v>
      </c>
      <c r="Z330" s="42">
        <f>ROUND($B330*Z$227,2)</f>
        <v>0</v>
      </c>
      <c r="AA330" s="42">
        <f>ROUND($B330*AA$227,2)</f>
        <v>0</v>
      </c>
      <c r="AB330" s="19">
        <f>SUM(U$227:AA$227)+(-V$227+V295)</f>
        <v>1.6726999999999999E-2</v>
      </c>
      <c r="AC330" s="94" t="str">
        <f>+F330</f>
        <v>SH5</v>
      </c>
    </row>
    <row r="331" spans="1:29" x14ac:dyDescent="0.2">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x14ac:dyDescent="0.2">
      <c r="A332" s="96"/>
      <c r="B332" s="103">
        <f>IF(AND('AES Indiana Bill Calc.'!$D$17="SH",'AES Indiana Bill Calc.'!$D$18="Yes 100%",'AES Indiana Bill Calc.'!$D$20="Yes 2026"),'AES Indiana Bill Calc.'!$D$19,-1)</f>
        <v>-1</v>
      </c>
      <c r="C332" s="1" t="s">
        <v>228</v>
      </c>
      <c r="F332" s="36" t="s">
        <v>268</v>
      </c>
      <c r="G332" s="17">
        <f>SUM(J332:M332,O332:P332,R332:AA332)</f>
        <v>54.870000000000005</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0.01</v>
      </c>
      <c r="U332" s="42">
        <f>ROUND($B332*U$227,2)</f>
        <v>0</v>
      </c>
      <c r="V332" s="41">
        <f>ROUND($B332*V$226,2)</f>
        <v>-0.01</v>
      </c>
      <c r="W332" s="42">
        <f>ROUND($B332*W$227,2)</f>
        <v>0</v>
      </c>
      <c r="X332" s="42">
        <f>ROUND($B332*X$227,2)</f>
        <v>-0.01</v>
      </c>
      <c r="Y332" s="42">
        <f>ROUND($B332*Y$227,2)</f>
        <v>0</v>
      </c>
      <c r="Z332" s="42">
        <f>ROUND($B332*Z$227,2)</f>
        <v>0</v>
      </c>
      <c r="AA332" s="42">
        <f>ROUND($B332*AA$227,2)</f>
        <v>0</v>
      </c>
      <c r="AB332" s="19">
        <f>SUM(U$227:AA$227)+(-V$227+V297)</f>
        <v>1.6726999999999999E-2</v>
      </c>
      <c r="AC332" s="94" t="str">
        <f>+F332</f>
        <v>SH6</v>
      </c>
    </row>
    <row r="333" spans="1:29" x14ac:dyDescent="0.2">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x14ac:dyDescent="0.2">
      <c r="A334" s="96"/>
      <c r="B334" s="103">
        <f>IF(AND('AES Indiana Bill Calc.'!$D$17="SH",'AES Indiana Bill Calc.'!$D$18="Yes 50%",'AES Indiana Bill Calc.'!$D$20="Yes 2026"),'AES Indiana Bill Calc.'!$D$19,-1)</f>
        <v>-1</v>
      </c>
      <c r="C334" s="1" t="s">
        <v>229</v>
      </c>
      <c r="F334" s="36" t="s">
        <v>268</v>
      </c>
      <c r="G334" s="17">
        <f>SUM(J334:M334,O334:P334,R334:AA334)</f>
        <v>54.870000000000005</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0.01</v>
      </c>
      <c r="U334" s="42">
        <f>ROUND($B334*U$227,2)</f>
        <v>0</v>
      </c>
      <c r="V334" s="41">
        <f>ROUND($B334*V$226,2)</f>
        <v>-0.01</v>
      </c>
      <c r="W334" s="42">
        <f>ROUND($B334*W$227,2)</f>
        <v>0</v>
      </c>
      <c r="X334" s="42">
        <f>ROUND($B334*X$227,2)</f>
        <v>-0.01</v>
      </c>
      <c r="Y334" s="42">
        <f>ROUND($B334*Y$227,2)</f>
        <v>0</v>
      </c>
      <c r="Z334" s="42">
        <f>ROUND($B334*Z$227,2)</f>
        <v>0</v>
      </c>
      <c r="AA334" s="42">
        <f>ROUND($B334*AA$227,2)</f>
        <v>0</v>
      </c>
      <c r="AB334" s="19">
        <f>SUM(U$227:AA$227)+(-V$227+V299)</f>
        <v>1.6726999999999999E-2</v>
      </c>
      <c r="AC334" s="94" t="str">
        <f>+F334</f>
        <v>SH6</v>
      </c>
    </row>
    <row r="335" spans="1:29" x14ac:dyDescent="0.2">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x14ac:dyDescent="0.2">
      <c r="A336" s="96"/>
      <c r="B336" s="103">
        <f>IF(AND('AES Indiana Bill Calc.'!$D$17="SH",'AES Indiana Bill Calc.'!$D$18="Yes 25%",'AES Indiana Bill Calc.'!$D$20="Yes 2026"),'AES Indiana Bill Calc.'!$D$19,-1)</f>
        <v>-1</v>
      </c>
      <c r="C336" s="1" t="s">
        <v>230</v>
      </c>
      <c r="F336" s="36" t="s">
        <v>268</v>
      </c>
      <c r="G336" s="17">
        <f>SUM(J336:M336,O336:P336,R336:AA336)</f>
        <v>54.870000000000005</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0.01</v>
      </c>
      <c r="U336" s="42">
        <f>ROUND($B336*U$227,2)</f>
        <v>0</v>
      </c>
      <c r="V336" s="41">
        <f>ROUND($B336*V$226,2)</f>
        <v>-0.01</v>
      </c>
      <c r="W336" s="42">
        <f>ROUND($B336*W$227,2)</f>
        <v>0</v>
      </c>
      <c r="X336" s="42">
        <f>ROUND($B336*X$227,2)</f>
        <v>-0.01</v>
      </c>
      <c r="Y336" s="42">
        <f>ROUND($B336*Y$227,2)</f>
        <v>0</v>
      </c>
      <c r="Z336" s="42">
        <f>ROUND($B336*Z$227,2)</f>
        <v>0</v>
      </c>
      <c r="AA336" s="42">
        <f>ROUND($B336*AA$227,2)</f>
        <v>0</v>
      </c>
      <c r="AB336" s="19">
        <f>SUM(U$227:AA$227)+(-V$227+V301)</f>
        <v>1.6726999999999999E-2</v>
      </c>
      <c r="AC336" s="94" t="str">
        <f>+F336</f>
        <v>SH6</v>
      </c>
    </row>
    <row r="337" spans="1:29" x14ac:dyDescent="0.2">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x14ac:dyDescent="0.2">
      <c r="A338" s="96"/>
      <c r="B338" s="103">
        <f>IF(AND('AES Indiana Bill Calc.'!$D$17="SH",'AES Indiana Bill Calc.'!$D$18="Yes 10%",'AES Indiana Bill Calc.'!$D$20="Yes 2026"),'AES Indiana Bill Calc.'!$D$19,-1)</f>
        <v>-1</v>
      </c>
      <c r="C338" s="1" t="s">
        <v>246</v>
      </c>
      <c r="F338" s="36" t="s">
        <v>268</v>
      </c>
      <c r="G338" s="17">
        <f>SUM(J338:M338,O338:P338,R338:AA338)</f>
        <v>54.870000000000005</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0.01</v>
      </c>
      <c r="U338" s="42">
        <f>ROUND($B338*U$227,2)</f>
        <v>0</v>
      </c>
      <c r="V338" s="41">
        <f>ROUND($B338*V$226,2)</f>
        <v>-0.01</v>
      </c>
      <c r="W338" s="42">
        <f>ROUND($B338*W$227,2)</f>
        <v>0</v>
      </c>
      <c r="X338" s="42">
        <f>ROUND($B338*X$227,2)</f>
        <v>-0.01</v>
      </c>
      <c r="Y338" s="42">
        <f>ROUND($B338*Y$227,2)</f>
        <v>0</v>
      </c>
      <c r="Z338" s="42">
        <f>ROUND($B338*Z$227,2)</f>
        <v>0</v>
      </c>
      <c r="AA338" s="42">
        <f>ROUND($B338*AA$227,2)</f>
        <v>0</v>
      </c>
      <c r="AB338" s="19">
        <f>SUM(U$227:AA$227)+(-V$227+V303)</f>
        <v>1.6726999999999999E-2</v>
      </c>
      <c r="AC338" s="94" t="str">
        <f>+F338</f>
        <v>SH6</v>
      </c>
    </row>
    <row r="339" spans="1:29" x14ac:dyDescent="0.2">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x14ac:dyDescent="0.2">
      <c r="A340" s="96"/>
      <c r="B340" s="103">
        <f>IF(AND('AES Indiana Bill Calc.'!$D$17="SH",'AES Indiana Bill Calc.'!$D$18="No",'AES Indiana Bill Calc.'!$D$20="Yes 2026"),'AES Indiana Bill Calc.'!$D$19,-1)</f>
        <v>-1</v>
      </c>
      <c r="C340" s="1" t="s">
        <v>227</v>
      </c>
      <c r="F340" s="36" t="s">
        <v>268</v>
      </c>
      <c r="G340" s="17">
        <f>SUM(J340:M340,O340:P340,R340:AA340)</f>
        <v>54.870000000000005</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0.01</v>
      </c>
      <c r="U340" s="42">
        <f>ROUND($B340*U$227,2)</f>
        <v>0</v>
      </c>
      <c r="V340" s="41">
        <f>ROUND($B340*V$226,2)</f>
        <v>-0.01</v>
      </c>
      <c r="W340" s="42">
        <f>ROUND($B340*W$227,2)</f>
        <v>0</v>
      </c>
      <c r="X340" s="42">
        <f>ROUND($B340*X$227,2)</f>
        <v>-0.01</v>
      </c>
      <c r="Y340" s="42">
        <f>ROUND($B340*Y$227,2)</f>
        <v>0</v>
      </c>
      <c r="Z340" s="42">
        <f>ROUND($B340*Z$227,2)</f>
        <v>0</v>
      </c>
      <c r="AA340" s="42">
        <f>ROUND($B340*AA$227,2)</f>
        <v>0</v>
      </c>
      <c r="AB340" s="19">
        <f>SUM(U$227:AA$227)+(-V$227+V305)</f>
        <v>1.6726999999999999E-2</v>
      </c>
      <c r="AC340" s="94" t="str">
        <f>+F340</f>
        <v>SH6</v>
      </c>
    </row>
    <row r="341" spans="1:29" x14ac:dyDescent="0.2">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
      <c r="B342" s="103">
        <v>-1</v>
      </c>
      <c r="C342" s="9"/>
      <c r="G342" s="17"/>
      <c r="H342" s="19"/>
      <c r="I342" s="19"/>
      <c r="J342" s="16"/>
      <c r="K342" s="16"/>
      <c r="L342" s="16"/>
      <c r="M342" s="8"/>
      <c r="N342" s="8"/>
      <c r="O342" s="8"/>
      <c r="P342" s="8"/>
      <c r="Q342" s="8"/>
      <c r="R342" s="8"/>
      <c r="S342" s="17"/>
      <c r="T342" s="17"/>
      <c r="U342" s="17"/>
      <c r="V342" s="27">
        <f>+T9</f>
        <v>0</v>
      </c>
      <c r="W342" s="6" t="s">
        <v>242</v>
      </c>
      <c r="X342" s="17"/>
      <c r="Y342" s="17"/>
      <c r="Z342" s="17"/>
      <c r="AA342" s="17"/>
      <c r="AB342" s="19" t="e">
        <f>+AB$227-V$227+#REF!</f>
        <v>#REF!</v>
      </c>
    </row>
    <row r="343" spans="1:29" x14ac:dyDescent="0.2">
      <c r="B343" s="103">
        <v>-1</v>
      </c>
      <c r="C343" s="9"/>
      <c r="H343" s="19"/>
      <c r="I343" s="19"/>
      <c r="J343" s="16"/>
      <c r="K343" s="16"/>
      <c r="L343" s="16"/>
      <c r="M343" s="8"/>
      <c r="N343" s="8"/>
      <c r="O343" s="8"/>
      <c r="P343" s="8"/>
      <c r="Q343" s="8"/>
      <c r="R343" s="8"/>
      <c r="S343" s="17"/>
      <c r="T343" s="17"/>
      <c r="U343" s="17"/>
      <c r="V343" s="27">
        <f>+T11</f>
        <v>0</v>
      </c>
      <c r="W343" s="6" t="s">
        <v>243</v>
      </c>
      <c r="X343" s="17"/>
      <c r="Y343" s="17"/>
      <c r="Z343" s="17"/>
      <c r="AA343" s="17"/>
      <c r="AB343" s="19">
        <f>+AB$227-V$227+V342</f>
        <v>1.602E-2</v>
      </c>
    </row>
    <row r="344" spans="1:29" x14ac:dyDescent="0.2">
      <c r="B344" s="103">
        <v>-1</v>
      </c>
      <c r="C344" s="9"/>
      <c r="H344" s="19"/>
      <c r="I344" s="19"/>
      <c r="J344" s="16"/>
      <c r="K344" s="16"/>
      <c r="L344" s="16"/>
      <c r="M344" s="8"/>
      <c r="N344" s="8"/>
      <c r="O344" s="8"/>
      <c r="P344" s="8"/>
      <c r="Q344" s="8"/>
      <c r="R344" s="8"/>
      <c r="S344" s="17"/>
      <c r="T344" s="17"/>
      <c r="U344" s="17"/>
      <c r="V344" s="27">
        <f>+T13</f>
        <v>0</v>
      </c>
      <c r="W344" s="6" t="s">
        <v>234</v>
      </c>
      <c r="X344" s="17"/>
      <c r="Y344" s="17"/>
      <c r="Z344" s="17"/>
      <c r="AA344" s="17"/>
      <c r="AB344" s="19">
        <f>+AB$227-V$227+V343</f>
        <v>1.602E-2</v>
      </c>
    </row>
    <row r="345" spans="1:29" x14ac:dyDescent="0.2">
      <c r="B345" s="103">
        <v>-1</v>
      </c>
      <c r="C345" s="9"/>
      <c r="H345" s="19"/>
      <c r="I345" s="19"/>
      <c r="J345" s="16"/>
      <c r="K345" s="16"/>
      <c r="L345" s="16"/>
      <c r="M345" s="8"/>
      <c r="N345" s="8"/>
      <c r="O345" s="8"/>
      <c r="P345" s="8"/>
      <c r="Q345" s="8"/>
      <c r="R345" s="8"/>
      <c r="S345" s="17"/>
      <c r="T345" s="17"/>
      <c r="U345" s="17"/>
      <c r="V345" s="27">
        <f>T15</f>
        <v>0</v>
      </c>
      <c r="W345" s="6" t="s">
        <v>235</v>
      </c>
      <c r="X345" s="17"/>
      <c r="Y345" s="17"/>
      <c r="Z345" s="17"/>
      <c r="AA345" s="17"/>
      <c r="AB345" s="19"/>
    </row>
    <row r="346" spans="1:29" x14ac:dyDescent="0.2">
      <c r="B346" s="103">
        <v>-1</v>
      </c>
      <c r="C346" s="9"/>
      <c r="H346" s="19"/>
      <c r="I346" s="19"/>
      <c r="J346" s="16"/>
      <c r="K346" s="16"/>
      <c r="L346" s="16"/>
      <c r="M346" s="8"/>
      <c r="N346" s="8"/>
      <c r="O346" s="8"/>
      <c r="P346" s="8"/>
      <c r="Q346" s="8"/>
      <c r="R346" s="8"/>
      <c r="S346" s="17"/>
      <c r="T346" s="17"/>
      <c r="U346" s="17"/>
      <c r="V346" s="27">
        <f>$T$18</f>
        <v>0</v>
      </c>
      <c r="W346" s="6" t="s">
        <v>236</v>
      </c>
      <c r="X346" s="17"/>
      <c r="Y346" s="17"/>
      <c r="Z346" s="17"/>
      <c r="AA346" s="17"/>
      <c r="AB346" s="19"/>
    </row>
    <row r="347" spans="1:29" x14ac:dyDescent="0.2">
      <c r="B347" s="103">
        <v>-1</v>
      </c>
      <c r="C347" s="9"/>
      <c r="H347" s="19"/>
      <c r="I347" s="19"/>
      <c r="J347" s="16"/>
      <c r="K347" s="16"/>
      <c r="L347" s="16"/>
      <c r="M347" s="8"/>
      <c r="N347" s="8"/>
      <c r="O347" s="8"/>
      <c r="P347" s="8"/>
      <c r="Q347" s="8"/>
      <c r="R347" s="8"/>
      <c r="S347" s="17"/>
      <c r="T347" s="17"/>
      <c r="U347" s="17"/>
      <c r="V347" s="27">
        <f>$T$20</f>
        <v>0</v>
      </c>
      <c r="W347" s="6" t="s">
        <v>237</v>
      </c>
      <c r="X347" s="17"/>
      <c r="Y347" s="17"/>
      <c r="Z347" s="17"/>
      <c r="AA347" s="17"/>
      <c r="AB347" s="19"/>
    </row>
    <row r="348" spans="1:29" x14ac:dyDescent="0.2">
      <c r="B348" s="103">
        <v>-1</v>
      </c>
      <c r="C348" s="9"/>
      <c r="H348" s="19"/>
      <c r="I348" s="19"/>
      <c r="J348" s="16"/>
      <c r="K348" s="16"/>
      <c r="L348" s="16"/>
      <c r="M348" s="8"/>
      <c r="N348" s="8"/>
      <c r="O348" s="8"/>
      <c r="P348" s="8"/>
      <c r="Q348" s="8"/>
      <c r="R348" s="8"/>
      <c r="S348" s="17"/>
      <c r="T348" s="17"/>
      <c r="U348" s="17"/>
      <c r="V348" s="27">
        <f>$T$22</f>
        <v>-2.5219999999999999E-3</v>
      </c>
      <c r="W348" s="6" t="s">
        <v>238</v>
      </c>
      <c r="X348" s="17"/>
      <c r="Y348" s="17"/>
      <c r="Z348" s="17"/>
      <c r="AA348" s="17"/>
      <c r="AB348" s="19"/>
    </row>
    <row r="349" spans="1:29" x14ac:dyDescent="0.2">
      <c r="B349" s="103">
        <v>-1</v>
      </c>
      <c r="C349" s="9"/>
      <c r="H349" s="19"/>
      <c r="I349" s="19"/>
      <c r="J349" s="16"/>
      <c r="K349" s="16"/>
      <c r="L349" s="16"/>
      <c r="M349" s="8"/>
      <c r="N349" s="8"/>
      <c r="O349" s="8"/>
      <c r="P349" s="8"/>
      <c r="Q349" s="8"/>
      <c r="R349" s="8"/>
      <c r="S349" s="17"/>
      <c r="T349" s="17"/>
      <c r="U349" s="17"/>
      <c r="V349" s="27">
        <f>$T$24</f>
        <v>0</v>
      </c>
      <c r="W349" s="6" t="s">
        <v>239</v>
      </c>
      <c r="X349" s="17"/>
      <c r="Y349" s="17"/>
      <c r="Z349" s="17"/>
      <c r="AA349" s="17"/>
      <c r="AB349" s="19"/>
    </row>
    <row r="350" spans="1:29" x14ac:dyDescent="0.2">
      <c r="B350" s="103">
        <v>-1</v>
      </c>
      <c r="C350" s="9"/>
      <c r="H350" s="19"/>
      <c r="I350" s="19"/>
      <c r="J350" s="16"/>
      <c r="K350" s="16"/>
      <c r="L350" s="16"/>
      <c r="M350" s="8"/>
      <c r="N350" s="8"/>
      <c r="O350" s="8"/>
      <c r="P350" s="8"/>
      <c r="Q350" s="8"/>
      <c r="R350" s="8"/>
      <c r="S350" s="17"/>
      <c r="T350" s="17"/>
      <c r="U350" s="17"/>
      <c r="V350" s="19">
        <f>T26</f>
        <v>0</v>
      </c>
      <c r="W350" s="6" t="s">
        <v>240</v>
      </c>
      <c r="X350" s="17"/>
      <c r="Y350" s="17"/>
      <c r="Z350" s="17"/>
      <c r="AA350" s="17"/>
      <c r="AB350" s="19"/>
    </row>
    <row r="351" spans="1:29" x14ac:dyDescent="0.2">
      <c r="B351" s="103">
        <v>-1</v>
      </c>
      <c r="C351" s="9"/>
      <c r="H351" s="19"/>
      <c r="I351" s="19"/>
      <c r="J351" s="16"/>
      <c r="K351" s="16"/>
      <c r="L351" s="16"/>
      <c r="M351" s="8"/>
      <c r="N351" s="8"/>
      <c r="O351" s="8"/>
      <c r="P351" s="8"/>
      <c r="Q351" s="8"/>
      <c r="R351" s="8"/>
      <c r="S351" s="17"/>
      <c r="T351" s="17"/>
      <c r="U351" s="17"/>
      <c r="V351" s="19">
        <f>T28</f>
        <v>-1.1789999999999999E-3</v>
      </c>
      <c r="W351" s="6" t="s">
        <v>241</v>
      </c>
      <c r="X351" s="17"/>
      <c r="Y351" s="17"/>
      <c r="Z351" s="17"/>
      <c r="AA351" s="17"/>
      <c r="AB351" s="19"/>
    </row>
    <row r="352" spans="1:29" x14ac:dyDescent="0.2">
      <c r="B352" s="103">
        <v>-1</v>
      </c>
      <c r="C352" s="9"/>
      <c r="H352" s="19"/>
      <c r="I352" s="19"/>
      <c r="J352" s="16"/>
      <c r="K352" s="16"/>
      <c r="L352" s="16"/>
      <c r="M352" s="8"/>
      <c r="N352" s="8"/>
      <c r="O352" s="8"/>
      <c r="P352" s="8"/>
      <c r="Q352" s="8"/>
      <c r="R352" s="8"/>
      <c r="S352" s="17"/>
      <c r="T352" s="17"/>
      <c r="U352" s="17"/>
      <c r="V352" s="19">
        <f>T30</f>
        <v>0</v>
      </c>
      <c r="W352" s="6" t="s">
        <v>242</v>
      </c>
      <c r="X352" s="17"/>
      <c r="Y352" s="17"/>
      <c r="Z352" s="17"/>
      <c r="AA352" s="17"/>
      <c r="AB352" s="19"/>
    </row>
    <row r="353" spans="1:29" x14ac:dyDescent="0.2">
      <c r="B353" s="103"/>
      <c r="C353" s="9"/>
      <c r="H353" s="19"/>
      <c r="I353" s="19"/>
      <c r="J353" s="16"/>
      <c r="K353" s="16"/>
      <c r="L353" s="16"/>
      <c r="M353" s="8"/>
      <c r="N353" s="8"/>
      <c r="O353" s="8"/>
      <c r="P353" s="8"/>
      <c r="Q353" s="8"/>
      <c r="R353" s="8"/>
      <c r="S353" s="17"/>
      <c r="T353" s="17"/>
      <c r="U353" s="17"/>
      <c r="V353" s="19">
        <f>T32</f>
        <v>5.8520000000000004E-3</v>
      </c>
      <c r="W353" s="6" t="s">
        <v>243</v>
      </c>
      <c r="X353" s="17"/>
      <c r="Y353" s="17"/>
      <c r="Z353" s="17"/>
      <c r="AA353" s="17"/>
      <c r="AB353" s="19"/>
    </row>
    <row r="354" spans="1:29" x14ac:dyDescent="0.2">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-5.5440000000000003E-3</v>
      </c>
      <c r="U354" s="117">
        <f>+S$4</f>
        <v>3.4810000000000002E-3</v>
      </c>
      <c r="V354" s="27">
        <f t="shared" si="22"/>
        <v>1.2638E-2</v>
      </c>
      <c r="W354" s="27">
        <f t="shared" si="22"/>
        <v>0</v>
      </c>
      <c r="X354" s="27">
        <f t="shared" si="22"/>
        <v>9.1430000000000001E-3</v>
      </c>
      <c r="Y354" s="27">
        <f t="shared" si="22"/>
        <v>-8.1800000000000004E-4</v>
      </c>
      <c r="Z354" s="27">
        <f t="shared" si="22"/>
        <v>4.2139999999999999E-3</v>
      </c>
      <c r="AA354" s="27">
        <f t="shared" si="22"/>
        <v>7.0699999999999995E-4</v>
      </c>
      <c r="AB354" s="19">
        <f>SUM(U354:Z354)</f>
        <v>2.8657999999999999E-2</v>
      </c>
    </row>
    <row r="355" spans="1:29" x14ac:dyDescent="0.2">
      <c r="A355" s="1"/>
      <c r="B355" s="103">
        <v>-1</v>
      </c>
      <c r="C355" s="1" t="s">
        <v>269</v>
      </c>
      <c r="D355" s="147" t="s">
        <v>269</v>
      </c>
      <c r="F355" s="72"/>
      <c r="G355" s="70"/>
      <c r="H355" s="70"/>
      <c r="I355" s="75"/>
      <c r="J355" s="73"/>
      <c r="K355" s="73">
        <v>5000</v>
      </c>
      <c r="L355" s="70"/>
      <c r="M355" s="70"/>
      <c r="N355" s="70"/>
      <c r="O355" s="70"/>
      <c r="P355" s="70"/>
      <c r="Q355" s="140" t="s">
        <v>257</v>
      </c>
    </row>
    <row r="356" spans="1:29" x14ac:dyDescent="0.2">
      <c r="B356" s="103">
        <v>-1</v>
      </c>
      <c r="C356" s="33" t="s">
        <v>204</v>
      </c>
      <c r="D356" s="33" t="s">
        <v>204</v>
      </c>
      <c r="F356" s="12"/>
      <c r="I356" s="19"/>
      <c r="J356" s="12" t="s">
        <v>217</v>
      </c>
      <c r="K356" s="258" t="s">
        <v>30</v>
      </c>
      <c r="L356" s="258"/>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
      <c r="A357" s="13"/>
      <c r="B357" s="103" t="s">
        <v>220</v>
      </c>
      <c r="C357" s="31" t="s">
        <v>270</v>
      </c>
      <c r="D357" s="13" t="s">
        <v>220</v>
      </c>
      <c r="F357" s="13" t="s">
        <v>221</v>
      </c>
      <c r="G357" s="13" t="s">
        <v>222</v>
      </c>
      <c r="H357" s="13" t="s">
        <v>223</v>
      </c>
      <c r="I357" s="19"/>
      <c r="J357" s="13" t="s">
        <v>224</v>
      </c>
      <c r="K357" s="13" t="s">
        <v>244</v>
      </c>
      <c r="L357" s="13" t="s">
        <v>245</v>
      </c>
      <c r="M357" s="13" t="s">
        <v>271</v>
      </c>
      <c r="N357" s="140" t="s">
        <v>218</v>
      </c>
      <c r="O357" s="13"/>
      <c r="P357" s="13"/>
      <c r="Q357" s="13"/>
      <c r="R357" s="13"/>
      <c r="S357" s="13" t="s">
        <v>180</v>
      </c>
      <c r="T357" s="13" t="s">
        <v>38</v>
      </c>
      <c r="U357" s="136" t="s">
        <v>40</v>
      </c>
      <c r="V357" s="13" t="s">
        <v>181</v>
      </c>
      <c r="W357" s="13" t="s">
        <v>182</v>
      </c>
      <c r="X357" s="13" t="s">
        <v>183</v>
      </c>
      <c r="Y357" s="136" t="s">
        <v>46</v>
      </c>
      <c r="Z357" s="136" t="s">
        <v>48</v>
      </c>
      <c r="AA357" s="136" t="s">
        <v>50</v>
      </c>
      <c r="AB357" s="66" t="s">
        <v>184</v>
      </c>
    </row>
    <row r="358" spans="1:29" x14ac:dyDescent="0.2">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x14ac:dyDescent="0.2">
      <c r="A359" s="1" t="s">
        <v>228</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69</v>
      </c>
      <c r="G359" s="17">
        <f>SUM(J359:M359,O359:P359,R359:AA359)</f>
        <v>54.99</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0.01</v>
      </c>
      <c r="U359" s="17">
        <f t="shared" si="23"/>
        <v>0</v>
      </c>
      <c r="V359" s="17">
        <f t="shared" si="23"/>
        <v>-0.01</v>
      </c>
      <c r="W359" s="17">
        <f t="shared" si="23"/>
        <v>0</v>
      </c>
      <c r="X359" s="17">
        <f t="shared" si="23"/>
        <v>-0.01</v>
      </c>
      <c r="Y359" s="17">
        <f t="shared" si="23"/>
        <v>0</v>
      </c>
      <c r="Z359" s="17">
        <f t="shared" si="23"/>
        <v>0</v>
      </c>
      <c r="AA359" s="17">
        <f t="shared" si="23"/>
        <v>0</v>
      </c>
      <c r="AB359" s="19">
        <f>SUM(U354:AA354)</f>
        <v>2.9364999999999999E-2</v>
      </c>
      <c r="AC359" s="67" t="str">
        <f>+F359</f>
        <v>SE</v>
      </c>
    </row>
    <row r="360" spans="1:29" x14ac:dyDescent="0.2">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x14ac:dyDescent="0.2">
      <c r="A361" s="1" t="s">
        <v>229</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69</v>
      </c>
      <c r="G361" s="17">
        <f>SUM(J361:M361,O361:P361,R361:AA361)</f>
        <v>54.99</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0.01</v>
      </c>
      <c r="U361" s="17">
        <f t="shared" si="24"/>
        <v>0</v>
      </c>
      <c r="V361" s="17">
        <f t="shared" si="24"/>
        <v>-0.01</v>
      </c>
      <c r="W361" s="17">
        <f t="shared" si="24"/>
        <v>0</v>
      </c>
      <c r="X361" s="17">
        <f t="shared" si="24"/>
        <v>-0.01</v>
      </c>
      <c r="Y361" s="17">
        <f t="shared" si="24"/>
        <v>0</v>
      </c>
      <c r="Z361" s="17">
        <f t="shared" si="24"/>
        <v>0</v>
      </c>
      <c r="AA361" s="17">
        <f t="shared" si="24"/>
        <v>0</v>
      </c>
      <c r="AB361" s="19">
        <f>SUM(U356:AA356)</f>
        <v>133</v>
      </c>
      <c r="AC361" s="67" t="str">
        <f>+F361</f>
        <v>SE</v>
      </c>
    </row>
    <row r="362" spans="1:29" x14ac:dyDescent="0.2">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x14ac:dyDescent="0.2">
      <c r="A363" s="1" t="s">
        <v>230</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69</v>
      </c>
      <c r="G363" s="17">
        <f>SUM(J363:M363,O363:P363,R363:AA363)</f>
        <v>54.99</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0.01</v>
      </c>
      <c r="U363" s="17">
        <f t="shared" si="25"/>
        <v>0</v>
      </c>
      <c r="V363" s="17">
        <f t="shared" si="25"/>
        <v>-0.01</v>
      </c>
      <c r="W363" s="17">
        <f t="shared" si="25"/>
        <v>0</v>
      </c>
      <c r="X363" s="17">
        <f t="shared" si="25"/>
        <v>-0.01</v>
      </c>
      <c r="Y363" s="17">
        <f t="shared" si="25"/>
        <v>0</v>
      </c>
      <c r="Z363" s="17">
        <f t="shared" si="25"/>
        <v>0</v>
      </c>
      <c r="AA363" s="17">
        <f t="shared" si="25"/>
        <v>0</v>
      </c>
      <c r="AB363" s="19">
        <f>SUM(U358:AA358)</f>
        <v>0</v>
      </c>
      <c r="AC363" s="67" t="str">
        <f>+F363</f>
        <v>SE</v>
      </c>
    </row>
    <row r="364" spans="1:29" x14ac:dyDescent="0.2">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x14ac:dyDescent="0.2">
      <c r="A365" s="1" t="s">
        <v>246</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69</v>
      </c>
      <c r="G365" s="17">
        <f>SUM(J365:M365,O365:P365,R365:AA365)</f>
        <v>54.99</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0.01</v>
      </c>
      <c r="U365" s="17">
        <f t="shared" si="26"/>
        <v>0</v>
      </c>
      <c r="V365" s="17">
        <f t="shared" si="26"/>
        <v>-0.01</v>
      </c>
      <c r="W365" s="17">
        <f t="shared" si="26"/>
        <v>0</v>
      </c>
      <c r="X365" s="17">
        <f t="shared" si="26"/>
        <v>-0.01</v>
      </c>
      <c r="Y365" s="17">
        <f t="shared" si="26"/>
        <v>0</v>
      </c>
      <c r="Z365" s="17">
        <f t="shared" si="26"/>
        <v>0</v>
      </c>
      <c r="AA365" s="17">
        <f t="shared" si="26"/>
        <v>0</v>
      </c>
      <c r="AB365" s="19">
        <f>SUM(U360:AA360)</f>
        <v>0</v>
      </c>
      <c r="AC365" s="67" t="str">
        <f>+F365</f>
        <v>SE</v>
      </c>
    </row>
    <row r="366" spans="1:29" x14ac:dyDescent="0.2">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x14ac:dyDescent="0.2">
      <c r="A367" s="1" t="s">
        <v>227</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69</v>
      </c>
      <c r="G367" s="17">
        <f>SUM(J367:M367,O367:P367,R367:AA367)</f>
        <v>54.99</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0.01</v>
      </c>
      <c r="U367" s="17">
        <f t="shared" si="27"/>
        <v>0</v>
      </c>
      <c r="V367" s="17">
        <f t="shared" si="27"/>
        <v>-0.01</v>
      </c>
      <c r="W367" s="17">
        <f t="shared" si="27"/>
        <v>0</v>
      </c>
      <c r="X367" s="17">
        <f t="shared" si="27"/>
        <v>-0.01</v>
      </c>
      <c r="Y367" s="17">
        <f t="shared" si="27"/>
        <v>0</v>
      </c>
      <c r="Z367" s="17">
        <f t="shared" si="27"/>
        <v>0</v>
      </c>
      <c r="AA367" s="17">
        <f t="shared" si="27"/>
        <v>0</v>
      </c>
      <c r="AB367" s="19">
        <f>SUM(U362:AA362)</f>
        <v>0</v>
      </c>
      <c r="AC367" s="67" t="str">
        <f>+F367</f>
        <v>SE</v>
      </c>
    </row>
    <row r="368" spans="1:29" x14ac:dyDescent="0.2">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x14ac:dyDescent="0.2">
      <c r="A369" s="1" t="s">
        <v>228</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272</v>
      </c>
      <c r="G369" s="17">
        <f>SUM(J369:M369,O369:P369,R369:AA369)</f>
        <v>55</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0.01</v>
      </c>
      <c r="U369" s="17">
        <f>ROUND($B369*U$354,2)</f>
        <v>0</v>
      </c>
      <c r="V369" s="17">
        <f>ROUND($B369*V$344,2)</f>
        <v>0</v>
      </c>
      <c r="W369" s="17">
        <f>ROUND($B369*W$354,2)</f>
        <v>0</v>
      </c>
      <c r="X369" s="17">
        <f>ROUND($B369*X$354,2)</f>
        <v>-0.01</v>
      </c>
      <c r="Y369" s="17">
        <f>ROUND($B369*Y$354,2)</f>
        <v>0</v>
      </c>
      <c r="Z369" s="17">
        <f>ROUND($B369*Z$354,2)</f>
        <v>0</v>
      </c>
      <c r="AA369" s="17">
        <f>ROUND($B369*AA$354,2)</f>
        <v>0</v>
      </c>
      <c r="AB369" s="19">
        <f>SUM(U364:AA364)</f>
        <v>0</v>
      </c>
      <c r="AC369" s="67" t="str">
        <f>+F369</f>
        <v>SE7</v>
      </c>
    </row>
    <row r="370" spans="1:29" x14ac:dyDescent="0.2">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x14ac:dyDescent="0.2">
      <c r="A371" s="1" t="s">
        <v>229</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272</v>
      </c>
      <c r="G371" s="17">
        <f>SUM(J371:M371,O371:P371,R371:AA371)</f>
        <v>55</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0.01</v>
      </c>
      <c r="U371" s="17">
        <f>ROUND($B371*U$354,2)</f>
        <v>0</v>
      </c>
      <c r="V371" s="17">
        <f>ROUND($B371*V$344,2)</f>
        <v>0</v>
      </c>
      <c r="W371" s="17">
        <f>ROUND($B371*W$354,2)</f>
        <v>0</v>
      </c>
      <c r="X371" s="17">
        <f>ROUND($B371*X$354,2)</f>
        <v>-0.01</v>
      </c>
      <c r="Y371" s="17">
        <f>ROUND($B371*Y$354,2)</f>
        <v>0</v>
      </c>
      <c r="Z371" s="17">
        <f>ROUND($B371*Z$354,2)</f>
        <v>0</v>
      </c>
      <c r="AA371" s="17">
        <f>ROUND($B371*AA$354,2)</f>
        <v>0</v>
      </c>
      <c r="AB371" s="19">
        <f>SUM(U366:AA366)</f>
        <v>0</v>
      </c>
      <c r="AC371" s="67" t="str">
        <f>+F371</f>
        <v>SE7</v>
      </c>
    </row>
    <row r="372" spans="1:29" x14ac:dyDescent="0.2">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x14ac:dyDescent="0.2">
      <c r="A373" s="1" t="s">
        <v>230</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272</v>
      </c>
      <c r="G373" s="17">
        <f>SUM(J373:M373,O373:P373,R373:AA373)</f>
        <v>55</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0.01</v>
      </c>
      <c r="U373" s="17">
        <f>ROUND($B373*U$354,2)</f>
        <v>0</v>
      </c>
      <c r="V373" s="17">
        <f>ROUND($B373*V$344,2)</f>
        <v>0</v>
      </c>
      <c r="W373" s="17">
        <f>ROUND($B373*W$354,2)</f>
        <v>0</v>
      </c>
      <c r="X373" s="17">
        <f>ROUND($B373*X$354,2)</f>
        <v>-0.01</v>
      </c>
      <c r="Y373" s="17">
        <f>ROUND($B373*Y$354,2)</f>
        <v>0</v>
      </c>
      <c r="Z373" s="17">
        <f>ROUND($B373*Z$354,2)</f>
        <v>0</v>
      </c>
      <c r="AA373" s="17">
        <f>ROUND($B373*AA$354,2)</f>
        <v>0</v>
      </c>
      <c r="AB373" s="19">
        <f>SUM(U368:AA368)</f>
        <v>0</v>
      </c>
      <c r="AC373" s="67" t="str">
        <f>+F373</f>
        <v>SE7</v>
      </c>
    </row>
    <row r="374" spans="1:29" x14ac:dyDescent="0.2">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x14ac:dyDescent="0.2">
      <c r="A375" s="1" t="s">
        <v>246</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272</v>
      </c>
      <c r="G375" s="17">
        <f>SUM(J375:M375,O375:P375,R375:AA375)</f>
        <v>55</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0.01</v>
      </c>
      <c r="U375" s="17">
        <f>ROUND($B375*U$354,2)</f>
        <v>0</v>
      </c>
      <c r="V375" s="17">
        <f>ROUND($B375*V$344,2)</f>
        <v>0</v>
      </c>
      <c r="W375" s="17">
        <f>ROUND($B375*W$354,2)</f>
        <v>0</v>
      </c>
      <c r="X375" s="17">
        <f>ROUND($B375*X$354,2)</f>
        <v>-0.01</v>
      </c>
      <c r="Y375" s="17">
        <f>ROUND($B375*Y$354,2)</f>
        <v>0</v>
      </c>
      <c r="Z375" s="17">
        <f>ROUND($B375*Z$354,2)</f>
        <v>0</v>
      </c>
      <c r="AA375" s="17">
        <f>ROUND($B375*AA$354,2)</f>
        <v>0</v>
      </c>
      <c r="AB375" s="19">
        <f>SUM(U370:AA370)</f>
        <v>0</v>
      </c>
      <c r="AC375" s="67" t="str">
        <f>+F375</f>
        <v>SE7</v>
      </c>
    </row>
    <row r="376" spans="1:29" x14ac:dyDescent="0.2">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x14ac:dyDescent="0.2">
      <c r="A377" s="1" t="s">
        <v>227</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272</v>
      </c>
      <c r="G377" s="17">
        <f>SUM(J377:M377,O377:P377,R377:AA377)</f>
        <v>55</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0.01</v>
      </c>
      <c r="U377" s="17">
        <f>ROUND($B377*U$354,2)</f>
        <v>0</v>
      </c>
      <c r="V377" s="17">
        <f>ROUND($B377*V$344,2)</f>
        <v>0</v>
      </c>
      <c r="W377" s="17">
        <f>ROUND($B377*W$354,2)</f>
        <v>0</v>
      </c>
      <c r="X377" s="17">
        <f>ROUND($B377*X$354,2)</f>
        <v>-0.01</v>
      </c>
      <c r="Y377" s="17">
        <f>ROUND($B377*Y$354,2)</f>
        <v>0</v>
      </c>
      <c r="Z377" s="17">
        <f>ROUND($B377*Z$354,2)</f>
        <v>0</v>
      </c>
      <c r="AA377" s="17">
        <f>ROUND($B377*AA$354,2)</f>
        <v>0</v>
      </c>
      <c r="AB377" s="19">
        <f>SUM(U372:AA372)</f>
        <v>0</v>
      </c>
      <c r="AC377" s="67" t="str">
        <f>+F377</f>
        <v>SE7</v>
      </c>
    </row>
    <row r="378" spans="1:29" x14ac:dyDescent="0.2">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x14ac:dyDescent="0.2">
      <c r="A379" s="1" t="s">
        <v>228</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273</v>
      </c>
      <c r="G379" s="17">
        <f>SUM(J379:M379,O379:P379,R379:AA379)</f>
        <v>55</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0.01</v>
      </c>
      <c r="U379" s="17">
        <f>ROUND($B379*U$354,2)</f>
        <v>0</v>
      </c>
      <c r="V379" s="17">
        <f>ROUND($B379*V$345,2)</f>
        <v>0</v>
      </c>
      <c r="W379" s="17">
        <f>ROUND($B379*W$354,2)</f>
        <v>0</v>
      </c>
      <c r="X379" s="17">
        <f>ROUND($B379*X$354,2)</f>
        <v>-0.01</v>
      </c>
      <c r="Y379" s="17">
        <f>ROUND($B379*Y$354,2)</f>
        <v>0</v>
      </c>
      <c r="Z379" s="17">
        <f>ROUND($B379*Z$354,2)</f>
        <v>0</v>
      </c>
      <c r="AA379" s="17">
        <f>ROUND($B379*AA$354,2)</f>
        <v>0</v>
      </c>
      <c r="AB379" s="19">
        <f>SUM(U374:AA374)</f>
        <v>0</v>
      </c>
      <c r="AC379" s="67" t="str">
        <f>+F379</f>
        <v>SE8</v>
      </c>
    </row>
    <row r="380" spans="1:29" x14ac:dyDescent="0.2">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x14ac:dyDescent="0.2">
      <c r="A381" s="1" t="s">
        <v>229</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273</v>
      </c>
      <c r="G381" s="17">
        <f>SUM(J381:M381,O381:P381,R381:AA381)</f>
        <v>55</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0.01</v>
      </c>
      <c r="U381" s="17">
        <f>ROUND($B381*U$354,2)</f>
        <v>0</v>
      </c>
      <c r="V381" s="17">
        <f>ROUND($B381*V$345,2)</f>
        <v>0</v>
      </c>
      <c r="W381" s="17">
        <f>ROUND($B381*W$354,2)</f>
        <v>0</v>
      </c>
      <c r="X381" s="17">
        <f>ROUND($B381*X$354,2)</f>
        <v>-0.01</v>
      </c>
      <c r="Y381" s="17">
        <f>ROUND($B381*Y$354,2)</f>
        <v>0</v>
      </c>
      <c r="Z381" s="17">
        <f>ROUND($B381*Z$354,2)</f>
        <v>0</v>
      </c>
      <c r="AA381" s="17">
        <f>ROUND($B381*AA$354,2)</f>
        <v>0</v>
      </c>
      <c r="AB381" s="19">
        <f>SUM(U376:AA376)</f>
        <v>0</v>
      </c>
      <c r="AC381" s="67" t="str">
        <f>+F381</f>
        <v>SE8</v>
      </c>
    </row>
    <row r="382" spans="1:29" x14ac:dyDescent="0.2">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x14ac:dyDescent="0.2">
      <c r="A383" s="1" t="s">
        <v>230</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273</v>
      </c>
      <c r="G383" s="17">
        <f>SUM(J383:M383,O383:P383,R383:AA383)</f>
        <v>55</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0.01</v>
      </c>
      <c r="U383" s="17">
        <f>ROUND($B383*U$354,2)</f>
        <v>0</v>
      </c>
      <c r="V383" s="17">
        <f>ROUND($B383*V$345,2)</f>
        <v>0</v>
      </c>
      <c r="W383" s="17">
        <f>ROUND($B383*W$354,2)</f>
        <v>0</v>
      </c>
      <c r="X383" s="17">
        <f>ROUND($B383*X$354,2)</f>
        <v>-0.01</v>
      </c>
      <c r="Y383" s="17">
        <f>ROUND($B383*Y$354,2)</f>
        <v>0</v>
      </c>
      <c r="Z383" s="17">
        <f>ROUND($B383*Z$354,2)</f>
        <v>0</v>
      </c>
      <c r="AA383" s="17">
        <f>ROUND($B383*AA$354,2)</f>
        <v>0</v>
      </c>
      <c r="AB383" s="19">
        <f>SUM(U378:AA378)</f>
        <v>0</v>
      </c>
      <c r="AC383" s="67" t="str">
        <f>+F383</f>
        <v>SE8</v>
      </c>
    </row>
    <row r="384" spans="1:29" x14ac:dyDescent="0.2">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x14ac:dyDescent="0.2">
      <c r="A385" s="1" t="s">
        <v>246</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273</v>
      </c>
      <c r="G385" s="17">
        <f>SUM(J385:M385,O385:P385,R385:AA385)</f>
        <v>55</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0.01</v>
      </c>
      <c r="U385" s="17">
        <f>ROUND($B385*U$354,2)</f>
        <v>0</v>
      </c>
      <c r="V385" s="17">
        <f>ROUND($B385*V$345,2)</f>
        <v>0</v>
      </c>
      <c r="W385" s="17">
        <f>ROUND($B385*W$354,2)</f>
        <v>0</v>
      </c>
      <c r="X385" s="17">
        <f>ROUND($B385*X$354,2)</f>
        <v>-0.01</v>
      </c>
      <c r="Y385" s="17">
        <f>ROUND($B385*Y$354,2)</f>
        <v>0</v>
      </c>
      <c r="Z385" s="17">
        <f>ROUND($B385*Z$354,2)</f>
        <v>0</v>
      </c>
      <c r="AA385" s="17">
        <f>ROUND($B385*AA$354,2)</f>
        <v>0</v>
      </c>
      <c r="AB385" s="19">
        <f>SUM(U380:AA380)</f>
        <v>0</v>
      </c>
      <c r="AC385" s="67" t="str">
        <f>+F385</f>
        <v>SE8</v>
      </c>
    </row>
    <row r="386" spans="1:29" x14ac:dyDescent="0.2">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x14ac:dyDescent="0.2">
      <c r="A387" s="1" t="s">
        <v>227</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273</v>
      </c>
      <c r="G387" s="17">
        <f>SUM(J387:M387,O387:P387,R387:AA387)</f>
        <v>55</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0.01</v>
      </c>
      <c r="U387" s="17">
        <f>ROUND($B387*U$354,2)</f>
        <v>0</v>
      </c>
      <c r="V387" s="17">
        <f>ROUND($B387*V$345,2)</f>
        <v>0</v>
      </c>
      <c r="W387" s="17">
        <f>ROUND($B387*W$354,2)</f>
        <v>0</v>
      </c>
      <c r="X387" s="17">
        <f>ROUND($B387*X$354,2)</f>
        <v>-0.01</v>
      </c>
      <c r="Y387" s="17">
        <f>ROUND($B387*Y$354,2)</f>
        <v>0</v>
      </c>
      <c r="Z387" s="17">
        <f>ROUND($B387*Z$354,2)</f>
        <v>0</v>
      </c>
      <c r="AA387" s="17">
        <f>ROUND($B387*AA$354,2)</f>
        <v>0</v>
      </c>
      <c r="AB387" s="19">
        <f>SUM(U382:AA382)</f>
        <v>0</v>
      </c>
      <c r="AC387" s="67" t="str">
        <f>+F387</f>
        <v>SE8</v>
      </c>
    </row>
    <row r="388" spans="1:29" x14ac:dyDescent="0.2">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x14ac:dyDescent="0.2">
      <c r="A389" s="1" t="s">
        <v>228</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274</v>
      </c>
      <c r="G389" s="17">
        <f>SUM(J389:M389,O389:P389,R389:AA389)</f>
        <v>55</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0.01</v>
      </c>
      <c r="U389" s="17">
        <f>ROUND($B389*U$354,2)</f>
        <v>0</v>
      </c>
      <c r="V389" s="17">
        <f>ROUND($B389*V$346,2)</f>
        <v>0</v>
      </c>
      <c r="W389" s="17">
        <f>ROUND($B389*W$354,2)</f>
        <v>0</v>
      </c>
      <c r="X389" s="17">
        <f>ROUND($B389*X$354,2)</f>
        <v>-0.01</v>
      </c>
      <c r="Y389" s="17">
        <f>ROUND($B389*Y$354,2)</f>
        <v>0</v>
      </c>
      <c r="Z389" s="17">
        <f>ROUND($B389*Z$354,2)</f>
        <v>0</v>
      </c>
      <c r="AA389" s="17">
        <f>ROUND($B389*AA$354,2)</f>
        <v>0</v>
      </c>
      <c r="AB389" s="19">
        <f>SUM(U384:AA384)</f>
        <v>0</v>
      </c>
      <c r="AC389" s="67" t="str">
        <f>+F389</f>
        <v>SE9</v>
      </c>
    </row>
    <row r="390" spans="1:29" x14ac:dyDescent="0.2">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x14ac:dyDescent="0.2">
      <c r="A391" s="1" t="s">
        <v>229</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274</v>
      </c>
      <c r="G391" s="17">
        <f>SUM(J391:M391,O391:P391,R391:AA391)</f>
        <v>55</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0.01</v>
      </c>
      <c r="U391" s="17">
        <f>ROUND($B391*U$354,2)</f>
        <v>0</v>
      </c>
      <c r="V391" s="17">
        <f>ROUND($B391*V$346,2)</f>
        <v>0</v>
      </c>
      <c r="W391" s="17">
        <f>ROUND($B391*W$354,2)</f>
        <v>0</v>
      </c>
      <c r="X391" s="17">
        <f>ROUND($B391*X$354,2)</f>
        <v>-0.01</v>
      </c>
      <c r="Y391" s="17">
        <f>ROUND($B391*Y$354,2)</f>
        <v>0</v>
      </c>
      <c r="Z391" s="17">
        <f>ROUND($B391*Z$354,2)</f>
        <v>0</v>
      </c>
      <c r="AA391" s="17">
        <f>ROUND($B391*AA$354,2)</f>
        <v>0</v>
      </c>
      <c r="AB391" s="19">
        <f>SUM(U386:AA386)</f>
        <v>0</v>
      </c>
      <c r="AC391" s="67" t="str">
        <f>+F391</f>
        <v>SE9</v>
      </c>
    </row>
    <row r="392" spans="1:29" x14ac:dyDescent="0.2">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x14ac:dyDescent="0.2">
      <c r="A393" s="1" t="s">
        <v>230</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274</v>
      </c>
      <c r="G393" s="17">
        <f>SUM(J393:M393,O393:P393,R393:AA393)</f>
        <v>55</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0.01</v>
      </c>
      <c r="U393" s="17">
        <f>ROUND($B393*U$354,2)</f>
        <v>0</v>
      </c>
      <c r="V393" s="17">
        <f>ROUND($B393*V$346,2)</f>
        <v>0</v>
      </c>
      <c r="W393" s="17">
        <f>ROUND($B393*W$354,2)</f>
        <v>0</v>
      </c>
      <c r="X393" s="17">
        <f>ROUND($B393*X$354,2)</f>
        <v>-0.01</v>
      </c>
      <c r="Y393" s="17">
        <f>ROUND($B393*Y$354,2)</f>
        <v>0</v>
      </c>
      <c r="Z393" s="17">
        <f>ROUND($B393*Z$354,2)</f>
        <v>0</v>
      </c>
      <c r="AA393" s="17">
        <f>ROUND($B393*AA$354,2)</f>
        <v>0</v>
      </c>
      <c r="AB393" s="19">
        <f>SUM(U388:AA388)</f>
        <v>0</v>
      </c>
      <c r="AC393" s="67" t="str">
        <f>+F393</f>
        <v>SE9</v>
      </c>
    </row>
    <row r="394" spans="1:29" x14ac:dyDescent="0.2">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x14ac:dyDescent="0.2">
      <c r="A395" s="1" t="s">
        <v>246</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274</v>
      </c>
      <c r="G395" s="17">
        <f>SUM(J395:M395,O395:P395,R395:AA395)</f>
        <v>55</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0.01</v>
      </c>
      <c r="U395" s="17">
        <f>ROUND($B395*U$354,2)</f>
        <v>0</v>
      </c>
      <c r="V395" s="17">
        <f>ROUND($B395*V$346,2)</f>
        <v>0</v>
      </c>
      <c r="W395" s="17">
        <f>ROUND($B395*W$354,2)</f>
        <v>0</v>
      </c>
      <c r="X395" s="17">
        <f>ROUND($B395*X$354,2)</f>
        <v>-0.01</v>
      </c>
      <c r="Y395" s="17">
        <f>ROUND($B395*Y$354,2)</f>
        <v>0</v>
      </c>
      <c r="Z395" s="17">
        <f>ROUND($B395*Z$354,2)</f>
        <v>0</v>
      </c>
      <c r="AA395" s="17">
        <f>ROUND($B395*AA$354,2)</f>
        <v>0</v>
      </c>
      <c r="AB395" s="19">
        <f>SUM(U390:AA390)</f>
        <v>0</v>
      </c>
      <c r="AC395" s="67" t="str">
        <f>+F395</f>
        <v>SE9</v>
      </c>
    </row>
    <row r="396" spans="1:29" x14ac:dyDescent="0.2">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x14ac:dyDescent="0.2">
      <c r="A397" s="1" t="s">
        <v>227</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274</v>
      </c>
      <c r="G397" s="17">
        <f>SUM(J397:M397,O397:P397,R397:AA397)</f>
        <v>55</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0.01</v>
      </c>
      <c r="U397" s="17">
        <f>ROUND($B397*U$354,2)</f>
        <v>0</v>
      </c>
      <c r="V397" s="17">
        <f>ROUND($B397*V$346,2)</f>
        <v>0</v>
      </c>
      <c r="W397" s="17">
        <f>ROUND($B397*W$354,2)</f>
        <v>0</v>
      </c>
      <c r="X397" s="17">
        <f>ROUND($B397*X$354,2)</f>
        <v>-0.01</v>
      </c>
      <c r="Y397" s="17">
        <f>ROUND($B397*Y$354,2)</f>
        <v>0</v>
      </c>
      <c r="Z397" s="17">
        <f>ROUND($B397*Z$354,2)</f>
        <v>0</v>
      </c>
      <c r="AA397" s="17">
        <f>ROUND($B397*AA$354,2)</f>
        <v>0</v>
      </c>
      <c r="AB397" s="19">
        <f>SUM(U392:AA392)</f>
        <v>0</v>
      </c>
      <c r="AC397" s="67" t="str">
        <f>+F397</f>
        <v>SE9</v>
      </c>
    </row>
    <row r="398" spans="1:29" x14ac:dyDescent="0.2">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x14ac:dyDescent="0.2">
      <c r="A399" s="1" t="s">
        <v>228</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275</v>
      </c>
      <c r="G399" s="17">
        <f>SUM(J399:M399,O399:P399,R399:AA399)</f>
        <v>55</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0.01</v>
      </c>
      <c r="U399" s="17">
        <f>ROUND($B399*U$354,2)</f>
        <v>0</v>
      </c>
      <c r="V399" s="17">
        <f>ROUND($B399*V$347,2)</f>
        <v>0</v>
      </c>
      <c r="W399" s="17">
        <f>ROUND($B399*W$354,2)</f>
        <v>0</v>
      </c>
      <c r="X399" s="17">
        <f>ROUND($B399*X$354,2)</f>
        <v>-0.01</v>
      </c>
      <c r="Y399" s="17">
        <f>ROUND($B399*Y$354,2)</f>
        <v>0</v>
      </c>
      <c r="Z399" s="17">
        <f>ROUND($B399*Z$354,2)</f>
        <v>0</v>
      </c>
      <c r="AA399" s="17">
        <f>ROUND($B399*AA$354,2)</f>
        <v>0</v>
      </c>
      <c r="AB399" s="19">
        <f>SUM(U394:AA394)</f>
        <v>0</v>
      </c>
      <c r="AC399" s="67" t="str">
        <f>+F399</f>
        <v>SE0</v>
      </c>
    </row>
    <row r="400" spans="1:29" x14ac:dyDescent="0.2">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x14ac:dyDescent="0.2">
      <c r="A401" s="1" t="s">
        <v>229</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275</v>
      </c>
      <c r="G401" s="17">
        <f>SUM(J401:M401,O401:P401,R401:AA401)</f>
        <v>55</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0.01</v>
      </c>
      <c r="U401" s="17">
        <f>ROUND($B401*U$354,2)</f>
        <v>0</v>
      </c>
      <c r="V401" s="17">
        <f>ROUND($B401*V$347,2)</f>
        <v>0</v>
      </c>
      <c r="W401" s="17">
        <f>ROUND($B401*W$354,2)</f>
        <v>0</v>
      </c>
      <c r="X401" s="17">
        <f>ROUND($B401*X$354,2)</f>
        <v>-0.01</v>
      </c>
      <c r="Y401" s="17">
        <f>ROUND($B401*Y$354,2)</f>
        <v>0</v>
      </c>
      <c r="Z401" s="17">
        <f>ROUND($B401*Z$354,2)</f>
        <v>0</v>
      </c>
      <c r="AA401" s="17">
        <f>ROUND($B401*AA$354,2)</f>
        <v>0</v>
      </c>
      <c r="AB401" s="19">
        <f>SUM(U396:AA396)</f>
        <v>0</v>
      </c>
      <c r="AC401" s="67" t="str">
        <f>+F401</f>
        <v>SE0</v>
      </c>
    </row>
    <row r="402" spans="1:29" x14ac:dyDescent="0.2">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x14ac:dyDescent="0.2">
      <c r="A403" s="1" t="s">
        <v>230</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275</v>
      </c>
      <c r="G403" s="17">
        <f>SUM(J403:M403,O403:P403,R403:AA403)</f>
        <v>55</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0.01</v>
      </c>
      <c r="U403" s="17">
        <f>ROUND($B403*U$354,2)</f>
        <v>0</v>
      </c>
      <c r="V403" s="17">
        <f>ROUND($B403*V$347,2)</f>
        <v>0</v>
      </c>
      <c r="W403" s="17">
        <f>ROUND($B403*W$354,2)</f>
        <v>0</v>
      </c>
      <c r="X403" s="17">
        <f>ROUND($B403*X$354,2)</f>
        <v>-0.01</v>
      </c>
      <c r="Y403" s="17">
        <f>ROUND($B403*Y$354,2)</f>
        <v>0</v>
      </c>
      <c r="Z403" s="17">
        <f>ROUND($B403*Z$354,2)</f>
        <v>0</v>
      </c>
      <c r="AA403" s="17">
        <f>ROUND($B403*AA$354,2)</f>
        <v>0</v>
      </c>
      <c r="AB403" s="19">
        <f>SUM(U398:AA398)</f>
        <v>0</v>
      </c>
      <c r="AC403" s="67" t="str">
        <f>+F403</f>
        <v>SE0</v>
      </c>
    </row>
    <row r="404" spans="1:29" x14ac:dyDescent="0.2">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x14ac:dyDescent="0.2">
      <c r="A405" s="1" t="s">
        <v>246</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275</v>
      </c>
      <c r="G405" s="17">
        <f>SUM(J405:M405,O405:P405,R405:AA405)</f>
        <v>55</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0.01</v>
      </c>
      <c r="U405" s="17">
        <f>ROUND($B405*U$354,2)</f>
        <v>0</v>
      </c>
      <c r="V405" s="17">
        <f>ROUND($B405*V$347,2)</f>
        <v>0</v>
      </c>
      <c r="W405" s="17">
        <f>ROUND($B405*W$354,2)</f>
        <v>0</v>
      </c>
      <c r="X405" s="17">
        <f>ROUND($B405*X$354,2)</f>
        <v>-0.01</v>
      </c>
      <c r="Y405" s="17">
        <f>ROUND($B405*Y$354,2)</f>
        <v>0</v>
      </c>
      <c r="Z405" s="17">
        <f>ROUND($B405*Z$354,2)</f>
        <v>0</v>
      </c>
      <c r="AA405" s="17">
        <f>ROUND($B405*AA$354,2)</f>
        <v>0</v>
      </c>
      <c r="AB405" s="19">
        <f>SUM(U400:AA400)</f>
        <v>0</v>
      </c>
      <c r="AC405" s="67" t="str">
        <f>+F405</f>
        <v>SE0</v>
      </c>
    </row>
    <row r="406" spans="1:29" x14ac:dyDescent="0.2">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x14ac:dyDescent="0.2">
      <c r="A407" s="1" t="s">
        <v>227</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275</v>
      </c>
      <c r="G407" s="17">
        <f>SUM(J407:M407,O407:P407,R407:AA407)</f>
        <v>55</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0.01</v>
      </c>
      <c r="U407" s="17">
        <f>ROUND($B407*U$354,2)</f>
        <v>0</v>
      </c>
      <c r="V407" s="17">
        <f>ROUND($B407*V$347,2)</f>
        <v>0</v>
      </c>
      <c r="W407" s="17">
        <f>ROUND($B407*W$354,2)</f>
        <v>0</v>
      </c>
      <c r="X407" s="17">
        <f>ROUND($B407*X$354,2)</f>
        <v>-0.01</v>
      </c>
      <c r="Y407" s="17">
        <f>ROUND($B407*Y$354,2)</f>
        <v>0</v>
      </c>
      <c r="Z407" s="17">
        <f>ROUND($B407*Z$354,2)</f>
        <v>0</v>
      </c>
      <c r="AA407" s="17">
        <f>ROUND($B407*AA$354,2)</f>
        <v>0</v>
      </c>
      <c r="AB407" s="19">
        <f>SUM(U402:AA402)</f>
        <v>0</v>
      </c>
      <c r="AC407" s="67" t="str">
        <f>+F407</f>
        <v>SE0</v>
      </c>
    </row>
    <row r="408" spans="1:29" x14ac:dyDescent="0.2">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x14ac:dyDescent="0.2">
      <c r="A409" s="1" t="s">
        <v>228</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276</v>
      </c>
      <c r="G409" s="17">
        <f>SUM(J409:M409,O409:P409,R409:AA409)</f>
        <v>55</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0.01</v>
      </c>
      <c r="U409" s="17">
        <f>ROUND($B409*U$354,2)</f>
        <v>0</v>
      </c>
      <c r="V409" s="17">
        <f>ROUND($B409*V$348,2)</f>
        <v>0</v>
      </c>
      <c r="W409" s="17">
        <f>ROUND($B409*W$354,2)</f>
        <v>0</v>
      </c>
      <c r="X409" s="17">
        <f>ROUND($B409*X$354,2)</f>
        <v>-0.01</v>
      </c>
      <c r="Y409" s="17">
        <f>ROUND($B409*Y$354,2)</f>
        <v>0</v>
      </c>
      <c r="Z409" s="17">
        <f>ROUND($B409*Z$354,2)</f>
        <v>0</v>
      </c>
      <c r="AA409" s="17">
        <f>ROUND($B409*AA$354,2)</f>
        <v>0</v>
      </c>
      <c r="AB409" s="19">
        <f>SUM(U404:AA404)</f>
        <v>0</v>
      </c>
      <c r="AC409" s="67" t="str">
        <f>+F409</f>
        <v>SE1</v>
      </c>
    </row>
    <row r="410" spans="1:29" x14ac:dyDescent="0.2">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x14ac:dyDescent="0.2">
      <c r="A411" s="1" t="s">
        <v>229</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276</v>
      </c>
      <c r="G411" s="17">
        <f>SUM(J411:M411,O411:P411,R411:AA411)</f>
        <v>55</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0.01</v>
      </c>
      <c r="U411" s="17">
        <f>ROUND($B411*U$354,2)</f>
        <v>0</v>
      </c>
      <c r="V411" s="17">
        <f>ROUND($B411*V$348,2)</f>
        <v>0</v>
      </c>
      <c r="W411" s="17">
        <f>ROUND($B411*W$354,2)</f>
        <v>0</v>
      </c>
      <c r="X411" s="17">
        <f>ROUND($B411*X$354,2)</f>
        <v>-0.01</v>
      </c>
      <c r="Y411" s="17">
        <f>ROUND($B411*Y$354,2)</f>
        <v>0</v>
      </c>
      <c r="Z411" s="17">
        <f>ROUND($B411*Z$354,2)</f>
        <v>0</v>
      </c>
      <c r="AA411" s="17">
        <f>ROUND($B411*AA$354,2)</f>
        <v>0</v>
      </c>
      <c r="AB411" s="19">
        <f>SUM(U406:AA406)</f>
        <v>0</v>
      </c>
      <c r="AC411" s="67" t="str">
        <f>+F411</f>
        <v>SE1</v>
      </c>
    </row>
    <row r="412" spans="1:29" x14ac:dyDescent="0.2">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x14ac:dyDescent="0.2">
      <c r="A413" s="1" t="s">
        <v>230</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276</v>
      </c>
      <c r="G413" s="17">
        <f>SUM(J413:M413,O413:P413,R413:AA413)</f>
        <v>55</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0.01</v>
      </c>
      <c r="U413" s="17">
        <f>ROUND($B413*U$354,2)</f>
        <v>0</v>
      </c>
      <c r="V413" s="17">
        <f>ROUND($B413*V$348,2)</f>
        <v>0</v>
      </c>
      <c r="W413" s="17">
        <f>ROUND($B413*W$354,2)</f>
        <v>0</v>
      </c>
      <c r="X413" s="17">
        <f>ROUND($B413*X$354,2)</f>
        <v>-0.01</v>
      </c>
      <c r="Y413" s="17">
        <f>ROUND($B413*Y$354,2)</f>
        <v>0</v>
      </c>
      <c r="Z413" s="17">
        <f>ROUND($B413*Z$354,2)</f>
        <v>0</v>
      </c>
      <c r="AA413" s="17">
        <f>ROUND($B413*AA$354,2)</f>
        <v>0</v>
      </c>
      <c r="AB413" s="19">
        <f>SUM(U408:AA408)</f>
        <v>0</v>
      </c>
      <c r="AC413" s="67" t="str">
        <f>+F413</f>
        <v>SE1</v>
      </c>
    </row>
    <row r="414" spans="1:29" x14ac:dyDescent="0.2">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x14ac:dyDescent="0.2">
      <c r="A415" s="1" t="s">
        <v>246</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276</v>
      </c>
      <c r="G415" s="17">
        <f>SUM(J415:M415,O415:P415,R415:AA415)</f>
        <v>55</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0.01</v>
      </c>
      <c r="U415" s="17">
        <f>ROUND($B415*U$354,2)</f>
        <v>0</v>
      </c>
      <c r="V415" s="17">
        <f>ROUND($B415*V$348,2)</f>
        <v>0</v>
      </c>
      <c r="W415" s="17">
        <f>ROUND($B415*W$354,2)</f>
        <v>0</v>
      </c>
      <c r="X415" s="17">
        <f>ROUND($B415*X$354,2)</f>
        <v>-0.01</v>
      </c>
      <c r="Y415" s="17">
        <f>ROUND($B415*Y$354,2)</f>
        <v>0</v>
      </c>
      <c r="Z415" s="17">
        <f>ROUND($B415*Z$354,2)</f>
        <v>0</v>
      </c>
      <c r="AA415" s="17">
        <f>ROUND($B415*AA$354,2)</f>
        <v>0</v>
      </c>
      <c r="AB415" s="19">
        <f>SUM(U410:AA410)</f>
        <v>0</v>
      </c>
      <c r="AC415" s="67" t="str">
        <f>+F415</f>
        <v>SE1</v>
      </c>
    </row>
    <row r="416" spans="1:29" x14ac:dyDescent="0.2">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x14ac:dyDescent="0.2">
      <c r="A417" s="1" t="s">
        <v>227</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276</v>
      </c>
      <c r="G417" s="17">
        <f>SUM(J417:M417,O417:P417,R417:AA417)</f>
        <v>55</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0.01</v>
      </c>
      <c r="U417" s="17">
        <f>ROUND($B417*U$354,2)</f>
        <v>0</v>
      </c>
      <c r="V417" s="17">
        <f>ROUND($B417*V$348,2)</f>
        <v>0</v>
      </c>
      <c r="W417" s="17">
        <f>ROUND($B417*W$354,2)</f>
        <v>0</v>
      </c>
      <c r="X417" s="17">
        <f>ROUND($B417*X$354,2)</f>
        <v>-0.01</v>
      </c>
      <c r="Y417" s="17">
        <f>ROUND($B417*Y$354,2)</f>
        <v>0</v>
      </c>
      <c r="Z417" s="17">
        <f>ROUND($B417*Z$354,2)</f>
        <v>0</v>
      </c>
      <c r="AA417" s="17">
        <f>ROUND($B417*AA$354,2)</f>
        <v>0</v>
      </c>
      <c r="AB417" s="19">
        <f>SUM(U412:AA412)</f>
        <v>0</v>
      </c>
      <c r="AC417" s="67" t="str">
        <f>+F417</f>
        <v>SE1</v>
      </c>
    </row>
    <row r="418" spans="1:29" x14ac:dyDescent="0.2">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x14ac:dyDescent="0.2">
      <c r="A419" s="1" t="s">
        <v>228</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277</v>
      </c>
      <c r="G419" s="17">
        <f>SUM(J419:M419,O419:P419,R419:AA419)</f>
        <v>55</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0.01</v>
      </c>
      <c r="U419" s="17">
        <f>ROUND($B419*U$354,2)</f>
        <v>0</v>
      </c>
      <c r="V419" s="17">
        <f>ROUND($B419*V$349,2)</f>
        <v>0</v>
      </c>
      <c r="W419" s="17">
        <f>ROUND($B419*W$354,2)</f>
        <v>0</v>
      </c>
      <c r="X419" s="17">
        <f>ROUND($B419*X$354,2)</f>
        <v>-0.01</v>
      </c>
      <c r="Y419" s="17">
        <f>ROUND($B419*Y$354,2)</f>
        <v>0</v>
      </c>
      <c r="Z419" s="17">
        <f>ROUND($B419*Z$354,2)</f>
        <v>0</v>
      </c>
      <c r="AA419" s="17">
        <f>ROUND($B419*AA$354,2)</f>
        <v>0</v>
      </c>
      <c r="AB419" s="19">
        <f>SUM(U414:AA414)</f>
        <v>0</v>
      </c>
      <c r="AC419" s="67" t="str">
        <f>+F419</f>
        <v>SE2</v>
      </c>
    </row>
    <row r="420" spans="1:29" x14ac:dyDescent="0.2">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x14ac:dyDescent="0.2">
      <c r="A421" s="1" t="s">
        <v>229</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277</v>
      </c>
      <c r="G421" s="17">
        <f>SUM(J421:M421,O421:P421,R421:AA421)</f>
        <v>55</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0.01</v>
      </c>
      <c r="U421" s="17">
        <f>ROUND($B421*U$354,2)</f>
        <v>0</v>
      </c>
      <c r="V421" s="17">
        <f>ROUND($B421*V$349,2)</f>
        <v>0</v>
      </c>
      <c r="W421" s="17">
        <f>ROUND($B421*W$354,2)</f>
        <v>0</v>
      </c>
      <c r="X421" s="17">
        <f>ROUND($B421*X$354,2)</f>
        <v>-0.01</v>
      </c>
      <c r="Y421" s="17">
        <f>ROUND($B421*Y$354,2)</f>
        <v>0</v>
      </c>
      <c r="Z421" s="17">
        <f>ROUND($B421*Z$354,2)</f>
        <v>0</v>
      </c>
      <c r="AA421" s="17">
        <f>ROUND($B421*AA$354,2)</f>
        <v>0</v>
      </c>
      <c r="AB421" s="19">
        <f>SUM(U416:AA416)</f>
        <v>0</v>
      </c>
      <c r="AC421" s="67" t="str">
        <f>+F421</f>
        <v>SE2</v>
      </c>
    </row>
    <row r="422" spans="1:29" x14ac:dyDescent="0.2">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x14ac:dyDescent="0.2">
      <c r="A423" s="1" t="s">
        <v>230</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277</v>
      </c>
      <c r="G423" s="17">
        <f>SUM(J423:M423,O423:P423,R423:AA423)</f>
        <v>55</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0.01</v>
      </c>
      <c r="U423" s="17">
        <f>ROUND($B423*U$354,2)</f>
        <v>0</v>
      </c>
      <c r="V423" s="17">
        <f>ROUND($B423*V$349,2)</f>
        <v>0</v>
      </c>
      <c r="W423" s="17">
        <f>ROUND($B423*W$354,2)</f>
        <v>0</v>
      </c>
      <c r="X423" s="17">
        <f>ROUND($B423*X$354,2)</f>
        <v>-0.01</v>
      </c>
      <c r="Y423" s="17">
        <f>ROUND($B423*Y$354,2)</f>
        <v>0</v>
      </c>
      <c r="Z423" s="17">
        <f>ROUND($B423*Z$354,2)</f>
        <v>0</v>
      </c>
      <c r="AA423" s="17">
        <f>ROUND($B423*AA$354,2)</f>
        <v>0</v>
      </c>
      <c r="AB423" s="19">
        <f>SUM(U418:AA418)</f>
        <v>0</v>
      </c>
      <c r="AC423" s="67" t="str">
        <f>+F423</f>
        <v>SE2</v>
      </c>
    </row>
    <row r="424" spans="1:29" x14ac:dyDescent="0.2">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x14ac:dyDescent="0.2">
      <c r="A425" s="1" t="s">
        <v>246</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277</v>
      </c>
      <c r="G425" s="17">
        <f>SUM(J425:M425,O425:P425,R425:AA425)</f>
        <v>55</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0.01</v>
      </c>
      <c r="U425" s="17">
        <f>ROUND($B425*U$354,2)</f>
        <v>0</v>
      </c>
      <c r="V425" s="17">
        <f>ROUND($B425*V$349,2)</f>
        <v>0</v>
      </c>
      <c r="W425" s="17">
        <f>ROUND($B425*W$354,2)</f>
        <v>0</v>
      </c>
      <c r="X425" s="17">
        <f>ROUND($B425*X$354,2)</f>
        <v>-0.01</v>
      </c>
      <c r="Y425" s="17">
        <f>ROUND($B425*Y$354,2)</f>
        <v>0</v>
      </c>
      <c r="Z425" s="17">
        <f>ROUND($B425*Z$354,2)</f>
        <v>0</v>
      </c>
      <c r="AA425" s="17">
        <f>ROUND($B425*AA$354,2)</f>
        <v>0</v>
      </c>
      <c r="AB425" s="19">
        <f>SUM(U420:AA420)</f>
        <v>0</v>
      </c>
      <c r="AC425" s="67" t="str">
        <f>+F425</f>
        <v>SE2</v>
      </c>
    </row>
    <row r="426" spans="1:29" x14ac:dyDescent="0.2">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x14ac:dyDescent="0.2">
      <c r="A427" s="1" t="s">
        <v>227</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277</v>
      </c>
      <c r="G427" s="17">
        <f>SUM(J427:M427,O427:P427,R427:AA427)</f>
        <v>55</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0.01</v>
      </c>
      <c r="U427" s="17">
        <f>ROUND($B427*U$354,2)</f>
        <v>0</v>
      </c>
      <c r="V427" s="17">
        <f>ROUND($B427*V$349,2)</f>
        <v>0</v>
      </c>
      <c r="W427" s="17">
        <f>ROUND($B427*W$354,2)</f>
        <v>0</v>
      </c>
      <c r="X427" s="17">
        <f>ROUND($B427*X$354,2)</f>
        <v>-0.01</v>
      </c>
      <c r="Y427" s="17">
        <f>ROUND($B427*Y$354,2)</f>
        <v>0</v>
      </c>
      <c r="Z427" s="17">
        <f>ROUND($B427*Z$354,2)</f>
        <v>0</v>
      </c>
      <c r="AA427" s="17">
        <f>ROUND($B427*AA$354,2)</f>
        <v>0</v>
      </c>
      <c r="AB427" s="19">
        <f>SUM(U422:AA422)</f>
        <v>0</v>
      </c>
      <c r="AC427" s="67" t="str">
        <f>+F427</f>
        <v>SE2</v>
      </c>
    </row>
    <row r="428" spans="1:29" x14ac:dyDescent="0.2">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x14ac:dyDescent="0.2">
      <c r="A429" s="1" t="s">
        <v>228</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278</v>
      </c>
      <c r="G429" s="17">
        <f>SUM(J429:M429,O429:P429,R429:AA429)</f>
        <v>55</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0.01</v>
      </c>
      <c r="U429" s="17">
        <f>ROUND($B429*U$354,2)</f>
        <v>0</v>
      </c>
      <c r="V429" s="17">
        <f>ROUND($B429*V$350,2)</f>
        <v>0</v>
      </c>
      <c r="W429" s="17">
        <f>ROUND($B429*W$354,2)</f>
        <v>0</v>
      </c>
      <c r="X429" s="17">
        <f>ROUND($B429*X$354,2)</f>
        <v>-0.01</v>
      </c>
      <c r="Y429" s="17">
        <f>ROUND($B429*Y$354,2)</f>
        <v>0</v>
      </c>
      <c r="Z429" s="17">
        <f>ROUND($B429*Z$354,2)</f>
        <v>0</v>
      </c>
      <c r="AA429" s="17">
        <f>ROUND($B429*AA$354,2)</f>
        <v>0</v>
      </c>
      <c r="AB429" s="19">
        <f>SUM(U424:AA424)</f>
        <v>0</v>
      </c>
      <c r="AC429" s="67" t="str">
        <f>+F429</f>
        <v>SE3</v>
      </c>
    </row>
    <row r="430" spans="1:29" x14ac:dyDescent="0.2">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x14ac:dyDescent="0.2">
      <c r="A431" s="1" t="s">
        <v>229</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278</v>
      </c>
      <c r="G431" s="17">
        <f>SUM(J431:M431,O431:P431,R431:AA431)</f>
        <v>55</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0.01</v>
      </c>
      <c r="U431" s="17">
        <f>ROUND($B431*U$354,2)</f>
        <v>0</v>
      </c>
      <c r="V431" s="17">
        <f>ROUND($B431*V$350,2)</f>
        <v>0</v>
      </c>
      <c r="W431" s="17">
        <f>ROUND($B431*W$354,2)</f>
        <v>0</v>
      </c>
      <c r="X431" s="17">
        <f>ROUND($B431*X$354,2)</f>
        <v>-0.01</v>
      </c>
      <c r="Y431" s="17">
        <f>ROUND($B431*Y$354,2)</f>
        <v>0</v>
      </c>
      <c r="Z431" s="17">
        <f>ROUND($B431*Z$354,2)</f>
        <v>0</v>
      </c>
      <c r="AA431" s="17">
        <f>ROUND($B431*AA$354,2)</f>
        <v>0</v>
      </c>
      <c r="AB431" s="19">
        <f>SUM(U426:AA426)</f>
        <v>0</v>
      </c>
      <c r="AC431" s="67" t="str">
        <f>+F431</f>
        <v>SE3</v>
      </c>
    </row>
    <row r="432" spans="1:29" x14ac:dyDescent="0.2">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x14ac:dyDescent="0.2">
      <c r="A433" s="1" t="s">
        <v>230</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278</v>
      </c>
      <c r="G433" s="17">
        <f>SUM(J433:M433,O433:P433,R433:AA433)</f>
        <v>55</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0.01</v>
      </c>
      <c r="U433" s="17">
        <f>ROUND($B433*U$354,2)</f>
        <v>0</v>
      </c>
      <c r="V433" s="17">
        <f>ROUND($B433*V$350,2)</f>
        <v>0</v>
      </c>
      <c r="W433" s="17">
        <f>ROUND($B433*W$354,2)</f>
        <v>0</v>
      </c>
      <c r="X433" s="17">
        <f>ROUND($B433*X$354,2)</f>
        <v>-0.01</v>
      </c>
      <c r="Y433" s="17">
        <f>ROUND($B433*Y$354,2)</f>
        <v>0</v>
      </c>
      <c r="Z433" s="17">
        <f>ROUND($B433*Z$354,2)</f>
        <v>0</v>
      </c>
      <c r="AA433" s="17">
        <f>ROUND($B433*AA$354,2)</f>
        <v>0</v>
      </c>
      <c r="AB433" s="19">
        <f>SUM(U428:AA428)</f>
        <v>0</v>
      </c>
      <c r="AC433" s="67" t="str">
        <f>+F433</f>
        <v>SE3</v>
      </c>
    </row>
    <row r="434" spans="1:29" x14ac:dyDescent="0.2">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x14ac:dyDescent="0.2">
      <c r="A435" s="1" t="s">
        <v>246</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278</v>
      </c>
      <c r="G435" s="17">
        <f>SUM(J435:M435,O435:P435,R435:AA435)</f>
        <v>55</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0.01</v>
      </c>
      <c r="U435" s="17">
        <f>ROUND($B435*U$354,2)</f>
        <v>0</v>
      </c>
      <c r="V435" s="17">
        <f>ROUND($B435*V$350,2)</f>
        <v>0</v>
      </c>
      <c r="W435" s="17">
        <f>ROUND($B435*W$354,2)</f>
        <v>0</v>
      </c>
      <c r="X435" s="17">
        <f>ROUND($B435*X$354,2)</f>
        <v>-0.01</v>
      </c>
      <c r="Y435" s="17">
        <f>ROUND($B435*Y$354,2)</f>
        <v>0</v>
      </c>
      <c r="Z435" s="17">
        <f>ROUND($B435*Z$354,2)</f>
        <v>0</v>
      </c>
      <c r="AA435" s="17">
        <f>ROUND($B435*AA$354,2)</f>
        <v>0</v>
      </c>
      <c r="AB435" s="19">
        <f>SUM(U430:AA430)</f>
        <v>0</v>
      </c>
      <c r="AC435" s="67" t="str">
        <f>+F435</f>
        <v>SE3</v>
      </c>
    </row>
    <row r="436" spans="1:29" x14ac:dyDescent="0.2">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x14ac:dyDescent="0.2">
      <c r="A437" s="1" t="s">
        <v>227</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278</v>
      </c>
      <c r="G437" s="17">
        <f>SUM(J437:M437,O437:P437,R437:AA437)</f>
        <v>55</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0.01</v>
      </c>
      <c r="U437" s="17">
        <f>ROUND($B437*U$354,2)</f>
        <v>0</v>
      </c>
      <c r="V437" s="17">
        <f>ROUND($B437*V$350,2)</f>
        <v>0</v>
      </c>
      <c r="W437" s="17">
        <f>ROUND($B437*W$354,2)</f>
        <v>0</v>
      </c>
      <c r="X437" s="17">
        <f>ROUND($B437*X$354,2)</f>
        <v>-0.01</v>
      </c>
      <c r="Y437" s="17">
        <f>ROUND($B437*Y$354,2)</f>
        <v>0</v>
      </c>
      <c r="Z437" s="17">
        <f>ROUND($B437*Z$354,2)</f>
        <v>0</v>
      </c>
      <c r="AA437" s="17">
        <f>ROUND($B437*AA$354,2)</f>
        <v>0</v>
      </c>
      <c r="AB437" s="19">
        <f>SUM(U432:AA432)</f>
        <v>0</v>
      </c>
      <c r="AC437" s="67" t="str">
        <f>+F437</f>
        <v>SE3</v>
      </c>
    </row>
    <row r="438" spans="1:29" x14ac:dyDescent="0.2">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x14ac:dyDescent="0.2">
      <c r="A439" s="1" t="s">
        <v>228</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279</v>
      </c>
      <c r="G439" s="17">
        <f>SUM(J439:M439,O439:P439,R439:AA439)</f>
        <v>55</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0.01</v>
      </c>
      <c r="U439" s="17">
        <f>ROUND($B439*U$354,2)</f>
        <v>0</v>
      </c>
      <c r="V439" s="17">
        <f>ROUND($B439*V$351,2)</f>
        <v>0</v>
      </c>
      <c r="W439" s="17">
        <f>ROUND($B439*W$354,2)</f>
        <v>0</v>
      </c>
      <c r="X439" s="17">
        <f>ROUND($B439*X$354,2)</f>
        <v>-0.01</v>
      </c>
      <c r="Y439" s="17">
        <f>ROUND($B439*Y$354,2)</f>
        <v>0</v>
      </c>
      <c r="Z439" s="17">
        <f>ROUND($B439*Z$354,2)</f>
        <v>0</v>
      </c>
      <c r="AA439" s="17">
        <f>ROUND($B439*AA$354,2)</f>
        <v>0</v>
      </c>
      <c r="AB439" s="19">
        <f>SUM(U434:AA434)</f>
        <v>0</v>
      </c>
      <c r="AC439" s="67" t="str">
        <f>+F439</f>
        <v>SE4</v>
      </c>
    </row>
    <row r="440" spans="1:29" x14ac:dyDescent="0.2">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x14ac:dyDescent="0.2">
      <c r="A441" s="1" t="s">
        <v>229</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279</v>
      </c>
      <c r="G441" s="17">
        <f>SUM(J441:M441,O441:P441,R441:AA441)</f>
        <v>55</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0.01</v>
      </c>
      <c r="U441" s="17">
        <f>ROUND($B441*U$354,2)</f>
        <v>0</v>
      </c>
      <c r="V441" s="17">
        <f>ROUND($B441*V$351,2)</f>
        <v>0</v>
      </c>
      <c r="W441" s="17">
        <f>ROUND($B441*W$354,2)</f>
        <v>0</v>
      </c>
      <c r="X441" s="17">
        <f>ROUND($B441*X$354,2)</f>
        <v>-0.01</v>
      </c>
      <c r="Y441" s="17">
        <f>ROUND($B441*Y$354,2)</f>
        <v>0</v>
      </c>
      <c r="Z441" s="17">
        <f>ROUND($B441*Z$354,2)</f>
        <v>0</v>
      </c>
      <c r="AA441" s="17">
        <f>ROUND($B441*AA$354,2)</f>
        <v>0</v>
      </c>
      <c r="AB441" s="19">
        <f>SUM(U436:AA436)</f>
        <v>0</v>
      </c>
      <c r="AC441" s="67" t="str">
        <f>+F441</f>
        <v>SE4</v>
      </c>
    </row>
    <row r="442" spans="1:29" x14ac:dyDescent="0.2">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x14ac:dyDescent="0.2">
      <c r="A443" s="1" t="s">
        <v>230</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279</v>
      </c>
      <c r="G443" s="17">
        <f>SUM(J443:M443,O443:P443,R443:AA443)</f>
        <v>55</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0.01</v>
      </c>
      <c r="U443" s="17">
        <f>ROUND($B443*U$354,2)</f>
        <v>0</v>
      </c>
      <c r="V443" s="17">
        <f>ROUND($B443*V$351,2)</f>
        <v>0</v>
      </c>
      <c r="W443" s="17">
        <f>ROUND($B443*W$354,2)</f>
        <v>0</v>
      </c>
      <c r="X443" s="17">
        <f>ROUND($B443*X$354,2)</f>
        <v>-0.01</v>
      </c>
      <c r="Y443" s="17">
        <f>ROUND($B443*Y$354,2)</f>
        <v>0</v>
      </c>
      <c r="Z443" s="17">
        <f>ROUND($B443*Z$354,2)</f>
        <v>0</v>
      </c>
      <c r="AA443" s="17">
        <f>ROUND($B443*AA$354,2)</f>
        <v>0</v>
      </c>
      <c r="AB443" s="19">
        <f>SUM(U438:AA438)</f>
        <v>0</v>
      </c>
      <c r="AC443" s="67" t="str">
        <f>+F443</f>
        <v>SE4</v>
      </c>
    </row>
    <row r="444" spans="1:29" x14ac:dyDescent="0.2">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x14ac:dyDescent="0.2">
      <c r="A445" s="1" t="s">
        <v>246</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279</v>
      </c>
      <c r="G445" s="17">
        <f>SUM(J445:M445,O445:P445,R445:AA445)</f>
        <v>55</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0.01</v>
      </c>
      <c r="U445" s="17">
        <f>ROUND($B445*U$354,2)</f>
        <v>0</v>
      </c>
      <c r="V445" s="17">
        <f>ROUND($B445*V$351,2)</f>
        <v>0</v>
      </c>
      <c r="W445" s="17">
        <f>ROUND($B445*W$354,2)</f>
        <v>0</v>
      </c>
      <c r="X445" s="17">
        <f>ROUND($B445*X$354,2)</f>
        <v>-0.01</v>
      </c>
      <c r="Y445" s="17">
        <f>ROUND($B445*Y$354,2)</f>
        <v>0</v>
      </c>
      <c r="Z445" s="17">
        <f>ROUND($B445*Z$354,2)</f>
        <v>0</v>
      </c>
      <c r="AA445" s="17">
        <f>ROUND($B445*AA$354,2)</f>
        <v>0</v>
      </c>
      <c r="AB445" s="19">
        <f>SUM(U440:AA440)</f>
        <v>0</v>
      </c>
      <c r="AC445" s="67" t="str">
        <f>+F445</f>
        <v>SE4</v>
      </c>
    </row>
    <row r="446" spans="1:29" x14ac:dyDescent="0.2">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x14ac:dyDescent="0.2">
      <c r="A447" s="1" t="s">
        <v>227</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279</v>
      </c>
      <c r="G447" s="17">
        <f>SUM(J447:M447,O447:P447,R447:AA447)</f>
        <v>55</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0.01</v>
      </c>
      <c r="U447" s="17">
        <f>ROUND($B447*U$354,2)</f>
        <v>0</v>
      </c>
      <c r="V447" s="17">
        <f>ROUND($B447*V$351,2)</f>
        <v>0</v>
      </c>
      <c r="W447" s="17">
        <f>ROUND($B447*W$354,2)</f>
        <v>0</v>
      </c>
      <c r="X447" s="17">
        <f>ROUND($B447*X$354,2)</f>
        <v>-0.01</v>
      </c>
      <c r="Y447" s="17">
        <f>ROUND($B447*Y$354,2)</f>
        <v>0</v>
      </c>
      <c r="Z447" s="17">
        <f>ROUND($B447*Z$354,2)</f>
        <v>0</v>
      </c>
      <c r="AA447" s="17">
        <f>ROUND($B447*AA$354,2)</f>
        <v>0</v>
      </c>
      <c r="AB447" s="19">
        <f>SUM(U442:AA442)</f>
        <v>0</v>
      </c>
      <c r="AC447" s="67" t="str">
        <f>+F447</f>
        <v>SE4</v>
      </c>
    </row>
    <row r="448" spans="1:29" x14ac:dyDescent="0.2">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x14ac:dyDescent="0.2">
      <c r="A449" s="1" t="s">
        <v>228</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280</v>
      </c>
      <c r="G449" s="17">
        <f>SUM(J449:M449,O449:P449,R449:AA449)</f>
        <v>55</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0.01</v>
      </c>
      <c r="U449" s="17">
        <f>ROUND($B449*U$354,2)</f>
        <v>0</v>
      </c>
      <c r="V449" s="17">
        <f>ROUND($B449*V$352,2)</f>
        <v>0</v>
      </c>
      <c r="W449" s="17">
        <f>ROUND($B449*W$354,2)</f>
        <v>0</v>
      </c>
      <c r="X449" s="17">
        <f>ROUND($B449*X$354,2)</f>
        <v>-0.01</v>
      </c>
      <c r="Y449" s="17">
        <f>ROUND($B449*Y$354,2)</f>
        <v>0</v>
      </c>
      <c r="Z449" s="17">
        <f>ROUND($B449*Z$354,2)</f>
        <v>0</v>
      </c>
      <c r="AA449" s="17">
        <f>ROUND($B449*AA$354,2)</f>
        <v>0</v>
      </c>
      <c r="AB449" s="19">
        <f>SUM(U444:AA444)</f>
        <v>0</v>
      </c>
      <c r="AC449" s="67" t="str">
        <f>+F449</f>
        <v>SE5</v>
      </c>
    </row>
    <row r="450" spans="1:29" x14ac:dyDescent="0.2">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x14ac:dyDescent="0.2">
      <c r="A451" s="1" t="s">
        <v>229</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280</v>
      </c>
      <c r="G451" s="17">
        <f>SUM(J451:M451,O451:P451,R451:AA451)</f>
        <v>55</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0.01</v>
      </c>
      <c r="U451" s="17">
        <f>ROUND($B451*U$354,2)</f>
        <v>0</v>
      </c>
      <c r="V451" s="17">
        <f>ROUND($B451*V$352,2)</f>
        <v>0</v>
      </c>
      <c r="W451" s="17">
        <f>ROUND($B451*W$354,2)</f>
        <v>0</v>
      </c>
      <c r="X451" s="17">
        <f>ROUND($B451*X$354,2)</f>
        <v>-0.01</v>
      </c>
      <c r="Y451" s="17">
        <f>ROUND($B451*Y$354,2)</f>
        <v>0</v>
      </c>
      <c r="Z451" s="17">
        <f>ROUND($B451*Z$354,2)</f>
        <v>0</v>
      </c>
      <c r="AA451" s="17">
        <f>ROUND($B451*AA$354,2)</f>
        <v>0</v>
      </c>
      <c r="AB451" s="19">
        <f>SUM(U446:AA446)</f>
        <v>0</v>
      </c>
      <c r="AC451" s="67" t="str">
        <f>+F451</f>
        <v>SE5</v>
      </c>
    </row>
    <row r="452" spans="1:29" x14ac:dyDescent="0.2">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x14ac:dyDescent="0.2">
      <c r="A453" s="1" t="s">
        <v>230</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280</v>
      </c>
      <c r="G453" s="17">
        <f>SUM(J453:M453,O453:P453,R453:AA453)</f>
        <v>55</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0.01</v>
      </c>
      <c r="U453" s="17">
        <f>ROUND($B453*U$354,2)</f>
        <v>0</v>
      </c>
      <c r="V453" s="17">
        <f>ROUND($B453*V$352,2)</f>
        <v>0</v>
      </c>
      <c r="W453" s="17">
        <f>ROUND($B453*W$354,2)</f>
        <v>0</v>
      </c>
      <c r="X453" s="17">
        <f>ROUND($B453*X$354,2)</f>
        <v>-0.01</v>
      </c>
      <c r="Y453" s="17">
        <f>ROUND($B453*Y$354,2)</f>
        <v>0</v>
      </c>
      <c r="Z453" s="17">
        <f>ROUND($B453*Z$354,2)</f>
        <v>0</v>
      </c>
      <c r="AA453" s="17">
        <f>ROUND($B453*AA$354,2)</f>
        <v>0</v>
      </c>
      <c r="AB453" s="19">
        <f>SUM(U448:AA448)</f>
        <v>0</v>
      </c>
      <c r="AC453" s="67" t="str">
        <f>+F453</f>
        <v>SE5</v>
      </c>
    </row>
    <row r="454" spans="1:29" x14ac:dyDescent="0.2">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x14ac:dyDescent="0.2">
      <c r="A455" s="1" t="s">
        <v>246</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280</v>
      </c>
      <c r="G455" s="17">
        <f>SUM(J455:M455,O455:P455,R455:AA455)</f>
        <v>55</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0.01</v>
      </c>
      <c r="U455" s="17">
        <f>ROUND($B455*U$354,2)</f>
        <v>0</v>
      </c>
      <c r="V455" s="17">
        <f>ROUND($B455*V$352,2)</f>
        <v>0</v>
      </c>
      <c r="W455" s="17">
        <f>ROUND($B455*W$354,2)</f>
        <v>0</v>
      </c>
      <c r="X455" s="17">
        <f>ROUND($B455*X$354,2)</f>
        <v>-0.01</v>
      </c>
      <c r="Y455" s="17">
        <f>ROUND($B455*Y$354,2)</f>
        <v>0</v>
      </c>
      <c r="Z455" s="17">
        <f>ROUND($B455*Z$354,2)</f>
        <v>0</v>
      </c>
      <c r="AA455" s="17">
        <f>ROUND($B455*AA$354,2)</f>
        <v>0</v>
      </c>
      <c r="AB455" s="19">
        <f>SUM(U450:AA450)</f>
        <v>0</v>
      </c>
      <c r="AC455" s="67" t="str">
        <f>+F455</f>
        <v>SE5</v>
      </c>
    </row>
    <row r="456" spans="1:29" x14ac:dyDescent="0.2">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x14ac:dyDescent="0.2">
      <c r="A457" s="1" t="s">
        <v>227</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280</v>
      </c>
      <c r="G457" s="17">
        <f>SUM(J457:M457,O457:P457,R457:AA457)</f>
        <v>55</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0.01</v>
      </c>
      <c r="U457" s="17">
        <f>ROUND($B457*U$354,2)</f>
        <v>0</v>
      </c>
      <c r="V457" s="17">
        <f>ROUND($B457*V$352,2)</f>
        <v>0</v>
      </c>
      <c r="W457" s="17">
        <f>ROUND($B457*W$354,2)</f>
        <v>0</v>
      </c>
      <c r="X457" s="17">
        <f>ROUND($B457*X$354,2)</f>
        <v>-0.01</v>
      </c>
      <c r="Y457" s="17">
        <f>ROUND($B457*Y$354,2)</f>
        <v>0</v>
      </c>
      <c r="Z457" s="17">
        <f>ROUND($B457*Z$354,2)</f>
        <v>0</v>
      </c>
      <c r="AA457" s="17">
        <f>ROUND($B457*AA$354,2)</f>
        <v>0</v>
      </c>
      <c r="AB457" s="19">
        <f>SUM(U452:AA452)</f>
        <v>0</v>
      </c>
      <c r="AC457" s="67" t="str">
        <f>+F457</f>
        <v>SE5</v>
      </c>
    </row>
    <row r="458" spans="1:29" x14ac:dyDescent="0.2">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x14ac:dyDescent="0.2">
      <c r="A459" s="1" t="s">
        <v>228</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281</v>
      </c>
      <c r="G459" s="17">
        <f>SUM(J459:M459,O459:P459,R459:AA459)</f>
        <v>54.99</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0.01</v>
      </c>
      <c r="U459" s="17">
        <f>ROUND($B459*U$354,2)</f>
        <v>0</v>
      </c>
      <c r="V459" s="17">
        <f>ROUND($B459*V$353,2)</f>
        <v>-0.01</v>
      </c>
      <c r="W459" s="17">
        <f>ROUND($B459*W$354,2)</f>
        <v>0</v>
      </c>
      <c r="X459" s="17">
        <f>ROUND($B459*X$354,2)</f>
        <v>-0.01</v>
      </c>
      <c r="Y459" s="17">
        <f>ROUND($B459*Y$354,2)</f>
        <v>0</v>
      </c>
      <c r="Z459" s="17">
        <f>ROUND($B459*Z$354,2)</f>
        <v>0</v>
      </c>
      <c r="AA459" s="17">
        <f>ROUND($B459*AA$354,2)</f>
        <v>0</v>
      </c>
      <c r="AB459" s="19">
        <f>SUM(U454:AA454)</f>
        <v>0</v>
      </c>
      <c r="AC459" s="67" t="str">
        <f>+F459</f>
        <v>SE6</v>
      </c>
    </row>
    <row r="460" spans="1:29" x14ac:dyDescent="0.2">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x14ac:dyDescent="0.2">
      <c r="A461" s="1" t="s">
        <v>229</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281</v>
      </c>
      <c r="G461" s="17">
        <f>SUM(J461:M461,O461:P461,R461:AA461)</f>
        <v>54.99</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0.01</v>
      </c>
      <c r="U461" s="17">
        <f>ROUND($B461*U$354,2)</f>
        <v>0</v>
      </c>
      <c r="V461" s="17">
        <f>ROUND($B461*V$353,2)</f>
        <v>-0.01</v>
      </c>
      <c r="W461" s="17">
        <f>ROUND($B461*W$354,2)</f>
        <v>0</v>
      </c>
      <c r="X461" s="17">
        <f>ROUND($B461*X$354,2)</f>
        <v>-0.01</v>
      </c>
      <c r="Y461" s="17">
        <f>ROUND($B461*Y$354,2)</f>
        <v>0</v>
      </c>
      <c r="Z461" s="17">
        <f>ROUND($B461*Z$354,2)</f>
        <v>0</v>
      </c>
      <c r="AA461" s="17">
        <f>ROUND($B461*AA$354,2)</f>
        <v>0</v>
      </c>
      <c r="AB461" s="19">
        <f>SUM(U456:AA456)</f>
        <v>0</v>
      </c>
      <c r="AC461" s="67" t="str">
        <f>+F461</f>
        <v>SE6</v>
      </c>
    </row>
    <row r="462" spans="1:29" x14ac:dyDescent="0.2">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x14ac:dyDescent="0.2">
      <c r="A463" s="1" t="s">
        <v>230</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281</v>
      </c>
      <c r="G463" s="17">
        <f>SUM(J463:M463,O463:P463,R463:AA463)</f>
        <v>54.99</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0.01</v>
      </c>
      <c r="U463" s="17">
        <f>ROUND($B463*U$354,2)</f>
        <v>0</v>
      </c>
      <c r="V463" s="17">
        <f>ROUND($B463*V$353,2)</f>
        <v>-0.01</v>
      </c>
      <c r="W463" s="17">
        <f>ROUND($B463*W$354,2)</f>
        <v>0</v>
      </c>
      <c r="X463" s="17">
        <f>ROUND($B463*X$354,2)</f>
        <v>-0.01</v>
      </c>
      <c r="Y463" s="17">
        <f>ROUND($B463*Y$354,2)</f>
        <v>0</v>
      </c>
      <c r="Z463" s="17">
        <f>ROUND($B463*Z$354,2)</f>
        <v>0</v>
      </c>
      <c r="AA463" s="17">
        <f>ROUND($B463*AA$354,2)</f>
        <v>0</v>
      </c>
      <c r="AB463" s="19">
        <f>SUM(U458:AA458)</f>
        <v>0</v>
      </c>
      <c r="AC463" s="67" t="str">
        <f>+F463</f>
        <v>SE6</v>
      </c>
    </row>
    <row r="464" spans="1:29" x14ac:dyDescent="0.2">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x14ac:dyDescent="0.2">
      <c r="A465" s="1" t="s">
        <v>246</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281</v>
      </c>
      <c r="G465" s="17">
        <f>SUM(J465:M465,O465:P465,R465:AA465)</f>
        <v>54.99</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0.01</v>
      </c>
      <c r="U465" s="17">
        <f>ROUND($B465*U$354,2)</f>
        <v>0</v>
      </c>
      <c r="V465" s="17">
        <f>ROUND($B465*V$353,2)</f>
        <v>-0.01</v>
      </c>
      <c r="W465" s="17">
        <f>ROUND($B465*W$354,2)</f>
        <v>0</v>
      </c>
      <c r="X465" s="17">
        <f>ROUND($B465*X$354,2)</f>
        <v>-0.01</v>
      </c>
      <c r="Y465" s="17">
        <f>ROUND($B465*Y$354,2)</f>
        <v>0</v>
      </c>
      <c r="Z465" s="17">
        <f>ROUND($B465*Z$354,2)</f>
        <v>0</v>
      </c>
      <c r="AA465" s="17">
        <f>ROUND($B465*AA$354,2)</f>
        <v>0</v>
      </c>
      <c r="AB465" s="19">
        <f>SUM(U460:AA460)</f>
        <v>0</v>
      </c>
      <c r="AC465" s="67" t="str">
        <f>+F465</f>
        <v>SE6</v>
      </c>
    </row>
    <row r="466" spans="1:29" x14ac:dyDescent="0.2">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x14ac:dyDescent="0.2">
      <c r="A467" s="1" t="s">
        <v>227</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281</v>
      </c>
      <c r="G467" s="17">
        <f>SUM(J467:M467,O467:P467,R467:AA467)</f>
        <v>54.99</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0.01</v>
      </c>
      <c r="U467" s="17">
        <f>ROUND($B467*U$354,2)</f>
        <v>0</v>
      </c>
      <c r="V467" s="17">
        <f>ROUND($B467*V$353,2)</f>
        <v>-0.01</v>
      </c>
      <c r="W467" s="17">
        <f>ROUND($B467*W$354,2)</f>
        <v>0</v>
      </c>
      <c r="X467" s="17">
        <f>ROUND($B467*X$354,2)</f>
        <v>-0.01</v>
      </c>
      <c r="Y467" s="17">
        <f>ROUND($B467*Y$354,2)</f>
        <v>0</v>
      </c>
      <c r="Z467" s="17">
        <f>ROUND($B467*Z$354,2)</f>
        <v>0</v>
      </c>
      <c r="AA467" s="17">
        <f>ROUND($B467*AA$354,2)</f>
        <v>0</v>
      </c>
      <c r="AB467" s="19">
        <f>SUM(U462:AA462)</f>
        <v>0</v>
      </c>
      <c r="AC467" s="67" t="str">
        <f>+F467</f>
        <v>SE6</v>
      </c>
    </row>
    <row r="468" spans="1:29" x14ac:dyDescent="0.2">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x14ac:dyDescent="0.2">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
      <c r="B471" s="103">
        <v>-1</v>
      </c>
      <c r="C471" s="4"/>
      <c r="I471" s="19"/>
      <c r="J471" s="157">
        <v>20</v>
      </c>
      <c r="K471" s="158">
        <v>7.6942999999999998E-2</v>
      </c>
      <c r="L471" s="5"/>
      <c r="M471" s="5"/>
      <c r="N471" s="5"/>
      <c r="O471" s="5"/>
      <c r="P471" s="5"/>
      <c r="Q471" s="5"/>
      <c r="R471" s="5"/>
      <c r="S471" s="27">
        <f>+M$3</f>
        <v>1.8E-3</v>
      </c>
      <c r="T471" s="27">
        <f t="shared" ref="T471:AA471" si="28">+R$3</f>
        <v>-5.5440000000000003E-3</v>
      </c>
      <c r="U471" s="27">
        <f>$S$3</f>
        <v>4.7739999999999996E-3</v>
      </c>
      <c r="V471" s="27">
        <f t="shared" si="28"/>
        <v>6.1580000000000003E-3</v>
      </c>
      <c r="W471" s="27">
        <f t="shared" si="28"/>
        <v>0</v>
      </c>
      <c r="X471" s="27">
        <f t="shared" si="28"/>
        <v>9.3299999999999998E-3</v>
      </c>
      <c r="Y471" s="27">
        <f t="shared" si="28"/>
        <v>-5.1900000000000004E-4</v>
      </c>
      <c r="Z471" s="27">
        <f t="shared" si="28"/>
        <v>4.1159999999999999E-3</v>
      </c>
      <c r="AA471" s="27">
        <f t="shared" si="28"/>
        <v>7.3200000000000001E-4</v>
      </c>
      <c r="AB471" s="19">
        <f>SUM(U471:Z471)</f>
        <v>2.3859000000000005E-2</v>
      </c>
    </row>
    <row r="472" spans="1:29" x14ac:dyDescent="0.2">
      <c r="A472" s="1"/>
      <c r="B472" s="103">
        <v>-1</v>
      </c>
      <c r="I472" s="19"/>
      <c r="J472" s="76"/>
      <c r="K472" s="77">
        <v>999999</v>
      </c>
    </row>
    <row r="473" spans="1:29" x14ac:dyDescent="0.2">
      <c r="B473" s="103">
        <v>-1</v>
      </c>
      <c r="F473" s="12"/>
      <c r="I473" s="19"/>
      <c r="J473" s="12" t="s">
        <v>217</v>
      </c>
      <c r="K473" s="258" t="s">
        <v>30</v>
      </c>
      <c r="L473" s="258"/>
      <c r="M473" s="12"/>
      <c r="N473" s="12"/>
      <c r="O473" s="12"/>
      <c r="P473" s="12"/>
      <c r="Q473" s="140" t="s">
        <v>257</v>
      </c>
      <c r="R473" s="12"/>
      <c r="S473" s="12">
        <v>21</v>
      </c>
      <c r="T473" s="12">
        <v>6</v>
      </c>
      <c r="U473" s="12">
        <v>3</v>
      </c>
      <c r="V473" s="12">
        <v>22</v>
      </c>
      <c r="W473" s="12">
        <v>13</v>
      </c>
      <c r="X473" s="12">
        <v>20</v>
      </c>
      <c r="Y473" s="12">
        <v>24</v>
      </c>
      <c r="Z473" s="12">
        <v>25</v>
      </c>
      <c r="AA473" s="12">
        <v>26</v>
      </c>
    </row>
    <row r="474" spans="1:29" x14ac:dyDescent="0.2">
      <c r="A474" s="13"/>
      <c r="B474" s="14">
        <v>-1</v>
      </c>
      <c r="C474" s="14" t="s">
        <v>282</v>
      </c>
      <c r="D474" s="15"/>
      <c r="F474" s="13" t="s">
        <v>221</v>
      </c>
      <c r="G474" s="13" t="s">
        <v>222</v>
      </c>
      <c r="H474" s="13" t="s">
        <v>223</v>
      </c>
      <c r="I474" s="19"/>
      <c r="J474" s="13" t="s">
        <v>224</v>
      </c>
      <c r="K474" s="13" t="s">
        <v>258</v>
      </c>
      <c r="L474" s="13"/>
      <c r="M474" s="13"/>
      <c r="N474" s="140" t="s">
        <v>218</v>
      </c>
      <c r="O474" s="13"/>
      <c r="P474" s="13"/>
      <c r="Q474" s="13"/>
      <c r="R474" s="13"/>
      <c r="S474" s="13" t="s">
        <v>180</v>
      </c>
      <c r="T474" s="13" t="s">
        <v>38</v>
      </c>
      <c r="U474" s="136" t="s">
        <v>40</v>
      </c>
      <c r="V474" s="13" t="s">
        <v>181</v>
      </c>
      <c r="W474" s="13" t="s">
        <v>182</v>
      </c>
      <c r="X474" s="13" t="s">
        <v>183</v>
      </c>
      <c r="Y474" s="136" t="s">
        <v>46</v>
      </c>
      <c r="Z474" s="136" t="s">
        <v>48</v>
      </c>
      <c r="AA474" s="136" t="s">
        <v>50</v>
      </c>
      <c r="AB474" s="66" t="s">
        <v>184</v>
      </c>
    </row>
    <row r="475" spans="1:29" x14ac:dyDescent="0.2">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x14ac:dyDescent="0.2">
      <c r="A476" s="1" t="s">
        <v>228</v>
      </c>
      <c r="B476" s="103">
        <f>IF(AND('AES Indiana Bill Calc.'!$D$17="CR",'AES Indiana Bill Calc.'!$D$18="Yes 100%"),'AES Indiana Bill Calc.'!$D$19,-1)</f>
        <v>-1</v>
      </c>
      <c r="C476" s="9"/>
      <c r="F476" s="36" t="s">
        <v>72</v>
      </c>
      <c r="G476" s="17">
        <f>SUM(J476:M476,O476:P476,R476:AA476)</f>
        <v>19.91</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0.01</v>
      </c>
      <c r="U476" s="17">
        <f t="shared" si="29"/>
        <v>0</v>
      </c>
      <c r="V476" s="17">
        <f t="shared" si="29"/>
        <v>-0.01</v>
      </c>
      <c r="W476" s="17">
        <f t="shared" si="29"/>
        <v>0</v>
      </c>
      <c r="X476" s="17">
        <f t="shared" si="29"/>
        <v>-0.01</v>
      </c>
      <c r="Y476" s="17">
        <f t="shared" si="29"/>
        <v>0</v>
      </c>
      <c r="Z476" s="17">
        <f t="shared" si="29"/>
        <v>0</v>
      </c>
      <c r="AA476" s="17">
        <f t="shared" si="29"/>
        <v>0</v>
      </c>
      <c r="AB476" s="19">
        <f>SUM(U471:AA471)</f>
        <v>2.4591000000000005E-2</v>
      </c>
      <c r="AC476" s="67" t="str">
        <f>+F476</f>
        <v>CR</v>
      </c>
    </row>
    <row r="477" spans="1:29" x14ac:dyDescent="0.2">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x14ac:dyDescent="0.2">
      <c r="A478" s="1" t="s">
        <v>229</v>
      </c>
      <c r="B478" s="103">
        <f>IF(AND('AES Indiana Bill Calc.'!$D$17="CR",'AES Indiana Bill Calc.'!$D$18="Yes 50%"),'AES Indiana Bill Calc.'!$D$19,-1)</f>
        <v>-1</v>
      </c>
      <c r="C478" s="9"/>
      <c r="F478" s="36" t="s">
        <v>72</v>
      </c>
      <c r="G478" s="17">
        <f>SUM(J478:M478,O478:P478,R478:AA478)</f>
        <v>19.91</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0.01</v>
      </c>
      <c r="U478" s="17">
        <f t="shared" si="29"/>
        <v>0</v>
      </c>
      <c r="V478" s="17">
        <f t="shared" si="29"/>
        <v>-0.01</v>
      </c>
      <c r="W478" s="17">
        <f t="shared" si="29"/>
        <v>0</v>
      </c>
      <c r="X478" s="17">
        <f t="shared" si="29"/>
        <v>-0.01</v>
      </c>
      <c r="Y478" s="17">
        <f t="shared" si="29"/>
        <v>0</v>
      </c>
      <c r="Z478" s="17">
        <f t="shared" si="29"/>
        <v>0</v>
      </c>
      <c r="AA478" s="17">
        <f t="shared" si="29"/>
        <v>0</v>
      </c>
      <c r="AB478" s="19">
        <f>SUM(U473:AA473)</f>
        <v>133</v>
      </c>
      <c r="AC478" s="67" t="str">
        <f>+F478</f>
        <v>CR</v>
      </c>
    </row>
    <row r="479" spans="1:29" x14ac:dyDescent="0.2">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x14ac:dyDescent="0.2">
      <c r="A480" s="1" t="s">
        <v>230</v>
      </c>
      <c r="B480" s="103">
        <f>IF(AND('AES Indiana Bill Calc.'!$D$17="CR",'AES Indiana Bill Calc.'!$D$18="Yes 25%"),'AES Indiana Bill Calc.'!$D$19,-1)</f>
        <v>-1</v>
      </c>
      <c r="C480" s="9"/>
      <c r="F480" s="36" t="s">
        <v>72</v>
      </c>
      <c r="G480" s="17">
        <f>SUM(J480:M480,O480:P480,R480:AA480)</f>
        <v>19.91</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0.01</v>
      </c>
      <c r="U480" s="17">
        <f t="shared" si="29"/>
        <v>0</v>
      </c>
      <c r="V480" s="17">
        <f t="shared" si="29"/>
        <v>-0.01</v>
      </c>
      <c r="W480" s="17">
        <f t="shared" si="29"/>
        <v>0</v>
      </c>
      <c r="X480" s="17">
        <f t="shared" si="29"/>
        <v>-0.01</v>
      </c>
      <c r="Y480" s="17">
        <f t="shared" si="29"/>
        <v>0</v>
      </c>
      <c r="Z480" s="17">
        <f t="shared" si="29"/>
        <v>0</v>
      </c>
      <c r="AA480" s="17">
        <f t="shared" si="29"/>
        <v>0</v>
      </c>
      <c r="AB480" s="19">
        <f>SUM(U475:AA475)</f>
        <v>0</v>
      </c>
      <c r="AC480" s="67" t="str">
        <f>+F480</f>
        <v>CR</v>
      </c>
    </row>
    <row r="481" spans="1:29" x14ac:dyDescent="0.2">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x14ac:dyDescent="0.2">
      <c r="A482" s="1" t="s">
        <v>246</v>
      </c>
      <c r="B482" s="103">
        <f>IF(AND('AES Indiana Bill Calc.'!$D$17="CR",'AES Indiana Bill Calc.'!$D$18="Yes 10%"),'AES Indiana Bill Calc.'!$D$19,-1)</f>
        <v>-1</v>
      </c>
      <c r="C482" s="9"/>
      <c r="F482" s="36" t="s">
        <v>72</v>
      </c>
      <c r="G482" s="17">
        <f>SUM(J482:M482,O482:P482,R482:AA482)</f>
        <v>19.91</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0.01</v>
      </c>
      <c r="U482" s="17">
        <f t="shared" si="29"/>
        <v>0</v>
      </c>
      <c r="V482" s="17">
        <f t="shared" si="29"/>
        <v>-0.01</v>
      </c>
      <c r="W482" s="17">
        <f t="shared" si="29"/>
        <v>0</v>
      </c>
      <c r="X482" s="17">
        <f t="shared" si="29"/>
        <v>-0.01</v>
      </c>
      <c r="Y482" s="17">
        <f t="shared" si="29"/>
        <v>0</v>
      </c>
      <c r="Z482" s="17">
        <f t="shared" si="29"/>
        <v>0</v>
      </c>
      <c r="AA482" s="17">
        <f t="shared" si="29"/>
        <v>0</v>
      </c>
      <c r="AB482" s="19">
        <f>SUM(U477:AA477)</f>
        <v>0</v>
      </c>
      <c r="AC482" s="67" t="str">
        <f>+F482</f>
        <v>CR</v>
      </c>
    </row>
    <row r="483" spans="1:29" x14ac:dyDescent="0.2">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x14ac:dyDescent="0.2">
      <c r="A484" s="1" t="s">
        <v>227</v>
      </c>
      <c r="B484" s="103">
        <f>IF(AND('AES Indiana Bill Calc.'!$D$17="CR",'AES Indiana Bill Calc.'!$D$18="No"),'AES Indiana Bill Calc.'!$D$19,-1)</f>
        <v>-1</v>
      </c>
      <c r="C484" s="9"/>
      <c r="F484" s="36" t="s">
        <v>72</v>
      </c>
      <c r="G484" s="17">
        <f>SUM(J484:M484,O484:P484,R484:AA484)</f>
        <v>19.91</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0.01</v>
      </c>
      <c r="U484" s="17">
        <f t="shared" si="29"/>
        <v>0</v>
      </c>
      <c r="V484" s="17">
        <f t="shared" si="29"/>
        <v>-0.01</v>
      </c>
      <c r="W484" s="17">
        <f t="shared" si="29"/>
        <v>0</v>
      </c>
      <c r="X484" s="17">
        <f t="shared" si="29"/>
        <v>-0.01</v>
      </c>
      <c r="Y484" s="17">
        <f t="shared" si="29"/>
        <v>0</v>
      </c>
      <c r="Z484" s="17">
        <f t="shared" si="29"/>
        <v>0</v>
      </c>
      <c r="AA484" s="17">
        <f t="shared" si="29"/>
        <v>0</v>
      </c>
      <c r="AB484" s="19">
        <f>SUM(U479:AA479)</f>
        <v>0</v>
      </c>
      <c r="AC484" s="67" t="str">
        <f>+F484</f>
        <v>CR</v>
      </c>
    </row>
    <row r="485" spans="1:29" x14ac:dyDescent="0.2">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x14ac:dyDescent="0.2">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
      <c r="B489" s="103">
        <v>-1</v>
      </c>
      <c r="C489" s="4"/>
      <c r="I489" s="19"/>
      <c r="J489" s="157">
        <f>J471</f>
        <v>20</v>
      </c>
      <c r="K489" s="158">
        <f>K471</f>
        <v>7.6942999999999998E-2</v>
      </c>
      <c r="L489" s="5">
        <v>0</v>
      </c>
      <c r="M489" s="5"/>
      <c r="N489" s="5"/>
      <c r="O489" s="5"/>
      <c r="P489" s="5"/>
      <c r="Q489" s="5"/>
      <c r="R489" s="5"/>
      <c r="S489" s="27">
        <f>+M$4</f>
        <v>1.8E-3</v>
      </c>
      <c r="T489" s="27">
        <f t="shared" ref="T489:AA489" si="30">+R$4</f>
        <v>-5.5440000000000003E-3</v>
      </c>
      <c r="U489" s="27">
        <f>+S$4</f>
        <v>3.4810000000000002E-3</v>
      </c>
      <c r="V489" s="27">
        <f t="shared" si="30"/>
        <v>1.2638E-2</v>
      </c>
      <c r="W489" s="27">
        <f t="shared" si="30"/>
        <v>0</v>
      </c>
      <c r="X489" s="27">
        <f t="shared" si="30"/>
        <v>9.1430000000000001E-3</v>
      </c>
      <c r="Y489" s="27">
        <f t="shared" si="30"/>
        <v>-8.1800000000000004E-4</v>
      </c>
      <c r="Z489" s="27">
        <f t="shared" si="30"/>
        <v>4.2139999999999999E-3</v>
      </c>
      <c r="AA489" s="27">
        <f t="shared" si="30"/>
        <v>7.0699999999999995E-4</v>
      </c>
      <c r="AB489" s="19">
        <f>SUM(U489:Z489)</f>
        <v>2.8657999999999999E-2</v>
      </c>
    </row>
    <row r="490" spans="1:29" x14ac:dyDescent="0.2">
      <c r="A490" s="1"/>
      <c r="B490" s="103">
        <v>-1</v>
      </c>
      <c r="C490" s="37"/>
      <c r="I490" s="19"/>
      <c r="J490" s="72"/>
      <c r="K490" s="73">
        <v>999999</v>
      </c>
    </row>
    <row r="491" spans="1:29" x14ac:dyDescent="0.2">
      <c r="B491" s="103">
        <v>-1</v>
      </c>
      <c r="F491" s="12"/>
      <c r="I491" s="19"/>
      <c r="J491" s="12" t="s">
        <v>217</v>
      </c>
      <c r="K491" s="258" t="s">
        <v>30</v>
      </c>
      <c r="L491" s="258"/>
      <c r="M491" s="12"/>
      <c r="N491" s="12"/>
      <c r="O491" s="12"/>
      <c r="P491" s="12"/>
      <c r="Q491" s="140" t="s">
        <v>257</v>
      </c>
      <c r="R491" s="12"/>
      <c r="S491" s="12">
        <v>21</v>
      </c>
      <c r="T491" s="12">
        <v>6</v>
      </c>
      <c r="U491" s="12">
        <v>3</v>
      </c>
      <c r="V491" s="12">
        <v>22</v>
      </c>
      <c r="W491" s="12">
        <v>13</v>
      </c>
      <c r="X491" s="12">
        <v>20</v>
      </c>
      <c r="Y491" s="12">
        <v>24</v>
      </c>
      <c r="Z491" s="12">
        <v>25</v>
      </c>
      <c r="AA491" s="12">
        <v>26</v>
      </c>
    </row>
    <row r="492" spans="1:29" x14ac:dyDescent="0.2">
      <c r="A492" s="13"/>
      <c r="B492" s="103">
        <v>-1</v>
      </c>
      <c r="C492" s="14" t="s">
        <v>282</v>
      </c>
      <c r="D492" s="15"/>
      <c r="F492" s="13" t="s">
        <v>221</v>
      </c>
      <c r="G492" s="13" t="s">
        <v>222</v>
      </c>
      <c r="H492" s="13" t="s">
        <v>223</v>
      </c>
      <c r="I492" s="19"/>
      <c r="J492" s="13" t="s">
        <v>224</v>
      </c>
      <c r="K492" s="13" t="s">
        <v>258</v>
      </c>
      <c r="L492" s="13"/>
      <c r="M492" s="13"/>
      <c r="N492" s="140" t="s">
        <v>218</v>
      </c>
      <c r="O492" s="13"/>
      <c r="P492" s="13"/>
      <c r="Q492" s="13"/>
      <c r="R492" s="13"/>
      <c r="S492" s="13" t="s">
        <v>180</v>
      </c>
      <c r="T492" s="13" t="s">
        <v>38</v>
      </c>
      <c r="U492" s="136" t="s">
        <v>40</v>
      </c>
      <c r="V492" s="13" t="s">
        <v>181</v>
      </c>
      <c r="W492" s="13" t="s">
        <v>182</v>
      </c>
      <c r="X492" s="13" t="s">
        <v>183</v>
      </c>
      <c r="Y492" s="136" t="s">
        <v>46</v>
      </c>
      <c r="Z492" s="136" t="s">
        <v>48</v>
      </c>
      <c r="AA492" s="136" t="s">
        <v>50</v>
      </c>
      <c r="AB492" s="66" t="s">
        <v>184</v>
      </c>
    </row>
    <row r="493" spans="1:29" x14ac:dyDescent="0.2">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x14ac:dyDescent="0.2">
      <c r="A494" s="53"/>
      <c r="B494" s="103">
        <f>IF(AND('AES Indiana Bill Calc.'!$D$17="CB",'AES Indiana Bill Calc.'!$D$18="Yes 100%"),'AES Indiana Bill Calc.'!$D$19,-1)</f>
        <v>-1</v>
      </c>
      <c r="C494" s="1" t="s">
        <v>228</v>
      </c>
      <c r="F494" s="36" t="s">
        <v>75</v>
      </c>
      <c r="G494" s="17">
        <f>SUM(J494:M494,O494:P494,R494:AA494)</f>
        <v>19.91</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0.01</v>
      </c>
      <c r="U494" s="17">
        <f t="shared" si="31"/>
        <v>0</v>
      </c>
      <c r="V494" s="17">
        <f t="shared" si="31"/>
        <v>-0.01</v>
      </c>
      <c r="W494" s="17">
        <f t="shared" si="31"/>
        <v>0</v>
      </c>
      <c r="X494" s="17">
        <f t="shared" si="31"/>
        <v>-0.01</v>
      </c>
      <c r="Y494" s="17">
        <f t="shared" si="31"/>
        <v>0</v>
      </c>
      <c r="Z494" s="17">
        <f t="shared" si="31"/>
        <v>0</v>
      </c>
      <c r="AA494" s="17">
        <f t="shared" si="31"/>
        <v>0</v>
      </c>
      <c r="AB494" s="19">
        <f>SUM(U489:AA489)</f>
        <v>2.9364999999999999E-2</v>
      </c>
      <c r="AC494" s="67" t="str">
        <f>+F494</f>
        <v>CB</v>
      </c>
    </row>
    <row r="495" spans="1:29" x14ac:dyDescent="0.2">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x14ac:dyDescent="0.2">
      <c r="A496" s="53"/>
      <c r="B496" s="103">
        <f>IF(AND('AES Indiana Bill Calc.'!$D$17="CB",'AES Indiana Bill Calc.'!$D$18="Yes 50%"),'AES Indiana Bill Calc.'!$D$19,-1)</f>
        <v>-1</v>
      </c>
      <c r="C496" s="1" t="s">
        <v>229</v>
      </c>
      <c r="F496" s="36" t="s">
        <v>75</v>
      </c>
      <c r="G496" s="17">
        <f>SUM(J496:M496,O496:P496,R496:AA496)</f>
        <v>19.91</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0.01</v>
      </c>
      <c r="U496" s="17">
        <f t="shared" si="31"/>
        <v>0</v>
      </c>
      <c r="V496" s="17">
        <f t="shared" si="31"/>
        <v>-0.01</v>
      </c>
      <c r="W496" s="17">
        <f t="shared" si="31"/>
        <v>0</v>
      </c>
      <c r="X496" s="17">
        <f t="shared" si="31"/>
        <v>-0.01</v>
      </c>
      <c r="Y496" s="17">
        <f t="shared" si="31"/>
        <v>0</v>
      </c>
      <c r="Z496" s="17">
        <f t="shared" si="31"/>
        <v>0</v>
      </c>
      <c r="AA496" s="17">
        <f t="shared" si="31"/>
        <v>0</v>
      </c>
      <c r="AB496" s="19">
        <f>SUM(U491:AA491)</f>
        <v>133</v>
      </c>
      <c r="AC496" s="67" t="str">
        <f>+F496</f>
        <v>CB</v>
      </c>
    </row>
    <row r="497" spans="1:29" x14ac:dyDescent="0.2">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x14ac:dyDescent="0.2">
      <c r="A498" s="53"/>
      <c r="B498" s="103">
        <f>IF(AND('AES Indiana Bill Calc.'!$D$17="CB",'AES Indiana Bill Calc.'!$D$18="Yes 25%"),'AES Indiana Bill Calc.'!$D$19,-1)</f>
        <v>-1</v>
      </c>
      <c r="C498" s="1" t="s">
        <v>230</v>
      </c>
      <c r="F498" s="36" t="s">
        <v>75</v>
      </c>
      <c r="G498" s="17">
        <f>SUM(J498:M498,O498:P498,R498:AA498)</f>
        <v>19.91</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0.01</v>
      </c>
      <c r="U498" s="17">
        <f t="shared" si="31"/>
        <v>0</v>
      </c>
      <c r="V498" s="17">
        <f t="shared" si="31"/>
        <v>-0.01</v>
      </c>
      <c r="W498" s="17">
        <f t="shared" si="31"/>
        <v>0</v>
      </c>
      <c r="X498" s="17">
        <f t="shared" si="31"/>
        <v>-0.01</v>
      </c>
      <c r="Y498" s="17">
        <f t="shared" si="31"/>
        <v>0</v>
      </c>
      <c r="Z498" s="17">
        <f t="shared" si="31"/>
        <v>0</v>
      </c>
      <c r="AA498" s="17">
        <f t="shared" si="31"/>
        <v>0</v>
      </c>
      <c r="AB498" s="19">
        <f>SUM(U493:AA493)</f>
        <v>0</v>
      </c>
      <c r="AC498" s="67" t="str">
        <f>+F498</f>
        <v>CB</v>
      </c>
    </row>
    <row r="499" spans="1:29" x14ac:dyDescent="0.2">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x14ac:dyDescent="0.2">
      <c r="A500" s="53"/>
      <c r="B500" s="103">
        <f>IF(AND('AES Indiana Bill Calc.'!$D$17="CB",'AES Indiana Bill Calc.'!$D$18="Yes 10%"),'AES Indiana Bill Calc.'!$D$19,-1)</f>
        <v>-1</v>
      </c>
      <c r="C500" s="1" t="s">
        <v>246</v>
      </c>
      <c r="F500" s="36" t="s">
        <v>75</v>
      </c>
      <c r="G500" s="17">
        <f>SUM(J500:M500,O500:P500,R500:AA500)</f>
        <v>19.91</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0.01</v>
      </c>
      <c r="U500" s="17">
        <f t="shared" si="31"/>
        <v>0</v>
      </c>
      <c r="V500" s="17">
        <f t="shared" si="31"/>
        <v>-0.01</v>
      </c>
      <c r="W500" s="17">
        <f t="shared" si="31"/>
        <v>0</v>
      </c>
      <c r="X500" s="17">
        <f t="shared" si="31"/>
        <v>-0.01</v>
      </c>
      <c r="Y500" s="17">
        <f t="shared" si="31"/>
        <v>0</v>
      </c>
      <c r="Z500" s="17">
        <f t="shared" si="31"/>
        <v>0</v>
      </c>
      <c r="AA500" s="17">
        <f t="shared" si="31"/>
        <v>0</v>
      </c>
      <c r="AB500" s="19">
        <f>SUM(U495:AA495)</f>
        <v>0</v>
      </c>
      <c r="AC500" s="67" t="str">
        <f>+F500</f>
        <v>CB</v>
      </c>
    </row>
    <row r="501" spans="1:29" x14ac:dyDescent="0.2">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x14ac:dyDescent="0.2">
      <c r="A502" s="53"/>
      <c r="B502" s="103">
        <f>IF(AND('AES Indiana Bill Calc.'!$D$17="CB",'AES Indiana Bill Calc.'!$D$18="No"),'AES Indiana Bill Calc.'!$D$19,-1)</f>
        <v>-1</v>
      </c>
      <c r="C502" s="1" t="s">
        <v>227</v>
      </c>
      <c r="F502" s="36" t="s">
        <v>75</v>
      </c>
      <c r="G502" s="17">
        <f>SUM(J502:M502,O502:P502,R502:AA502)</f>
        <v>19.91</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0.01</v>
      </c>
      <c r="U502" s="17">
        <f t="shared" si="31"/>
        <v>0</v>
      </c>
      <c r="V502" s="17">
        <f t="shared" si="31"/>
        <v>-0.01</v>
      </c>
      <c r="W502" s="17">
        <f t="shared" si="31"/>
        <v>0</v>
      </c>
      <c r="X502" s="17">
        <f t="shared" si="31"/>
        <v>-0.01</v>
      </c>
      <c r="Y502" s="17">
        <f t="shared" si="31"/>
        <v>0</v>
      </c>
      <c r="Z502" s="17">
        <f t="shared" si="31"/>
        <v>0</v>
      </c>
      <c r="AA502" s="17">
        <f t="shared" si="31"/>
        <v>0</v>
      </c>
      <c r="AB502" s="19">
        <f>SUM(U497:AA497)</f>
        <v>0</v>
      </c>
      <c r="AC502" s="67" t="str">
        <f>+F502</f>
        <v>CB</v>
      </c>
    </row>
    <row r="503" spans="1:29" x14ac:dyDescent="0.2">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
      <c r="B505" s="103">
        <v>-1</v>
      </c>
      <c r="C505" s="4"/>
      <c r="I505" s="19"/>
      <c r="J505" s="157">
        <v>40</v>
      </c>
      <c r="K505" s="158">
        <v>8.9470999999999995E-2</v>
      </c>
      <c r="L505" s="5">
        <v>0</v>
      </c>
      <c r="M505" s="5"/>
      <c r="N505" s="5"/>
      <c r="O505" s="5"/>
      <c r="P505" s="5"/>
      <c r="Q505" s="5"/>
      <c r="R505" s="5"/>
      <c r="S505" s="27">
        <f>+M$4</f>
        <v>1.8E-3</v>
      </c>
      <c r="T505" s="27">
        <f t="shared" ref="T505:AA505" si="32">+R$4</f>
        <v>-5.5440000000000003E-3</v>
      </c>
      <c r="U505" s="27">
        <f>+S$3</f>
        <v>4.7739999999999996E-3</v>
      </c>
      <c r="V505" s="27">
        <f t="shared" si="32"/>
        <v>1.2638E-2</v>
      </c>
      <c r="W505" s="27">
        <f t="shared" si="32"/>
        <v>0</v>
      </c>
      <c r="X505" s="27">
        <f t="shared" si="32"/>
        <v>9.1430000000000001E-3</v>
      </c>
      <c r="Y505" s="27">
        <f t="shared" si="32"/>
        <v>-8.1800000000000004E-4</v>
      </c>
      <c r="Z505" s="27">
        <f t="shared" si="32"/>
        <v>4.2139999999999999E-3</v>
      </c>
      <c r="AA505" s="27">
        <f t="shared" si="32"/>
        <v>7.0699999999999995E-4</v>
      </c>
      <c r="AB505" s="19">
        <f>SUM(U505:Z505)</f>
        <v>2.9951000000000002E-2</v>
      </c>
    </row>
    <row r="506" spans="1:29" x14ac:dyDescent="0.2">
      <c r="A506" s="1"/>
      <c r="B506" s="103">
        <v>-1</v>
      </c>
      <c r="C506" s="37"/>
      <c r="I506" s="19"/>
      <c r="J506" s="72"/>
      <c r="K506" s="73">
        <v>999999</v>
      </c>
    </row>
    <row r="507" spans="1:29" x14ac:dyDescent="0.2">
      <c r="B507" s="103">
        <v>-1</v>
      </c>
      <c r="F507" s="12"/>
      <c r="I507" s="19"/>
      <c r="J507" s="12" t="s">
        <v>217</v>
      </c>
      <c r="K507" s="258" t="s">
        <v>30</v>
      </c>
      <c r="L507" s="258"/>
      <c r="M507" s="12"/>
      <c r="N507" s="12"/>
      <c r="O507" s="12"/>
      <c r="P507" s="12"/>
      <c r="Q507" s="140" t="s">
        <v>257</v>
      </c>
      <c r="R507" s="12"/>
      <c r="S507" s="12">
        <v>21</v>
      </c>
      <c r="T507" s="12">
        <v>6</v>
      </c>
      <c r="U507" s="12">
        <v>3</v>
      </c>
      <c r="V507" s="12">
        <v>22</v>
      </c>
      <c r="W507" s="12">
        <v>13</v>
      </c>
      <c r="X507" s="12">
        <v>20</v>
      </c>
      <c r="Y507" s="12">
        <v>24</v>
      </c>
      <c r="Z507" s="12">
        <v>25</v>
      </c>
      <c r="AA507" s="12">
        <v>26</v>
      </c>
    </row>
    <row r="508" spans="1:29" x14ac:dyDescent="0.2">
      <c r="A508" s="13"/>
      <c r="B508" s="14" t="s">
        <v>220</v>
      </c>
      <c r="C508" s="14" t="s">
        <v>282</v>
      </c>
      <c r="D508" s="15"/>
      <c r="F508" s="13" t="s">
        <v>221</v>
      </c>
      <c r="G508" s="13" t="s">
        <v>222</v>
      </c>
      <c r="H508" s="13" t="s">
        <v>223</v>
      </c>
      <c r="I508" s="19"/>
      <c r="J508" s="13" t="s">
        <v>224</v>
      </c>
      <c r="K508" s="13" t="s">
        <v>258</v>
      </c>
      <c r="L508" s="13"/>
      <c r="M508" s="13"/>
      <c r="N508" s="140" t="s">
        <v>218</v>
      </c>
      <c r="O508" s="13"/>
      <c r="P508" s="13"/>
      <c r="Q508" s="13"/>
      <c r="R508" s="13"/>
      <c r="S508" s="13" t="s">
        <v>180</v>
      </c>
      <c r="T508" s="13" t="s">
        <v>38</v>
      </c>
      <c r="U508" s="136" t="s">
        <v>40</v>
      </c>
      <c r="V508" s="13" t="s">
        <v>181</v>
      </c>
      <c r="W508" s="13" t="s">
        <v>182</v>
      </c>
      <c r="X508" s="13" t="s">
        <v>183</v>
      </c>
      <c r="Y508" s="136" t="s">
        <v>46</v>
      </c>
      <c r="Z508" s="136" t="s">
        <v>48</v>
      </c>
      <c r="AA508" s="136" t="s">
        <v>50</v>
      </c>
      <c r="AB508" s="66" t="s">
        <v>184</v>
      </c>
    </row>
    <row r="509" spans="1:29" x14ac:dyDescent="0.2">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x14ac:dyDescent="0.2">
      <c r="A510" s="53"/>
      <c r="B510" s="103">
        <f>IF(AND('AES Indiana Bill Calc.'!$D$17="UW",'AES Indiana Bill Calc.'!$D$18="Yes 100%"),'AES Indiana Bill Calc.'!$D$19,-1)</f>
        <v>-1</v>
      </c>
      <c r="C510" s="1" t="s">
        <v>228</v>
      </c>
      <c r="F510" s="36" t="s">
        <v>78</v>
      </c>
      <c r="G510" s="17">
        <f>SUM(J510:M510,O510:P510,R510:AA510)</f>
        <v>39.9</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0.01</v>
      </c>
      <c r="U510" s="17">
        <f t="shared" si="33"/>
        <v>0</v>
      </c>
      <c r="V510" s="17">
        <f t="shared" si="33"/>
        <v>-0.01</v>
      </c>
      <c r="W510" s="17">
        <f t="shared" si="33"/>
        <v>0</v>
      </c>
      <c r="X510" s="17">
        <f t="shared" si="33"/>
        <v>-0.01</v>
      </c>
      <c r="Y510" s="17">
        <f t="shared" si="33"/>
        <v>0</v>
      </c>
      <c r="Z510" s="17">
        <f t="shared" si="33"/>
        <v>0</v>
      </c>
      <c r="AA510" s="17">
        <f t="shared" si="33"/>
        <v>0</v>
      </c>
      <c r="AB510" s="19">
        <f>SUM(U505:AA505)</f>
        <v>3.0658000000000001E-2</v>
      </c>
      <c r="AC510" s="67" t="str">
        <f>+F510</f>
        <v>UW</v>
      </c>
    </row>
    <row r="511" spans="1:29" x14ac:dyDescent="0.2">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x14ac:dyDescent="0.2">
      <c r="A512" s="53"/>
      <c r="B512" s="103">
        <f>IF(AND('AES Indiana Bill Calc.'!$D$17="UW",'AES Indiana Bill Calc.'!$D$18="Yes 50%"),'AES Indiana Bill Calc.'!$D$19,-1)</f>
        <v>-1</v>
      </c>
      <c r="C512" s="1" t="s">
        <v>229</v>
      </c>
      <c r="F512" s="36" t="s">
        <v>78</v>
      </c>
      <c r="G512" s="17">
        <f>SUM(J512:M512,O512:P512,R512:AA512)</f>
        <v>39.9</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0.01</v>
      </c>
      <c r="U512" s="17">
        <f t="shared" si="33"/>
        <v>0</v>
      </c>
      <c r="V512" s="17">
        <f t="shared" si="33"/>
        <v>-0.01</v>
      </c>
      <c r="W512" s="17">
        <f t="shared" si="33"/>
        <v>0</v>
      </c>
      <c r="X512" s="17">
        <f t="shared" si="33"/>
        <v>-0.01</v>
      </c>
      <c r="Y512" s="17">
        <f t="shared" si="33"/>
        <v>0</v>
      </c>
      <c r="Z512" s="17">
        <f t="shared" si="33"/>
        <v>0</v>
      </c>
      <c r="AA512" s="17">
        <f t="shared" si="33"/>
        <v>0</v>
      </c>
      <c r="AB512" s="19">
        <f>SUM(U507:AA507)</f>
        <v>133</v>
      </c>
      <c r="AC512" s="67" t="str">
        <f>+F512</f>
        <v>UW</v>
      </c>
    </row>
    <row r="513" spans="1:29" x14ac:dyDescent="0.2">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x14ac:dyDescent="0.2">
      <c r="A514" s="53"/>
      <c r="B514" s="103">
        <f>IF(AND('AES Indiana Bill Calc.'!$D$17="UW",'AES Indiana Bill Calc.'!$D$18="Yes 25%"),'AES Indiana Bill Calc.'!$D$19,-1)</f>
        <v>-1</v>
      </c>
      <c r="C514" s="1" t="s">
        <v>230</v>
      </c>
      <c r="F514" s="36" t="s">
        <v>78</v>
      </c>
      <c r="G514" s="17">
        <f>SUM(J514:M514,O514:P514,R514:AA514)</f>
        <v>39.9</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0.01</v>
      </c>
      <c r="U514" s="17">
        <f t="shared" si="33"/>
        <v>0</v>
      </c>
      <c r="V514" s="17">
        <f t="shared" si="33"/>
        <v>-0.01</v>
      </c>
      <c r="W514" s="17">
        <f t="shared" si="33"/>
        <v>0</v>
      </c>
      <c r="X514" s="17">
        <f t="shared" si="33"/>
        <v>-0.01</v>
      </c>
      <c r="Y514" s="17">
        <f t="shared" si="33"/>
        <v>0</v>
      </c>
      <c r="Z514" s="17">
        <f t="shared" si="33"/>
        <v>0</v>
      </c>
      <c r="AA514" s="17">
        <f t="shared" si="33"/>
        <v>0</v>
      </c>
      <c r="AB514" s="19">
        <f>SUM(U509:AA509)</f>
        <v>0</v>
      </c>
      <c r="AC514" s="67" t="str">
        <f>+F514</f>
        <v>UW</v>
      </c>
    </row>
    <row r="515" spans="1:29" x14ac:dyDescent="0.2">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x14ac:dyDescent="0.2">
      <c r="A516" s="53"/>
      <c r="B516" s="103">
        <f>IF(AND('AES Indiana Bill Calc.'!$D$17="UW",'AES Indiana Bill Calc.'!$D$18="Yes 10%"),'AES Indiana Bill Calc.'!$D$19,-1)</f>
        <v>-1</v>
      </c>
      <c r="C516" s="1" t="s">
        <v>246</v>
      </c>
      <c r="F516" s="36" t="s">
        <v>78</v>
      </c>
      <c r="G516" s="17">
        <f>SUM(J516:M516,O516:P516,R516:AA516)</f>
        <v>39.9</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0.01</v>
      </c>
      <c r="U516" s="17">
        <f t="shared" si="33"/>
        <v>0</v>
      </c>
      <c r="V516" s="17">
        <f t="shared" si="33"/>
        <v>-0.01</v>
      </c>
      <c r="W516" s="17">
        <f t="shared" si="33"/>
        <v>0</v>
      </c>
      <c r="X516" s="17">
        <f t="shared" si="33"/>
        <v>-0.01</v>
      </c>
      <c r="Y516" s="17">
        <f t="shared" si="33"/>
        <v>0</v>
      </c>
      <c r="Z516" s="17">
        <f t="shared" si="33"/>
        <v>0</v>
      </c>
      <c r="AA516" s="17">
        <f t="shared" si="33"/>
        <v>0</v>
      </c>
      <c r="AB516" s="19">
        <f>SUM(U511:AA511)</f>
        <v>0</v>
      </c>
      <c r="AC516" s="67" t="str">
        <f>+F516</f>
        <v>UW</v>
      </c>
    </row>
    <row r="517" spans="1:29" x14ac:dyDescent="0.2">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x14ac:dyDescent="0.2">
      <c r="A518" s="53"/>
      <c r="B518" s="103">
        <f>IF(AND('AES Indiana Bill Calc.'!$D$17="UW",'AES Indiana Bill Calc.'!$D$18="No"),'AES Indiana Bill Calc.'!$D$19,-1)</f>
        <v>-1</v>
      </c>
      <c r="C518" s="1" t="s">
        <v>227</v>
      </c>
      <c r="F518" s="36" t="s">
        <v>78</v>
      </c>
      <c r="G518" s="17">
        <f>SUM(J518:M518,O518:P518,R518:AA518)</f>
        <v>39.9</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0.01</v>
      </c>
      <c r="U518" s="17">
        <f t="shared" si="33"/>
        <v>0</v>
      </c>
      <c r="V518" s="17">
        <f t="shared" si="33"/>
        <v>-0.01</v>
      </c>
      <c r="W518" s="17">
        <f t="shared" si="33"/>
        <v>0</v>
      </c>
      <c r="X518" s="17">
        <f t="shared" si="33"/>
        <v>-0.01</v>
      </c>
      <c r="Y518" s="17">
        <f t="shared" si="33"/>
        <v>0</v>
      </c>
      <c r="Z518" s="17">
        <f t="shared" si="33"/>
        <v>0</v>
      </c>
      <c r="AA518" s="17">
        <f t="shared" si="33"/>
        <v>0</v>
      </c>
      <c r="AB518" s="19">
        <f>SUM(U513:AA513)</f>
        <v>0</v>
      </c>
      <c r="AC518" s="67" t="str">
        <f>+F518</f>
        <v>UW</v>
      </c>
    </row>
    <row r="519" spans="1:29" ht="13.5" thickBot="1" x14ac:dyDescent="0.25">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
      <c r="B520" s="126">
        <v>-1</v>
      </c>
      <c r="G520" s="17"/>
      <c r="H520" s="19"/>
      <c r="I520" s="19"/>
      <c r="J520" s="8"/>
      <c r="K520" s="17"/>
      <c r="L520" s="8"/>
      <c r="M520" s="8"/>
      <c r="N520" s="8"/>
      <c r="O520" s="8"/>
      <c r="P520" s="8"/>
      <c r="Q520" s="8"/>
      <c r="R520" s="8"/>
      <c r="S520" s="17"/>
      <c r="T520" s="17"/>
      <c r="U520" s="17"/>
      <c r="V520" s="27">
        <f>+T10</f>
        <v>0</v>
      </c>
      <c r="W520" s="6" t="s">
        <v>242</v>
      </c>
      <c r="X520" s="17"/>
      <c r="Y520" s="17"/>
      <c r="Z520" s="17"/>
      <c r="AA520" s="17"/>
      <c r="AB520" s="19" t="e">
        <f>+AB$532-V$532+#REF!</f>
        <v>#REF!</v>
      </c>
    </row>
    <row r="521" spans="1:29" x14ac:dyDescent="0.2">
      <c r="B521" s="126">
        <v>-1</v>
      </c>
      <c r="L521" t="s">
        <v>283</v>
      </c>
      <c r="M521" t="s">
        <v>283</v>
      </c>
      <c r="S521" s="6"/>
      <c r="T521" s="6"/>
      <c r="U521" s="6"/>
      <c r="V521" s="27">
        <f>+T12</f>
        <v>0</v>
      </c>
      <c r="W521" s="6" t="s">
        <v>243</v>
      </c>
      <c r="X521" s="6"/>
      <c r="Y521" s="6"/>
      <c r="Z521" s="6"/>
      <c r="AA521" s="6"/>
      <c r="AB521" s="19">
        <f>+AB$532-V$532+V520</f>
        <v>1.3467E-2</v>
      </c>
    </row>
    <row r="522" spans="1:29" x14ac:dyDescent="0.2">
      <c r="B522" s="126">
        <v>-1</v>
      </c>
      <c r="S522" s="6"/>
      <c r="T522" s="6"/>
      <c r="U522" s="6"/>
      <c r="V522" s="27">
        <f>+T14</f>
        <v>0</v>
      </c>
      <c r="W522" s="6" t="s">
        <v>234</v>
      </c>
      <c r="X522" s="6"/>
      <c r="Y522" s="6"/>
      <c r="Z522" s="6"/>
      <c r="AA522" s="6"/>
      <c r="AB522" s="19">
        <f>+AB$532-V$532+V521</f>
        <v>1.3467E-2</v>
      </c>
    </row>
    <row r="523" spans="1:29" x14ac:dyDescent="0.2">
      <c r="B523" s="126">
        <v>-1</v>
      </c>
      <c r="S523" s="6"/>
      <c r="T523" s="6"/>
      <c r="U523" s="6"/>
      <c r="V523" s="27">
        <f>T16</f>
        <v>0</v>
      </c>
      <c r="W523" s="6" t="s">
        <v>235</v>
      </c>
      <c r="X523" s="6"/>
      <c r="Y523" s="6"/>
      <c r="Z523" s="6"/>
      <c r="AA523" s="6"/>
      <c r="AB523" s="19">
        <f>+AB$532-V$532+V522</f>
        <v>1.3467E-2</v>
      </c>
    </row>
    <row r="524" spans="1:29" x14ac:dyDescent="0.2">
      <c r="B524" s="126">
        <v>-1</v>
      </c>
      <c r="S524" s="6"/>
      <c r="T524" s="6"/>
      <c r="U524" s="6"/>
      <c r="V524" s="27">
        <f>$T$19</f>
        <v>0</v>
      </c>
      <c r="W524" s="6" t="s">
        <v>236</v>
      </c>
      <c r="X524" s="6"/>
      <c r="Y524" s="6"/>
      <c r="Z524" s="6"/>
      <c r="AA524" s="6"/>
      <c r="AB524" s="19"/>
    </row>
    <row r="525" spans="1:29" x14ac:dyDescent="0.2">
      <c r="B525" s="126">
        <v>-1</v>
      </c>
      <c r="S525" s="6"/>
      <c r="T525" s="6"/>
      <c r="U525" s="6"/>
      <c r="V525" s="27">
        <f>$T$21</f>
        <v>0</v>
      </c>
      <c r="W525" s="6" t="s">
        <v>237</v>
      </c>
      <c r="X525" s="6"/>
      <c r="Y525" s="6"/>
      <c r="Z525" s="6"/>
      <c r="AA525" s="6"/>
      <c r="AB525" s="19"/>
    </row>
    <row r="526" spans="1:29" x14ac:dyDescent="0.2">
      <c r="B526" s="126">
        <v>-1</v>
      </c>
      <c r="S526" s="6"/>
      <c r="T526" s="6"/>
      <c r="U526" s="6"/>
      <c r="V526" s="27">
        <f>$T$23</f>
        <v>-4.0299999999999998E-4</v>
      </c>
      <c r="W526" s="6" t="s">
        <v>238</v>
      </c>
      <c r="X526" s="6"/>
      <c r="Y526" s="6"/>
      <c r="Z526" s="6"/>
      <c r="AA526" s="6"/>
      <c r="AB526" s="19"/>
    </row>
    <row r="527" spans="1:29" x14ac:dyDescent="0.2">
      <c r="B527" s="126">
        <v>-1</v>
      </c>
      <c r="S527" s="6"/>
      <c r="T527" s="6"/>
      <c r="U527" s="6"/>
      <c r="V527" s="27">
        <f>$T$25</f>
        <v>0</v>
      </c>
      <c r="W527" s="6" t="s">
        <v>239</v>
      </c>
      <c r="X527" s="6"/>
      <c r="Y527" s="6"/>
      <c r="Z527" s="6"/>
      <c r="AA527" s="6"/>
      <c r="AB527" s="19"/>
    </row>
    <row r="528" spans="1:29" x14ac:dyDescent="0.2">
      <c r="B528" s="126">
        <v>-1</v>
      </c>
      <c r="S528" s="6"/>
      <c r="T528" s="6"/>
      <c r="U528" s="6"/>
      <c r="V528" s="19">
        <f>T27</f>
        <v>0</v>
      </c>
      <c r="W528" s="6" t="s">
        <v>240</v>
      </c>
      <c r="X528" s="6"/>
      <c r="Y528" s="6"/>
      <c r="Z528" s="6"/>
      <c r="AA528" s="6"/>
      <c r="AB528" s="19"/>
    </row>
    <row r="529" spans="1:29" x14ac:dyDescent="0.2">
      <c r="B529" s="126">
        <v>-1</v>
      </c>
      <c r="S529" s="6"/>
      <c r="T529" s="6"/>
      <c r="U529" s="6"/>
      <c r="V529" s="19">
        <f>T29</f>
        <v>3.3769999999999998E-3</v>
      </c>
      <c r="W529" s="6" t="s">
        <v>241</v>
      </c>
      <c r="X529" s="6"/>
      <c r="Y529" s="6"/>
      <c r="Z529" s="6"/>
      <c r="AA529" s="6"/>
      <c r="AB529" s="19"/>
    </row>
    <row r="530" spans="1:29" x14ac:dyDescent="0.2">
      <c r="B530" s="126">
        <v>-1</v>
      </c>
      <c r="S530" s="6"/>
      <c r="T530" s="6"/>
      <c r="U530" s="6"/>
      <c r="V530" s="19">
        <f>T31</f>
        <v>7.6290000000000004E-3</v>
      </c>
      <c r="W530" s="6" t="s">
        <v>242</v>
      </c>
      <c r="X530" s="6"/>
      <c r="Y530" s="6"/>
      <c r="Z530" s="6"/>
      <c r="AA530" s="6"/>
      <c r="AB530" s="19"/>
    </row>
    <row r="531" spans="1:29" x14ac:dyDescent="0.2">
      <c r="B531" s="126"/>
      <c r="S531" s="6"/>
      <c r="T531" s="6"/>
      <c r="U531" s="6"/>
      <c r="V531" s="19">
        <f>T33</f>
        <v>9.0039999999999999E-3</v>
      </c>
      <c r="W531" s="6" t="s">
        <v>243</v>
      </c>
      <c r="X531" s="6"/>
      <c r="Y531" s="6"/>
      <c r="Z531" s="6"/>
      <c r="AA531" s="6"/>
      <c r="AB531" s="19"/>
    </row>
    <row r="532" spans="1:29" x14ac:dyDescent="0.2">
      <c r="B532" s="126">
        <v>-1</v>
      </c>
      <c r="C532" s="33" t="s">
        <v>284</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-5.5440000000000003E-3</v>
      </c>
      <c r="U532" s="27">
        <f t="shared" si="34"/>
        <v>2.098E-3</v>
      </c>
      <c r="V532" s="27">
        <f t="shared" si="34"/>
        <v>1.5089999999999999E-2</v>
      </c>
      <c r="W532" s="27">
        <f t="shared" si="34"/>
        <v>0</v>
      </c>
      <c r="X532" s="27">
        <f t="shared" si="34"/>
        <v>7.9070000000000008E-3</v>
      </c>
      <c r="Y532" s="27">
        <f t="shared" si="34"/>
        <v>-4.8200000000000001E-4</v>
      </c>
      <c r="Z532" s="27">
        <f t="shared" si="34"/>
        <v>3.9439999999999996E-3</v>
      </c>
      <c r="AA532" s="27">
        <f t="shared" si="34"/>
        <v>6.6600000000000003E-4</v>
      </c>
      <c r="AB532" s="19">
        <f>SUM(U532:Z532)</f>
        <v>2.8556999999999999E-2</v>
      </c>
    </row>
    <row r="533" spans="1:29" x14ac:dyDescent="0.2">
      <c r="A533" s="1"/>
      <c r="B533" s="126">
        <v>-1</v>
      </c>
      <c r="C533" s="73">
        <v>50</v>
      </c>
      <c r="D533" s="70"/>
      <c r="F533" s="70"/>
      <c r="G533" s="70"/>
      <c r="H533" s="70"/>
      <c r="I533" s="70"/>
      <c r="J533" s="70"/>
      <c r="K533" s="70"/>
      <c r="M533" s="73">
        <v>500</v>
      </c>
      <c r="N533" s="73"/>
      <c r="O533" s="70"/>
      <c r="P533" s="70"/>
      <c r="Q533" s="70"/>
      <c r="R533" s="12" t="s">
        <v>285</v>
      </c>
    </row>
    <row r="534" spans="1:29" x14ac:dyDescent="0.2">
      <c r="B534" s="126">
        <v>-1</v>
      </c>
      <c r="D534" s="12" t="s">
        <v>286</v>
      </c>
      <c r="F534" s="12"/>
      <c r="J534" s="12" t="s">
        <v>217</v>
      </c>
      <c r="K534" s="12" t="s">
        <v>287</v>
      </c>
      <c r="N534" s="130" t="s">
        <v>218</v>
      </c>
      <c r="O534" s="15" t="s">
        <v>32</v>
      </c>
      <c r="P534" s="15"/>
      <c r="Q534" s="140" t="s">
        <v>257</v>
      </c>
      <c r="R534" s="12" t="s">
        <v>286</v>
      </c>
      <c r="S534" s="12">
        <v>21</v>
      </c>
      <c r="T534" s="12">
        <v>6</v>
      </c>
      <c r="U534" s="12">
        <v>3</v>
      </c>
      <c r="V534" s="12">
        <v>22</v>
      </c>
      <c r="W534" s="12">
        <v>13</v>
      </c>
      <c r="X534" s="12">
        <v>20</v>
      </c>
      <c r="Y534" s="12">
        <v>24</v>
      </c>
      <c r="Z534" s="12">
        <v>25</v>
      </c>
      <c r="AA534" s="12">
        <v>26</v>
      </c>
    </row>
    <row r="535" spans="1:29" x14ac:dyDescent="0.2">
      <c r="A535" s="13"/>
      <c r="B535" s="126">
        <v>-1</v>
      </c>
      <c r="C535" s="14" t="s">
        <v>282</v>
      </c>
      <c r="D535" s="13" t="s">
        <v>288</v>
      </c>
      <c r="E535" s="130" t="s">
        <v>289</v>
      </c>
      <c r="F535" s="13" t="s">
        <v>221</v>
      </c>
      <c r="G535" s="13" t="s">
        <v>222</v>
      </c>
      <c r="H535" s="13" t="s">
        <v>223</v>
      </c>
      <c r="I535" s="12"/>
      <c r="J535" s="13" t="s">
        <v>224</v>
      </c>
      <c r="K535" s="13" t="s">
        <v>224</v>
      </c>
      <c r="O535" s="13" t="s">
        <v>290</v>
      </c>
      <c r="P535" s="13" t="s">
        <v>226</v>
      </c>
      <c r="Q535" s="13"/>
      <c r="R535" s="13" t="s">
        <v>291</v>
      </c>
      <c r="S535" s="13" t="s">
        <v>180</v>
      </c>
      <c r="T535" s="13" t="s">
        <v>38</v>
      </c>
      <c r="U535" s="136" t="s">
        <v>40</v>
      </c>
      <c r="V535" s="13" t="s">
        <v>181</v>
      </c>
      <c r="W535" s="13" t="s">
        <v>182</v>
      </c>
      <c r="X535" s="13" t="s">
        <v>183</v>
      </c>
      <c r="Y535" s="136" t="s">
        <v>46</v>
      </c>
      <c r="Z535" s="136" t="s">
        <v>48</v>
      </c>
      <c r="AA535" s="136" t="s">
        <v>50</v>
      </c>
      <c r="AB535" s="66" t="s">
        <v>184</v>
      </c>
    </row>
    <row r="536" spans="1:29" x14ac:dyDescent="0.2">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x14ac:dyDescent="0.2">
      <c r="A537" s="1" t="s">
        <v>228</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81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0.01</v>
      </c>
      <c r="U537" s="17">
        <f t="shared" si="35"/>
        <v>0</v>
      </c>
      <c r="V537" s="17">
        <f t="shared" si="35"/>
        <v>-0.02</v>
      </c>
      <c r="W537" s="17">
        <f t="shared" si="35"/>
        <v>0</v>
      </c>
      <c r="X537" s="17">
        <f t="shared" si="35"/>
        <v>-0.01</v>
      </c>
      <c r="Y537" s="17">
        <f t="shared" si="35"/>
        <v>0</v>
      </c>
      <c r="Z537" s="17">
        <f t="shared" si="35"/>
        <v>0</v>
      </c>
      <c r="AA537" s="17">
        <f t="shared" si="35"/>
        <v>0</v>
      </c>
      <c r="AB537" s="19">
        <f>SUM(U532:AA532)</f>
        <v>2.9222999999999999E-2</v>
      </c>
      <c r="AC537" s="67" t="str">
        <f>+F537</f>
        <v>SL</v>
      </c>
    </row>
    <row r="538" spans="1:29" x14ac:dyDescent="0.2">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x14ac:dyDescent="0.2">
      <c r="A539" s="1" t="s">
        <v>229</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81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0.01</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x14ac:dyDescent="0.2">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x14ac:dyDescent="0.2">
      <c r="A541" s="1" t="s">
        <v>230</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81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0.01</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x14ac:dyDescent="0.2">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x14ac:dyDescent="0.2">
      <c r="A543" s="1" t="s">
        <v>246</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81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0.01</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x14ac:dyDescent="0.2">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x14ac:dyDescent="0.2">
      <c r="A545" s="1" t="s">
        <v>227</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81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0.01</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x14ac:dyDescent="0.2">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x14ac:dyDescent="0.2">
      <c r="A547" s="1" t="s">
        <v>228</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292</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0.01</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1.4133E-2</v>
      </c>
      <c r="AC547" s="94" t="str">
        <f>+F547</f>
        <v>SL7</v>
      </c>
    </row>
    <row r="548" spans="1:29" x14ac:dyDescent="0.2">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x14ac:dyDescent="0.2">
      <c r="A549" s="1" t="s">
        <v>229</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292</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0.01</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1.4133E-2</v>
      </c>
      <c r="AC549" s="94" t="str">
        <f>+F549</f>
        <v>SL7</v>
      </c>
    </row>
    <row r="550" spans="1:29" x14ac:dyDescent="0.2">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x14ac:dyDescent="0.2">
      <c r="A551" s="1" t="s">
        <v>230</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292</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0.01</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1.3729999999999999E-2</v>
      </c>
      <c r="AC551" s="94" t="str">
        <f>+F551</f>
        <v>SL7</v>
      </c>
    </row>
    <row r="552" spans="1:29" x14ac:dyDescent="0.2">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x14ac:dyDescent="0.2">
      <c r="A553" s="1" t="s">
        <v>246</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292</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0.01</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1.4133E-2</v>
      </c>
      <c r="AC553" s="94" t="str">
        <f>+F553</f>
        <v>SL7</v>
      </c>
    </row>
    <row r="554" spans="1:29" x14ac:dyDescent="0.2">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x14ac:dyDescent="0.2">
      <c r="A555" s="1" t="s">
        <v>227</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292</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0.01</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x14ac:dyDescent="0.2">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x14ac:dyDescent="0.2">
      <c r="A557" s="1" t="s">
        <v>228</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293</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0.01</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1.4133E-2</v>
      </c>
      <c r="AC557" s="94" t="str">
        <f>+F557</f>
        <v>SL8</v>
      </c>
    </row>
    <row r="558" spans="1:29" x14ac:dyDescent="0.2">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x14ac:dyDescent="0.2">
      <c r="A559" s="1" t="s">
        <v>229</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293</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0.01</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x14ac:dyDescent="0.2">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x14ac:dyDescent="0.2">
      <c r="A561" s="1" t="s">
        <v>230</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293</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0.01</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-5.8669999999999972E-3</v>
      </c>
      <c r="AC561" s="94" t="str">
        <f>+F561</f>
        <v>SL8</v>
      </c>
    </row>
    <row r="562" spans="1:29" x14ac:dyDescent="0.2">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x14ac:dyDescent="0.2">
      <c r="A563" s="1" t="s">
        <v>246</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293</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0.01</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-5.8669999999999972E-3</v>
      </c>
      <c r="AC563" s="94" t="str">
        <f>+F563</f>
        <v>SL8</v>
      </c>
    </row>
    <row r="564" spans="1:29" x14ac:dyDescent="0.2">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x14ac:dyDescent="0.2">
      <c r="A565" s="1" t="s">
        <v>227</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293</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0.01</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-5.8669999999999972E-3</v>
      </c>
      <c r="AC565" s="94" t="str">
        <f>+F565</f>
        <v>SL8</v>
      </c>
    </row>
    <row r="566" spans="1:29" x14ac:dyDescent="0.2">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x14ac:dyDescent="0.2">
      <c r="A567" s="1" t="s">
        <v>228</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294</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0.01</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x14ac:dyDescent="0.2">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x14ac:dyDescent="0.2">
      <c r="A569" s="1" t="s">
        <v>229</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294</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0.01</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-5.8669999999999972E-3</v>
      </c>
      <c r="AC569" s="94" t="str">
        <f>+F569</f>
        <v>SL9</v>
      </c>
    </row>
    <row r="570" spans="1:29" x14ac:dyDescent="0.2">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x14ac:dyDescent="0.2">
      <c r="A571" s="1" t="s">
        <v>230</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294</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0.01</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-5.8669999999999972E-3</v>
      </c>
      <c r="AC571" s="94" t="str">
        <f>+F571</f>
        <v>SL9</v>
      </c>
    </row>
    <row r="572" spans="1:29" x14ac:dyDescent="0.2">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x14ac:dyDescent="0.2">
      <c r="A573" s="1" t="s">
        <v>246</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294</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0.01</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-5.8669999999999972E-3</v>
      </c>
      <c r="AC573" s="94" t="str">
        <f>+F573</f>
        <v>SL9</v>
      </c>
    </row>
    <row r="574" spans="1:29" x14ac:dyDescent="0.2">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x14ac:dyDescent="0.2">
      <c r="A575" s="1" t="s">
        <v>227</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294</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0.01</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-5.8669999999999972E-3</v>
      </c>
      <c r="AC575" s="94" t="str">
        <f>+F575</f>
        <v>SL9</v>
      </c>
    </row>
    <row r="576" spans="1:29" x14ac:dyDescent="0.2">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25">
      <c r="A577" s="1" t="s">
        <v>228</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295</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0.01</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-5.8669999999999972E-3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x14ac:dyDescent="0.2">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x14ac:dyDescent="0.2">
      <c r="A579" s="1" t="s">
        <v>229</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295</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0.01</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-5.8669999999999972E-3</v>
      </c>
      <c r="AC579" s="94" t="str">
        <f>+F579</f>
        <v>SL0</v>
      </c>
    </row>
    <row r="580" spans="1:123" x14ac:dyDescent="0.2">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x14ac:dyDescent="0.2">
      <c r="A581" s="1" t="s">
        <v>230</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295</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0.01</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-5.8669999999999972E-3</v>
      </c>
      <c r="AC581" s="94" t="str">
        <f>+F581</f>
        <v>SL0</v>
      </c>
    </row>
    <row r="582" spans="1:123" x14ac:dyDescent="0.2">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x14ac:dyDescent="0.2">
      <c r="A583" s="1" t="s">
        <v>246</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295</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0.01</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-5.8669999999999972E-3</v>
      </c>
      <c r="AC583" s="94" t="str">
        <f>+F583</f>
        <v>SL0</v>
      </c>
    </row>
    <row r="584" spans="1:123" x14ac:dyDescent="0.2">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x14ac:dyDescent="0.2">
      <c r="A585" s="1" t="s">
        <v>227</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295</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0.01</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-5.8669999999999972E-3</v>
      </c>
      <c r="AC585" s="94" t="str">
        <f>+F585</f>
        <v>SL0</v>
      </c>
    </row>
    <row r="586" spans="1:123" x14ac:dyDescent="0.2">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x14ac:dyDescent="0.2">
      <c r="A587" s="1" t="s">
        <v>228</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296</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0.01</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x14ac:dyDescent="0.2">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x14ac:dyDescent="0.2">
      <c r="A589" s="1" t="s">
        <v>229</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296</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0.01</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x14ac:dyDescent="0.2">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x14ac:dyDescent="0.2">
      <c r="A591" s="1" t="s">
        <v>230</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296</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0.01</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x14ac:dyDescent="0.2">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x14ac:dyDescent="0.2">
      <c r="A593" s="1" t="s">
        <v>246</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296</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0.01</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x14ac:dyDescent="0.2">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x14ac:dyDescent="0.2">
      <c r="A595" s="1" t="s">
        <v>227</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296</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0.01</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x14ac:dyDescent="0.2">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x14ac:dyDescent="0.2">
      <c r="A597" s="1" t="s">
        <v>228</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297</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0.01</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x14ac:dyDescent="0.2">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x14ac:dyDescent="0.2">
      <c r="A599" s="1" t="s">
        <v>229</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297</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0.01</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x14ac:dyDescent="0.2">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x14ac:dyDescent="0.2">
      <c r="A601" s="1" t="s">
        <v>230</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297</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0.01</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x14ac:dyDescent="0.2">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x14ac:dyDescent="0.2">
      <c r="A603" s="1" t="s">
        <v>246</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297</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0.01</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x14ac:dyDescent="0.2">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x14ac:dyDescent="0.2">
      <c r="A605" s="1" t="s">
        <v>227</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297</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0.01</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x14ac:dyDescent="0.2">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x14ac:dyDescent="0.2">
      <c r="A607" s="1" t="s">
        <v>228</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298</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0.01</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x14ac:dyDescent="0.2">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x14ac:dyDescent="0.2">
      <c r="A609" s="1" t="s">
        <v>229</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298</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0.01</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x14ac:dyDescent="0.2">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x14ac:dyDescent="0.2">
      <c r="A611" s="1" t="s">
        <v>230</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298</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0.01</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x14ac:dyDescent="0.2">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x14ac:dyDescent="0.2">
      <c r="A613" s="1" t="s">
        <v>246</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298</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0.01</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x14ac:dyDescent="0.2">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x14ac:dyDescent="0.2">
      <c r="A615" s="1" t="s">
        <v>227</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298</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0.01</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x14ac:dyDescent="0.2">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x14ac:dyDescent="0.2">
      <c r="A617" s="1" t="s">
        <v>228</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299</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0.01</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x14ac:dyDescent="0.2">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x14ac:dyDescent="0.2">
      <c r="A619" s="1" t="s">
        <v>229</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299</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0.01</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x14ac:dyDescent="0.2">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x14ac:dyDescent="0.2">
      <c r="A621" s="1" t="s">
        <v>230</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299</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0.01</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x14ac:dyDescent="0.2">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x14ac:dyDescent="0.2">
      <c r="A623" s="1" t="s">
        <v>246</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299</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0.01</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x14ac:dyDescent="0.2">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x14ac:dyDescent="0.2">
      <c r="A625" s="1" t="s">
        <v>227</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299</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0.01</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x14ac:dyDescent="0.2">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x14ac:dyDescent="0.2">
      <c r="A627" s="1" t="s">
        <v>228</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300</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0.01</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x14ac:dyDescent="0.2">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x14ac:dyDescent="0.2">
      <c r="A629" s="1" t="s">
        <v>229</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300</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0.01</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x14ac:dyDescent="0.2">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x14ac:dyDescent="0.2">
      <c r="A631" s="1" t="s">
        <v>230</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300</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0.01</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x14ac:dyDescent="0.2">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x14ac:dyDescent="0.2">
      <c r="A633" s="1" t="s">
        <v>246</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300</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0.01</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x14ac:dyDescent="0.2">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x14ac:dyDescent="0.2">
      <c r="A635" s="1" t="s">
        <v>227</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300</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0.01</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x14ac:dyDescent="0.2">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x14ac:dyDescent="0.2">
      <c r="A637" s="1" t="s">
        <v>228</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301</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0.01</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x14ac:dyDescent="0.2">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x14ac:dyDescent="0.2">
      <c r="A639" s="1" t="s">
        <v>229</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301</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0.01</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x14ac:dyDescent="0.2">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x14ac:dyDescent="0.2">
      <c r="A641" s="1" t="s">
        <v>230</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301</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0.01</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x14ac:dyDescent="0.2">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x14ac:dyDescent="0.2">
      <c r="A643" s="1" t="s">
        <v>246</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301</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0.01</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x14ac:dyDescent="0.2">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x14ac:dyDescent="0.2">
      <c r="A645" s="1" t="s">
        <v>227</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301</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0.01</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x14ac:dyDescent="0.2">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
      <c r="B647" s="103">
        <v>-1</v>
      </c>
      <c r="C647" s="9"/>
      <c r="D647" s="8"/>
      <c r="S647" s="6"/>
      <c r="T647" s="6"/>
      <c r="U647" s="6"/>
      <c r="V647" s="27">
        <f>+T14</f>
        <v>0</v>
      </c>
      <c r="W647" s="6" t="s">
        <v>234</v>
      </c>
      <c r="X647" s="6"/>
      <c r="Y647" s="6"/>
      <c r="Z647" s="6"/>
      <c r="AA647" s="6"/>
      <c r="AB647" s="19" t="e">
        <f>+AB$657-V$657+#REF!</f>
        <v>#REF!</v>
      </c>
    </row>
    <row r="648" spans="1:29" x14ac:dyDescent="0.2">
      <c r="B648" s="103">
        <v>-1</v>
      </c>
      <c r="C648" s="9"/>
      <c r="D648" s="8"/>
      <c r="S648" s="6"/>
      <c r="T648" s="6"/>
      <c r="U648" s="6"/>
      <c r="V648" s="27">
        <f>T16</f>
        <v>0</v>
      </c>
      <c r="W648" s="6" t="s">
        <v>235</v>
      </c>
      <c r="X648" s="6"/>
      <c r="Y648" s="6"/>
      <c r="Z648" s="6"/>
      <c r="AA648" s="6"/>
      <c r="AB648" s="19"/>
    </row>
    <row r="649" spans="1:29" x14ac:dyDescent="0.2">
      <c r="B649" s="103">
        <v>-1</v>
      </c>
      <c r="C649" s="9"/>
      <c r="D649" s="8"/>
      <c r="S649" s="6"/>
      <c r="T649" s="6"/>
      <c r="U649" s="6"/>
      <c r="V649" s="27">
        <f>$T$19</f>
        <v>0</v>
      </c>
      <c r="W649" s="6" t="s">
        <v>236</v>
      </c>
      <c r="X649" s="6"/>
      <c r="Y649" s="6"/>
      <c r="Z649" s="6"/>
      <c r="AA649" s="6"/>
      <c r="AB649" s="19"/>
    </row>
    <row r="650" spans="1:29" x14ac:dyDescent="0.2">
      <c r="B650" s="103">
        <v>-1</v>
      </c>
      <c r="C650" s="9"/>
      <c r="D650" s="8"/>
      <c r="S650" s="6"/>
      <c r="T650" s="6"/>
      <c r="U650" s="6"/>
      <c r="V650" s="27">
        <f>$T$21</f>
        <v>0</v>
      </c>
      <c r="W650" s="6" t="s">
        <v>237</v>
      </c>
      <c r="X650" s="6"/>
      <c r="Y650" s="6"/>
      <c r="Z650" s="6"/>
      <c r="AA650" s="6"/>
      <c r="AB650" s="19"/>
    </row>
    <row r="651" spans="1:29" x14ac:dyDescent="0.2">
      <c r="B651" s="103">
        <v>-1</v>
      </c>
      <c r="C651" s="9"/>
      <c r="D651" s="8"/>
      <c r="S651" s="6"/>
      <c r="T651" s="6"/>
      <c r="U651" s="6"/>
      <c r="V651" s="27">
        <f>$T$23</f>
        <v>-4.0299999999999998E-4</v>
      </c>
      <c r="W651" s="6" t="s">
        <v>238</v>
      </c>
      <c r="X651" s="6"/>
      <c r="Y651" s="6"/>
      <c r="Z651" s="6"/>
      <c r="AA651" s="6"/>
      <c r="AB651" s="19"/>
    </row>
    <row r="652" spans="1:29" x14ac:dyDescent="0.2">
      <c r="B652" s="103">
        <v>-1</v>
      </c>
      <c r="C652" s="33" t="s">
        <v>284</v>
      </c>
      <c r="D652" s="8"/>
      <c r="S652" s="6"/>
      <c r="T652" s="6"/>
      <c r="U652" s="6"/>
      <c r="V652" s="27">
        <f>$T$25</f>
        <v>0</v>
      </c>
      <c r="W652" s="6" t="s">
        <v>239</v>
      </c>
      <c r="X652" s="6"/>
      <c r="Y652" s="6"/>
      <c r="Z652" s="6"/>
      <c r="AA652" s="6"/>
      <c r="AB652" s="19"/>
    </row>
    <row r="653" spans="1:29" x14ac:dyDescent="0.2">
      <c r="B653" s="103">
        <v>-1</v>
      </c>
      <c r="C653" s="73">
        <v>500</v>
      </c>
      <c r="D653" s="8"/>
      <c r="S653" s="6"/>
      <c r="T653" s="6"/>
      <c r="U653" s="6"/>
      <c r="V653" s="19">
        <f>T27</f>
        <v>0</v>
      </c>
      <c r="W653" s="6" t="s">
        <v>240</v>
      </c>
      <c r="X653" s="6"/>
      <c r="Y653" s="6"/>
      <c r="Z653" s="6"/>
      <c r="AA653" s="6"/>
      <c r="AB653" s="19"/>
    </row>
    <row r="654" spans="1:29" x14ac:dyDescent="0.2">
      <c r="B654" s="103">
        <v>-1</v>
      </c>
      <c r="C654" s="73"/>
      <c r="D654" s="8"/>
      <c r="S654" s="6"/>
      <c r="T654" s="6"/>
      <c r="U654" s="6"/>
      <c r="V654" s="19">
        <f>T29</f>
        <v>3.3769999999999998E-3</v>
      </c>
      <c r="W654" s="6" t="s">
        <v>241</v>
      </c>
      <c r="X654" s="6"/>
      <c r="Y654" s="6"/>
      <c r="Z654" s="6"/>
      <c r="AA654" s="6"/>
      <c r="AB654" s="19"/>
    </row>
    <row r="655" spans="1:29" x14ac:dyDescent="0.2">
      <c r="B655" s="103">
        <v>-1</v>
      </c>
      <c r="C655" s="73"/>
      <c r="D655" s="8"/>
      <c r="S655" s="6"/>
      <c r="T655" s="6"/>
      <c r="U655" s="6"/>
      <c r="V655" s="19">
        <f>T31</f>
        <v>7.6290000000000004E-3</v>
      </c>
      <c r="W655" s="6" t="s">
        <v>242</v>
      </c>
      <c r="X655" s="6"/>
      <c r="Y655" s="6"/>
      <c r="Z655" s="6"/>
      <c r="AA655" s="6"/>
      <c r="AB655" s="19"/>
    </row>
    <row r="656" spans="1:29" x14ac:dyDescent="0.2">
      <c r="B656" s="103"/>
      <c r="C656" s="73"/>
      <c r="D656" s="8"/>
      <c r="S656" s="6"/>
      <c r="T656" s="6"/>
      <c r="U656" s="6"/>
      <c r="V656" s="19">
        <f>T33</f>
        <v>9.0039999999999999E-3</v>
      </c>
      <c r="W656" s="6" t="s">
        <v>243</v>
      </c>
      <c r="X656" s="6"/>
      <c r="Y656" s="6"/>
      <c r="Z656" s="6"/>
      <c r="AA656" s="6"/>
      <c r="AB656" s="19"/>
    </row>
    <row r="657" spans="1:29" x14ac:dyDescent="0.2">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-5.5440000000000003E-3</v>
      </c>
      <c r="U657" s="27">
        <f>+S$35</f>
        <v>1.6930000000000001E-3</v>
      </c>
      <c r="V657" s="27">
        <f>+T$5</f>
        <v>1.5089999999999999E-2</v>
      </c>
      <c r="W657" s="27">
        <f>+U$5</f>
        <v>0</v>
      </c>
      <c r="X657" s="27">
        <f>+V$35</f>
        <v>7.2249999999999997E-3</v>
      </c>
      <c r="Y657" s="27">
        <f>W35</f>
        <v>-2.5599999999999999E-4</v>
      </c>
      <c r="Z657" s="27">
        <f>X35</f>
        <v>3.1589999999999999E-3</v>
      </c>
      <c r="AA657" s="27">
        <f>Y35</f>
        <v>5.6300000000000002E-4</v>
      </c>
      <c r="AB657" s="19">
        <f>SUM(U657:Z657)</f>
        <v>2.6910999999999997E-2</v>
      </c>
    </row>
    <row r="658" spans="1:29" x14ac:dyDescent="0.2">
      <c r="B658" s="103">
        <v>-1</v>
      </c>
      <c r="C658" s="9"/>
      <c r="D658" s="8"/>
      <c r="F658" s="70"/>
      <c r="G658" s="70"/>
      <c r="H658" s="70"/>
      <c r="I658" s="70"/>
      <c r="J658" s="70"/>
      <c r="K658" s="70"/>
      <c r="L658" s="73">
        <v>2000</v>
      </c>
      <c r="M658" s="70"/>
      <c r="N658" s="70"/>
      <c r="O658" s="70"/>
      <c r="P658" s="70"/>
      <c r="Q658" s="70"/>
    </row>
    <row r="659" spans="1:29" x14ac:dyDescent="0.2">
      <c r="B659" s="103">
        <v>-1</v>
      </c>
      <c r="C659" s="9"/>
      <c r="D659" s="8"/>
      <c r="F659" s="12"/>
      <c r="J659" s="12" t="s">
        <v>217</v>
      </c>
      <c r="K659" s="12" t="s">
        <v>287</v>
      </c>
      <c r="L659" s="258" t="s">
        <v>32</v>
      </c>
      <c r="M659" s="258"/>
      <c r="N659" s="12"/>
      <c r="O659" s="12"/>
      <c r="P659" s="12"/>
      <c r="Q659" s="12"/>
      <c r="R659" s="12" t="s">
        <v>286</v>
      </c>
      <c r="S659" s="12">
        <v>21</v>
      </c>
      <c r="T659" s="12">
        <v>6</v>
      </c>
      <c r="U659" s="12">
        <v>3</v>
      </c>
      <c r="V659" s="12">
        <v>22</v>
      </c>
      <c r="W659" s="12">
        <v>13</v>
      </c>
      <c r="X659" s="12">
        <v>20</v>
      </c>
      <c r="Y659" s="12">
        <v>24</v>
      </c>
      <c r="Z659" s="12">
        <v>25</v>
      </c>
      <c r="AA659" s="12">
        <v>26</v>
      </c>
    </row>
    <row r="660" spans="1:29" x14ac:dyDescent="0.2">
      <c r="A660" s="13"/>
      <c r="B660" s="103">
        <v>-1</v>
      </c>
      <c r="C660" s="99" t="s">
        <v>302</v>
      </c>
      <c r="D660" s="100" t="s">
        <v>303</v>
      </c>
      <c r="E660" s="130" t="s">
        <v>289</v>
      </c>
      <c r="F660" s="13" t="s">
        <v>221</v>
      </c>
      <c r="G660" s="13" t="s">
        <v>222</v>
      </c>
      <c r="H660" s="13" t="s">
        <v>223</v>
      </c>
      <c r="I660" s="12"/>
      <c r="J660" s="13" t="s">
        <v>224</v>
      </c>
      <c r="K660" s="13" t="s">
        <v>224</v>
      </c>
      <c r="L660" s="13" t="s">
        <v>304</v>
      </c>
      <c r="M660" s="13" t="s">
        <v>305</v>
      </c>
      <c r="N660" s="140" t="s">
        <v>218</v>
      </c>
      <c r="O660" s="13"/>
      <c r="P660" s="13"/>
      <c r="Q660" s="140" t="s">
        <v>257</v>
      </c>
      <c r="R660" s="13" t="s">
        <v>291</v>
      </c>
      <c r="S660" s="13" t="s">
        <v>180</v>
      </c>
      <c r="T660" s="13" t="s">
        <v>38</v>
      </c>
      <c r="U660" s="136" t="s">
        <v>40</v>
      </c>
      <c r="V660" s="13" t="s">
        <v>181</v>
      </c>
      <c r="W660" s="13" t="s">
        <v>182</v>
      </c>
      <c r="X660" s="13" t="s">
        <v>183</v>
      </c>
      <c r="Y660" s="136" t="s">
        <v>46</v>
      </c>
      <c r="Z660" s="136" t="s">
        <v>48</v>
      </c>
      <c r="AA660" s="136" t="s">
        <v>50</v>
      </c>
      <c r="AB660" s="66" t="s">
        <v>184</v>
      </c>
    </row>
    <row r="661" spans="1:29" x14ac:dyDescent="0.2">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x14ac:dyDescent="0.2">
      <c r="A662" s="1" t="s">
        <v>228</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83</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0.01</v>
      </c>
      <c r="U662" s="92">
        <f t="shared" si="36"/>
        <v>0</v>
      </c>
      <c r="V662" s="92">
        <f t="shared" si="36"/>
        <v>-0.02</v>
      </c>
      <c r="W662" s="92">
        <f t="shared" si="36"/>
        <v>0</v>
      </c>
      <c r="X662" s="92">
        <f t="shared" si="36"/>
        <v>-0.01</v>
      </c>
      <c r="Y662" s="92">
        <f t="shared" si="36"/>
        <v>0</v>
      </c>
      <c r="Z662" s="92">
        <f t="shared" si="36"/>
        <v>0</v>
      </c>
      <c r="AA662" s="92">
        <f t="shared" si="36"/>
        <v>0</v>
      </c>
      <c r="AB662" s="19">
        <f>SUM(U657:AA657)</f>
        <v>2.7473999999999998E-2</v>
      </c>
      <c r="AC662" s="105" t="str">
        <f>+F662</f>
        <v>PL</v>
      </c>
    </row>
    <row r="663" spans="1:29" x14ac:dyDescent="0.2">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9.9499999999999993" customHeight="1" x14ac:dyDescent="0.2">
      <c r="A664" s="1" t="s">
        <v>229</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83</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0.01</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x14ac:dyDescent="0.2">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x14ac:dyDescent="0.2">
      <c r="A666" s="1" t="s">
        <v>230</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83</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0.01</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x14ac:dyDescent="0.2">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x14ac:dyDescent="0.2">
      <c r="A668" s="1" t="s">
        <v>246</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83</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0.01</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x14ac:dyDescent="0.2">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x14ac:dyDescent="0.2">
      <c r="A670" s="1" t="s">
        <v>227</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83</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0.01</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x14ac:dyDescent="0.2">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x14ac:dyDescent="0.2">
      <c r="A672" s="1" t="s">
        <v>228</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306</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0.01</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x14ac:dyDescent="0.2">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x14ac:dyDescent="0.2">
      <c r="A674" s="1" t="s">
        <v>229</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306</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0.01</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x14ac:dyDescent="0.2">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x14ac:dyDescent="0.2">
      <c r="A676" s="1" t="s">
        <v>230</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306</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0.01</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x14ac:dyDescent="0.2">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x14ac:dyDescent="0.2">
      <c r="A678" s="1" t="s">
        <v>246</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306</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0.01</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x14ac:dyDescent="0.2">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x14ac:dyDescent="0.2">
      <c r="A680" s="1" t="s">
        <v>227</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306</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0.01</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2">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x14ac:dyDescent="0.2">
      <c r="A682" s="1" t="s">
        <v>228</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307</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0.01</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1.2383999999999999E-2</v>
      </c>
      <c r="AC682" s="94" t="str">
        <f>+F682</f>
        <v>PL8</v>
      </c>
    </row>
    <row r="683" spans="1:29" x14ac:dyDescent="0.2">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x14ac:dyDescent="0.2">
      <c r="A684" s="1" t="s">
        <v>229</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307</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0.01</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1.2383999999999999E-2</v>
      </c>
      <c r="AC684" s="94" t="str">
        <f>+F684</f>
        <v>PL8</v>
      </c>
    </row>
    <row r="685" spans="1:29" x14ac:dyDescent="0.2">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x14ac:dyDescent="0.2">
      <c r="A686" s="1" t="s">
        <v>230</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307</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0.01</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1.2383999999999999E-2</v>
      </c>
      <c r="AC686" s="94" t="str">
        <f>+F686</f>
        <v>PL8</v>
      </c>
    </row>
    <row r="687" spans="1:29" x14ac:dyDescent="0.2">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x14ac:dyDescent="0.2">
      <c r="A688" s="1" t="s">
        <v>246</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307</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0.01</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1.2383999999999999E-2</v>
      </c>
      <c r="AC688" s="94" t="str">
        <f>+F688</f>
        <v>PL8</v>
      </c>
    </row>
    <row r="689" spans="1:44" x14ac:dyDescent="0.2">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x14ac:dyDescent="0.2">
      <c r="A690" s="1" t="s">
        <v>227</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307</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0.01</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x14ac:dyDescent="0.2">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x14ac:dyDescent="0.2">
      <c r="A692" s="1" t="s">
        <v>228</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308</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0.01</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1.2383999999999999E-2</v>
      </c>
      <c r="AC692" s="94" t="str">
        <f>+F692</f>
        <v>PL9</v>
      </c>
    </row>
    <row r="693" spans="1:44" x14ac:dyDescent="0.2">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x14ac:dyDescent="0.2">
      <c r="A694" s="1" t="s">
        <v>229</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308</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0.01</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1.2383999999999999E-2</v>
      </c>
      <c r="AC694" s="94" t="str">
        <f>+F694</f>
        <v>PL9</v>
      </c>
    </row>
    <row r="695" spans="1:44" x14ac:dyDescent="0.2">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x14ac:dyDescent="0.2">
      <c r="A696" s="1" t="s">
        <v>230</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308</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0.01</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1.2383999999999999E-2</v>
      </c>
      <c r="AC696" s="94" t="str">
        <f>+F696</f>
        <v>PL9</v>
      </c>
    </row>
    <row r="697" spans="1:44" x14ac:dyDescent="0.2">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x14ac:dyDescent="0.2">
      <c r="A698" s="1" t="s">
        <v>246</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308</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0.01</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x14ac:dyDescent="0.2">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x14ac:dyDescent="0.2">
      <c r="A700" s="1" t="s">
        <v>227</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308</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0.01</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-7.6159999999999978E-3</v>
      </c>
      <c r="AC700" s="94" t="str">
        <f>+F700</f>
        <v>PL9</v>
      </c>
    </row>
    <row r="701" spans="1:44" x14ac:dyDescent="0.2">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25">
      <c r="A702" s="1" t="s">
        <v>228</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309</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0.01</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1.2383999999999999E-2</v>
      </c>
      <c r="AC702" s="94" t="str">
        <f>+F702</f>
        <v>PL0</v>
      </c>
      <c r="AD702"/>
      <c r="AE702"/>
      <c r="AF702"/>
      <c r="AG702"/>
      <c r="AH702"/>
      <c r="AI702"/>
      <c r="AJ702"/>
      <c r="AK702"/>
      <c r="AL702"/>
      <c r="AM702"/>
      <c r="AN702"/>
      <c r="AO702"/>
      <c r="AP702"/>
      <c r="AQ702"/>
      <c r="AR702"/>
    </row>
    <row r="703" spans="1:44" x14ac:dyDescent="0.2">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x14ac:dyDescent="0.2">
      <c r="A704" s="1" t="s">
        <v>229</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309</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0.01</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1.2383999999999999E-2</v>
      </c>
      <c r="AC704" s="94" t="str">
        <f>+F704</f>
        <v>PL0</v>
      </c>
    </row>
    <row r="705" spans="1:29" x14ac:dyDescent="0.2">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x14ac:dyDescent="0.2">
      <c r="A706" s="1" t="s">
        <v>230</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309</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0.01</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1.2383999999999999E-2</v>
      </c>
      <c r="AC706" s="94" t="str">
        <f>+F706</f>
        <v>PL0</v>
      </c>
    </row>
    <row r="707" spans="1:29" x14ac:dyDescent="0.2">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x14ac:dyDescent="0.2">
      <c r="A708" s="1" t="s">
        <v>246</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309</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0.01</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x14ac:dyDescent="0.2">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x14ac:dyDescent="0.2">
      <c r="A710" s="1" t="s">
        <v>227</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309</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0.01</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-7.6159999999999978E-3</v>
      </c>
      <c r="AC710" s="94" t="str">
        <f>+F710</f>
        <v>PL0</v>
      </c>
    </row>
    <row r="711" spans="1:29" x14ac:dyDescent="0.2">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x14ac:dyDescent="0.2">
      <c r="A712" s="1" t="s">
        <v>228</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310</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0.01</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2.7473999999999998E-2</v>
      </c>
      <c r="AC712" s="94" t="str">
        <f>+F712</f>
        <v>PL1</v>
      </c>
    </row>
    <row r="713" spans="1:29" x14ac:dyDescent="0.2">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x14ac:dyDescent="0.2">
      <c r="A714" s="1" t="s">
        <v>229</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310</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0.01</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22.012384000000001</v>
      </c>
      <c r="AC714" s="94" t="str">
        <f>+F714</f>
        <v>PL1</v>
      </c>
    </row>
    <row r="715" spans="1:29" x14ac:dyDescent="0.2">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x14ac:dyDescent="0.2">
      <c r="A716" s="1" t="s">
        <v>230</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310</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0.01</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1.2383999999999999E-2</v>
      </c>
      <c r="AC716" s="94" t="str">
        <f>+F716</f>
        <v>PL1</v>
      </c>
    </row>
    <row r="717" spans="1:29" x14ac:dyDescent="0.2">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x14ac:dyDescent="0.2">
      <c r="A718" s="1" t="s">
        <v>246</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310</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0.01</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1.2383999999999999E-2</v>
      </c>
      <c r="AC718" s="94" t="str">
        <f>+F718</f>
        <v>PL1</v>
      </c>
    </row>
    <row r="719" spans="1:29" x14ac:dyDescent="0.2">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x14ac:dyDescent="0.2">
      <c r="A720" s="1" t="s">
        <v>227</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310</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0.01</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1.2383999999999999E-2</v>
      </c>
      <c r="AC720" s="94" t="str">
        <f>+F720</f>
        <v>PL1</v>
      </c>
    </row>
    <row r="721" spans="1:29" x14ac:dyDescent="0.2">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x14ac:dyDescent="0.2">
      <c r="A722" s="1" t="s">
        <v>228</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311</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0.01</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1.2383999999999999E-2</v>
      </c>
      <c r="AC722" s="94" t="str">
        <f>+F722</f>
        <v>PL2</v>
      </c>
    </row>
    <row r="723" spans="1:29" x14ac:dyDescent="0.2">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x14ac:dyDescent="0.2">
      <c r="A724" s="1" t="s">
        <v>229</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311</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0.01</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1.2383999999999999E-2</v>
      </c>
      <c r="AC724" s="94" t="str">
        <f>+F724</f>
        <v>PL2</v>
      </c>
    </row>
    <row r="725" spans="1:29" x14ac:dyDescent="0.2">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x14ac:dyDescent="0.2">
      <c r="A726" s="1" t="s">
        <v>230</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311</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0.01</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1.2383999999999999E-2</v>
      </c>
      <c r="AC726" s="94" t="str">
        <f>+F726</f>
        <v>PL2</v>
      </c>
    </row>
    <row r="727" spans="1:29" x14ac:dyDescent="0.2">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x14ac:dyDescent="0.2">
      <c r="A728" s="1" t="s">
        <v>246</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311</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0.01</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1.2383999999999999E-2</v>
      </c>
      <c r="AC728" s="94" t="str">
        <f>+F728</f>
        <v>PL2</v>
      </c>
    </row>
    <row r="729" spans="1:29" ht="15" customHeight="1" x14ac:dyDescent="0.2">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2">
      <c r="A730" s="1" t="s">
        <v>227</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311</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0.01</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1.2383999999999999E-2</v>
      </c>
      <c r="AC730" s="94" t="str">
        <f>+F730</f>
        <v>PL2</v>
      </c>
    </row>
    <row r="731" spans="1:29" ht="15" customHeight="1" x14ac:dyDescent="0.2">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x14ac:dyDescent="0.2">
      <c r="A732" s="1" t="s">
        <v>228</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312</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0.01</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1.2383999999999999E-2</v>
      </c>
      <c r="AC732" s="94" t="str">
        <f>+F732</f>
        <v>PL3</v>
      </c>
    </row>
    <row r="733" spans="1:29" x14ac:dyDescent="0.2">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x14ac:dyDescent="0.2">
      <c r="A734" s="1" t="s">
        <v>229</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312</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0.01</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1.2383999999999999E-2</v>
      </c>
      <c r="AC734" s="94" t="str">
        <f>+F734</f>
        <v>PL3</v>
      </c>
    </row>
    <row r="735" spans="1:29" x14ac:dyDescent="0.2">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x14ac:dyDescent="0.2">
      <c r="A736" s="1" t="s">
        <v>230</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312</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0.01</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1.2383999999999999E-2</v>
      </c>
      <c r="AC736" s="94" t="str">
        <f>+F736</f>
        <v>PL3</v>
      </c>
    </row>
    <row r="737" spans="1:29" x14ac:dyDescent="0.2">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x14ac:dyDescent="0.2">
      <c r="A738" s="1" t="s">
        <v>246</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312</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0.01</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1.2383999999999999E-2</v>
      </c>
      <c r="AC738" s="94" t="str">
        <f>+F738</f>
        <v>PL3</v>
      </c>
    </row>
    <row r="739" spans="1:29" x14ac:dyDescent="0.2">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x14ac:dyDescent="0.2">
      <c r="A740" s="1" t="s">
        <v>227</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312</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0.01</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1.2383999999999999E-2</v>
      </c>
      <c r="AC740" s="94" t="str">
        <f>+F740</f>
        <v>PL3</v>
      </c>
    </row>
    <row r="741" spans="1:29" ht="15" customHeight="1" x14ac:dyDescent="0.2">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x14ac:dyDescent="0.2">
      <c r="A742" s="1" t="s">
        <v>228</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313</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0.01</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1.2383999999999999E-2</v>
      </c>
      <c r="AC742" s="94" t="str">
        <f>+F742</f>
        <v>PL4</v>
      </c>
    </row>
    <row r="743" spans="1:29" x14ac:dyDescent="0.2">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x14ac:dyDescent="0.2">
      <c r="A744" s="1" t="s">
        <v>229</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313</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0.01</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1.2383999999999999E-2</v>
      </c>
      <c r="AC744" s="94" t="str">
        <f>+F744</f>
        <v>PL4</v>
      </c>
    </row>
    <row r="745" spans="1:29" x14ac:dyDescent="0.2">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x14ac:dyDescent="0.2">
      <c r="A746" s="1" t="s">
        <v>230</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313</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0.01</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1.2383999999999999E-2</v>
      </c>
      <c r="AC746" s="94" t="str">
        <f>+F746</f>
        <v>PL4</v>
      </c>
    </row>
    <row r="747" spans="1:29" x14ac:dyDescent="0.2">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x14ac:dyDescent="0.2">
      <c r="A748" s="1" t="s">
        <v>246</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313</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0.01</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1.2383999999999999E-2</v>
      </c>
      <c r="AC748" s="94" t="str">
        <f>+F748</f>
        <v>PL4</v>
      </c>
    </row>
    <row r="749" spans="1:29" x14ac:dyDescent="0.2">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x14ac:dyDescent="0.2">
      <c r="A750" s="1" t="s">
        <v>227</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313</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0.01</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1.2383999999999999E-2</v>
      </c>
      <c r="AC750" s="94" t="str">
        <f>+F750</f>
        <v>PL4</v>
      </c>
    </row>
    <row r="751" spans="1:29" ht="15" customHeight="1" x14ac:dyDescent="0.2">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x14ac:dyDescent="0.2">
      <c r="A752" s="1" t="s">
        <v>228</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314</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0.01</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1.2383999999999999E-2</v>
      </c>
      <c r="AC752" s="94" t="str">
        <f>+F752</f>
        <v>PL5</v>
      </c>
    </row>
    <row r="753" spans="1:29" x14ac:dyDescent="0.2">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x14ac:dyDescent="0.2">
      <c r="A754" s="1" t="s">
        <v>229</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314</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0.01</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1.2383999999999999E-2</v>
      </c>
      <c r="AC754" s="94" t="str">
        <f>+F754</f>
        <v>PL5</v>
      </c>
    </row>
    <row r="755" spans="1:29" x14ac:dyDescent="0.2">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x14ac:dyDescent="0.2">
      <c r="A756" s="1" t="s">
        <v>230</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314</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0.01</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1.2383999999999999E-2</v>
      </c>
      <c r="AC756" s="94" t="str">
        <f>+F756</f>
        <v>PL5</v>
      </c>
    </row>
    <row r="757" spans="1:29" x14ac:dyDescent="0.2">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x14ac:dyDescent="0.2">
      <c r="A758" s="1" t="s">
        <v>246</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314</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0.01</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1.2383999999999999E-2</v>
      </c>
      <c r="AC758" s="94" t="str">
        <f>+F758</f>
        <v>PL5</v>
      </c>
    </row>
    <row r="759" spans="1:29" x14ac:dyDescent="0.2">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x14ac:dyDescent="0.2">
      <c r="A760" s="1" t="s">
        <v>227</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314</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0.01</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1.2383999999999999E-2</v>
      </c>
      <c r="AC760" s="94" t="str">
        <f>+F760</f>
        <v>PL5</v>
      </c>
    </row>
    <row r="761" spans="1:29" ht="15" customHeight="1" x14ac:dyDescent="0.2">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x14ac:dyDescent="0.2">
      <c r="A762" s="1" t="s">
        <v>228</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315</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0.01</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1.2383999999999999E-2</v>
      </c>
      <c r="AC762" s="94" t="str">
        <f>+F762</f>
        <v>PL6</v>
      </c>
    </row>
    <row r="763" spans="1:29" x14ac:dyDescent="0.2">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x14ac:dyDescent="0.2">
      <c r="A764" s="1" t="s">
        <v>229</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315</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0.01</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1.2383999999999999E-2</v>
      </c>
      <c r="AC764" s="94" t="str">
        <f>+F764</f>
        <v>PL6</v>
      </c>
    </row>
    <row r="765" spans="1:29" x14ac:dyDescent="0.2">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x14ac:dyDescent="0.2">
      <c r="A766" s="1" t="s">
        <v>230</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315</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0.01</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1.2383999999999999E-2</v>
      </c>
      <c r="AC766" s="94" t="str">
        <f>+F766</f>
        <v>PL6</v>
      </c>
    </row>
    <row r="767" spans="1:29" x14ac:dyDescent="0.2">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x14ac:dyDescent="0.2">
      <c r="A768" s="1" t="s">
        <v>246</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315</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0.01</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1.2383999999999999E-2</v>
      </c>
      <c r="AC768" s="94" t="str">
        <f>+F768</f>
        <v>PL6</v>
      </c>
    </row>
    <row r="769" spans="1:29" x14ac:dyDescent="0.2">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x14ac:dyDescent="0.2">
      <c r="A770" s="1" t="s">
        <v>227</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315</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0.01</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1.2383999999999999E-2</v>
      </c>
      <c r="AC770" s="94" t="str">
        <f>+F770</f>
        <v>PL6</v>
      </c>
    </row>
    <row r="771" spans="1:29" x14ac:dyDescent="0.2">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x14ac:dyDescent="0.2">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234</v>
      </c>
      <c r="X772" s="42"/>
      <c r="Y772" s="42"/>
      <c r="Z772" s="42"/>
      <c r="AA772" s="42"/>
      <c r="AB772" s="19"/>
      <c r="AC772" s="94"/>
    </row>
    <row r="773" spans="1:29" x14ac:dyDescent="0.2">
      <c r="B773" s="103">
        <v>-1</v>
      </c>
      <c r="C773" s="9"/>
      <c r="D773" s="8"/>
      <c r="I773" s="19"/>
      <c r="S773" s="6"/>
      <c r="T773" s="6"/>
      <c r="U773" s="6"/>
      <c r="V773" s="27">
        <f>T16</f>
        <v>0</v>
      </c>
      <c r="W773" s="6" t="s">
        <v>235</v>
      </c>
      <c r="X773" s="6"/>
      <c r="Y773" s="6"/>
      <c r="Z773" s="6"/>
      <c r="AA773" s="6"/>
      <c r="AB773" s="19"/>
    </row>
    <row r="774" spans="1:29" x14ac:dyDescent="0.2">
      <c r="B774" s="103">
        <v>-1</v>
      </c>
      <c r="C774" s="9"/>
      <c r="D774" s="8"/>
      <c r="I774" s="19"/>
      <c r="S774" s="6"/>
      <c r="T774" s="6"/>
      <c r="U774" s="6"/>
      <c r="V774" s="27">
        <f>$T$19</f>
        <v>0</v>
      </c>
      <c r="W774" s="6" t="s">
        <v>236</v>
      </c>
      <c r="X774" s="6"/>
      <c r="Y774" s="6"/>
      <c r="Z774" s="6"/>
      <c r="AA774" s="6"/>
      <c r="AB774" s="19"/>
    </row>
    <row r="775" spans="1:29" x14ac:dyDescent="0.2">
      <c r="B775" s="103">
        <v>-1</v>
      </c>
      <c r="C775" s="9"/>
      <c r="D775" s="8"/>
      <c r="I775" s="19"/>
      <c r="S775" s="6"/>
      <c r="T775" s="6"/>
      <c r="U775" s="6"/>
      <c r="V775" s="27">
        <f>$T$21</f>
        <v>0</v>
      </c>
      <c r="W775" s="6" t="s">
        <v>237</v>
      </c>
      <c r="X775" s="6"/>
      <c r="Y775" s="6"/>
      <c r="Z775" s="6"/>
      <c r="AA775" s="6"/>
      <c r="AB775" s="19"/>
    </row>
    <row r="776" spans="1:29" x14ac:dyDescent="0.2">
      <c r="B776" s="103">
        <v>-1</v>
      </c>
      <c r="C776" s="9"/>
      <c r="D776" s="8"/>
      <c r="I776" s="19"/>
      <c r="S776" s="6"/>
      <c r="T776" s="6"/>
      <c r="U776" s="6"/>
      <c r="V776" s="27">
        <f>$T$23</f>
        <v>-4.0299999999999998E-4</v>
      </c>
      <c r="W776" s="6" t="s">
        <v>238</v>
      </c>
      <c r="X776" s="6"/>
      <c r="Y776" s="6"/>
      <c r="Z776" s="6"/>
      <c r="AA776" s="6"/>
      <c r="AB776" s="19"/>
    </row>
    <row r="777" spans="1:29" x14ac:dyDescent="0.2">
      <c r="B777" s="103">
        <v>-1</v>
      </c>
      <c r="C777" s="9"/>
      <c r="D777" s="8"/>
      <c r="I777" s="19"/>
      <c r="S777" s="6"/>
      <c r="T777" s="6"/>
      <c r="U777" s="6"/>
      <c r="V777" s="27">
        <f>$T$25</f>
        <v>0</v>
      </c>
      <c r="W777" s="6" t="s">
        <v>239</v>
      </c>
      <c r="X777" s="6"/>
      <c r="Y777" s="6"/>
      <c r="Z777" s="6"/>
      <c r="AA777" s="6"/>
      <c r="AB777" s="19"/>
    </row>
    <row r="778" spans="1:29" x14ac:dyDescent="0.2">
      <c r="B778" s="103">
        <v>-1</v>
      </c>
      <c r="C778" s="9"/>
      <c r="D778" s="8"/>
      <c r="I778" s="19"/>
      <c r="S778" s="6"/>
      <c r="T778" s="6"/>
      <c r="U778" s="6"/>
      <c r="V778" s="19">
        <f>T27</f>
        <v>0</v>
      </c>
      <c r="W778" s="6" t="s">
        <v>240</v>
      </c>
      <c r="X778" s="6"/>
      <c r="Y778" s="6"/>
      <c r="Z778" s="6"/>
      <c r="AA778" s="6"/>
      <c r="AB778" s="19"/>
    </row>
    <row r="779" spans="1:29" x14ac:dyDescent="0.2">
      <c r="B779" s="103">
        <v>-1</v>
      </c>
      <c r="C779" s="9"/>
      <c r="D779" s="8"/>
      <c r="I779" s="19"/>
      <c r="S779" s="6"/>
      <c r="T779" s="6"/>
      <c r="U779" s="6"/>
      <c r="V779" s="19">
        <f>T29</f>
        <v>3.3769999999999998E-3</v>
      </c>
      <c r="W779" s="6" t="s">
        <v>241</v>
      </c>
      <c r="X779" s="6"/>
      <c r="Y779" s="6"/>
      <c r="Z779" s="6"/>
      <c r="AA779" s="6"/>
      <c r="AB779" s="19"/>
    </row>
    <row r="780" spans="1:29" x14ac:dyDescent="0.2">
      <c r="B780" s="103">
        <v>-1</v>
      </c>
      <c r="C780" s="9"/>
      <c r="D780" s="8"/>
      <c r="I780" s="19"/>
      <c r="S780" s="6"/>
      <c r="T780" s="6"/>
      <c r="U780" s="6"/>
      <c r="V780" s="19">
        <f>T31</f>
        <v>7.6290000000000004E-3</v>
      </c>
      <c r="W780" s="6" t="s">
        <v>242</v>
      </c>
      <c r="X780" s="6"/>
      <c r="Y780" s="6"/>
      <c r="Z780" s="6"/>
      <c r="AA780" s="6"/>
      <c r="AB780" s="19"/>
    </row>
    <row r="781" spans="1:29" x14ac:dyDescent="0.2">
      <c r="B781" s="103">
        <v>-1</v>
      </c>
      <c r="C781" s="9"/>
      <c r="D781" s="8"/>
      <c r="I781" s="19"/>
      <c r="S781" s="6"/>
      <c r="T781" s="6"/>
      <c r="U781" s="6"/>
      <c r="V781" s="19">
        <f>T33</f>
        <v>9.0039999999999999E-3</v>
      </c>
      <c r="W781" s="6" t="s">
        <v>243</v>
      </c>
      <c r="X781" s="6"/>
      <c r="Y781" s="6"/>
      <c r="Z781" s="6"/>
      <c r="AA781" s="6"/>
      <c r="AB781" s="19"/>
    </row>
    <row r="782" spans="1:29" x14ac:dyDescent="0.2">
      <c r="A782" s="1"/>
      <c r="B782" s="103">
        <v>-1</v>
      </c>
      <c r="C782" s="33" t="s">
        <v>284</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-5.5440000000000003E-3</v>
      </c>
      <c r="U782" s="27">
        <f>S5</f>
        <v>2.098E-3</v>
      </c>
      <c r="V782" s="27">
        <f>+T$5</f>
        <v>1.5089999999999999E-2</v>
      </c>
      <c r="W782" s="27">
        <f t="shared" si="41"/>
        <v>0</v>
      </c>
      <c r="X782" s="27">
        <f t="shared" si="41"/>
        <v>7.9070000000000008E-3</v>
      </c>
      <c r="Y782" s="27">
        <f>+W$5</f>
        <v>-4.8200000000000001E-4</v>
      </c>
      <c r="Z782" s="27">
        <f t="shared" si="41"/>
        <v>3.9439999999999996E-3</v>
      </c>
      <c r="AA782" s="27">
        <f t="shared" si="41"/>
        <v>6.6600000000000003E-4</v>
      </c>
      <c r="AB782" s="19">
        <f>SUM(U782:Z782)</f>
        <v>2.8556999999999999E-2</v>
      </c>
    </row>
    <row r="783" spans="1:29" x14ac:dyDescent="0.2">
      <c r="B783" s="103">
        <v>-1</v>
      </c>
      <c r="C783" s="9">
        <v>100</v>
      </c>
      <c r="D783" s="8"/>
      <c r="F783" s="70"/>
      <c r="G783" s="70"/>
      <c r="H783" s="70"/>
      <c r="I783" s="75"/>
      <c r="J783" s="70"/>
      <c r="K783" s="73">
        <v>250</v>
      </c>
      <c r="L783" s="73"/>
    </row>
    <row r="784" spans="1:29" x14ac:dyDescent="0.2">
      <c r="B784" s="103">
        <v>-1</v>
      </c>
      <c r="C784" s="9"/>
      <c r="D784" s="8"/>
      <c r="F784" s="12"/>
      <c r="I784" s="19"/>
      <c r="J784" s="12" t="s">
        <v>217</v>
      </c>
      <c r="K784" s="258" t="s">
        <v>30</v>
      </c>
      <c r="L784" s="258"/>
      <c r="M784" s="13" t="s">
        <v>316</v>
      </c>
      <c r="N784" s="12"/>
      <c r="O784" s="12"/>
      <c r="P784" s="136" t="s">
        <v>317</v>
      </c>
      <c r="Q784" s="140" t="s">
        <v>257</v>
      </c>
      <c r="R784" s="12" t="s">
        <v>286</v>
      </c>
      <c r="S784" s="12">
        <v>21</v>
      </c>
      <c r="T784" s="12">
        <v>6</v>
      </c>
      <c r="U784" s="12">
        <v>3</v>
      </c>
      <c r="V784" s="12">
        <v>22</v>
      </c>
      <c r="W784" s="12">
        <v>13</v>
      </c>
      <c r="X784" s="12">
        <v>20</v>
      </c>
      <c r="Y784" s="12">
        <v>24</v>
      </c>
      <c r="Z784" s="12">
        <v>25</v>
      </c>
      <c r="AA784" s="12">
        <v>26</v>
      </c>
    </row>
    <row r="785" spans="1:29" x14ac:dyDescent="0.2">
      <c r="A785" s="13"/>
      <c r="B785" s="103">
        <v>-1</v>
      </c>
      <c r="C785" s="99" t="s">
        <v>302</v>
      </c>
      <c r="D785" s="100" t="s">
        <v>303</v>
      </c>
      <c r="E785" s="130" t="s">
        <v>289</v>
      </c>
      <c r="F785" s="13" t="s">
        <v>221</v>
      </c>
      <c r="G785" s="130" t="s">
        <v>222</v>
      </c>
      <c r="H785" s="13" t="s">
        <v>223</v>
      </c>
      <c r="I785" s="148" t="s">
        <v>318</v>
      </c>
      <c r="J785" s="13" t="s">
        <v>224</v>
      </c>
      <c r="K785" s="13" t="s">
        <v>319</v>
      </c>
      <c r="L785" s="13" t="s">
        <v>320</v>
      </c>
      <c r="M785" s="13" t="s">
        <v>224</v>
      </c>
      <c r="N785" s="140" t="s">
        <v>218</v>
      </c>
      <c r="O785" s="13"/>
      <c r="P785" s="12"/>
      <c r="Q785" s="13"/>
      <c r="R785" s="13" t="s">
        <v>291</v>
      </c>
      <c r="S785" s="13" t="s">
        <v>180</v>
      </c>
      <c r="T785" s="13" t="s">
        <v>38</v>
      </c>
      <c r="U785" s="136" t="s">
        <v>40</v>
      </c>
      <c r="V785" s="13" t="s">
        <v>181</v>
      </c>
      <c r="W785" s="13" t="s">
        <v>182</v>
      </c>
      <c r="X785" s="13" t="s">
        <v>183</v>
      </c>
      <c r="Y785" s="136" t="s">
        <v>46</v>
      </c>
      <c r="Z785" s="136" t="s">
        <v>48</v>
      </c>
      <c r="AA785" s="136" t="s">
        <v>50</v>
      </c>
      <c r="AB785" s="66" t="s">
        <v>184</v>
      </c>
    </row>
    <row r="786" spans="1:29" x14ac:dyDescent="0.2">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x14ac:dyDescent="0.2">
      <c r="A787" s="1" t="s">
        <v>228</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86</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0.01</v>
      </c>
      <c r="U787" s="17">
        <f t="shared" si="42"/>
        <v>0</v>
      </c>
      <c r="V787" s="17">
        <f t="shared" si="42"/>
        <v>-0.02</v>
      </c>
      <c r="W787" s="17">
        <f t="shared" si="42"/>
        <v>0</v>
      </c>
      <c r="X787" s="17">
        <f t="shared" si="42"/>
        <v>-0.01</v>
      </c>
      <c r="Y787" s="17">
        <f t="shared" si="42"/>
        <v>0</v>
      </c>
      <c r="Z787" s="17">
        <f t="shared" si="42"/>
        <v>0</v>
      </c>
      <c r="AA787" s="17">
        <f t="shared" si="42"/>
        <v>0</v>
      </c>
      <c r="AB787" s="19">
        <f>SUM(U782:AA782)</f>
        <v>2.9222999999999999E-2</v>
      </c>
      <c r="AC787" s="67" t="str">
        <f>+F787</f>
        <v>PH</v>
      </c>
    </row>
    <row r="788" spans="1:29" x14ac:dyDescent="0.2">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x14ac:dyDescent="0.2">
      <c r="A789" s="1" t="s">
        <v>229</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86</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0.01</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x14ac:dyDescent="0.2">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x14ac:dyDescent="0.2">
      <c r="A791" s="1" t="s">
        <v>230</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86</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0.01</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x14ac:dyDescent="0.2">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x14ac:dyDescent="0.2">
      <c r="A793" s="1" t="s">
        <v>246</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86</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0.01</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x14ac:dyDescent="0.2">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x14ac:dyDescent="0.2">
      <c r="A795" s="1" t="s">
        <v>227</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86</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0.01</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x14ac:dyDescent="0.2">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x14ac:dyDescent="0.2">
      <c r="A797" s="1" t="s">
        <v>228</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321</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0.01</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x14ac:dyDescent="0.2">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x14ac:dyDescent="0.2">
      <c r="A799" s="1" t="s">
        <v>229</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321</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0.01</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x14ac:dyDescent="0.2">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x14ac:dyDescent="0.2">
      <c r="A801" s="1" t="s">
        <v>230</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321</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0.01</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x14ac:dyDescent="0.2">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x14ac:dyDescent="0.2">
      <c r="A803" s="1" t="s">
        <v>246</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321</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0.01</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x14ac:dyDescent="0.2">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x14ac:dyDescent="0.2">
      <c r="A805" s="1" t="s">
        <v>227</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321</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0.01</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x14ac:dyDescent="0.2">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x14ac:dyDescent="0.2">
      <c r="A807" s="1" t="s">
        <v>228</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322</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0.01</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x14ac:dyDescent="0.2">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x14ac:dyDescent="0.2">
      <c r="A809" s="1" t="s">
        <v>229</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322</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0.01</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x14ac:dyDescent="0.2">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x14ac:dyDescent="0.2">
      <c r="A811" s="1" t="s">
        <v>230</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322</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0.01</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x14ac:dyDescent="0.2">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x14ac:dyDescent="0.2">
      <c r="A813" s="1" t="s">
        <v>246</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322</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0.01</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x14ac:dyDescent="0.2">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x14ac:dyDescent="0.2">
      <c r="A815" s="1" t="s">
        <v>227</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322</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0.01</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x14ac:dyDescent="0.2">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25">
      <c r="A817" s="1" t="s">
        <v>228</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323</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0.01</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x14ac:dyDescent="0.2">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x14ac:dyDescent="0.2">
      <c r="A819" s="1" t="s">
        <v>229</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323</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0.01</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x14ac:dyDescent="0.2">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x14ac:dyDescent="0.2">
      <c r="A821" s="1" t="s">
        <v>230</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323</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0.01</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x14ac:dyDescent="0.2">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x14ac:dyDescent="0.2">
      <c r="A823" s="1" t="s">
        <v>246</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323</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0.01</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x14ac:dyDescent="0.2">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x14ac:dyDescent="0.2">
      <c r="A825" s="1" t="s">
        <v>227</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323</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0.01</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x14ac:dyDescent="0.2">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x14ac:dyDescent="0.2">
      <c r="A827" s="1" t="s">
        <v>228</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324</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0.01</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x14ac:dyDescent="0.2">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x14ac:dyDescent="0.2">
      <c r="A829" s="1" t="s">
        <v>229</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324</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0.01</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x14ac:dyDescent="0.2">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x14ac:dyDescent="0.2">
      <c r="A831" s="1" t="s">
        <v>230</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324</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0.01</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x14ac:dyDescent="0.2">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x14ac:dyDescent="0.2">
      <c r="A833" s="1" t="s">
        <v>246</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324</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0.01</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x14ac:dyDescent="0.2">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x14ac:dyDescent="0.2">
      <c r="A835" s="1" t="s">
        <v>227</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324</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0.01</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x14ac:dyDescent="0.2">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x14ac:dyDescent="0.2">
      <c r="A837" s="1" t="s">
        <v>228</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325</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0.01</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x14ac:dyDescent="0.2">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x14ac:dyDescent="0.2">
      <c r="A839" s="1" t="s">
        <v>229</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325</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0.01</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x14ac:dyDescent="0.2">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x14ac:dyDescent="0.2">
      <c r="A841" s="1" t="s">
        <v>230</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325</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0.01</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x14ac:dyDescent="0.2">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x14ac:dyDescent="0.2">
      <c r="A843" s="1" t="s">
        <v>246</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325</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0.01</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x14ac:dyDescent="0.2">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x14ac:dyDescent="0.2">
      <c r="A845" s="1" t="s">
        <v>227</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325</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0.01</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x14ac:dyDescent="0.2">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x14ac:dyDescent="0.2">
      <c r="A847" s="1" t="s">
        <v>228</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326</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0.01</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x14ac:dyDescent="0.2">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x14ac:dyDescent="0.2">
      <c r="A849" s="1" t="s">
        <v>229</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326</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0.01</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x14ac:dyDescent="0.2">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x14ac:dyDescent="0.2">
      <c r="A851" s="1" t="s">
        <v>230</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326</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0.01</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x14ac:dyDescent="0.2">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x14ac:dyDescent="0.2">
      <c r="A853" s="1" t="s">
        <v>246</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326</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0.01</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x14ac:dyDescent="0.2">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x14ac:dyDescent="0.2">
      <c r="A855" s="1" t="s">
        <v>227</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326</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0.01</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x14ac:dyDescent="0.2">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x14ac:dyDescent="0.2">
      <c r="A857" s="1" t="s">
        <v>228</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327</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0.01</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x14ac:dyDescent="0.2">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x14ac:dyDescent="0.2">
      <c r="A859" s="1" t="s">
        <v>229</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327</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0.01</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x14ac:dyDescent="0.2">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x14ac:dyDescent="0.2">
      <c r="A861" s="1" t="s">
        <v>230</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327</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0.01</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x14ac:dyDescent="0.2">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x14ac:dyDescent="0.2">
      <c r="A863" s="1" t="s">
        <v>246</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327</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0.01</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x14ac:dyDescent="0.2">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x14ac:dyDescent="0.2">
      <c r="A865" s="1" t="s">
        <v>227</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327</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0.01</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x14ac:dyDescent="0.2">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x14ac:dyDescent="0.2">
      <c r="A867" s="1" t="s">
        <v>228</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328</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0.01</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x14ac:dyDescent="0.2">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x14ac:dyDescent="0.2">
      <c r="A869" s="1" t="s">
        <v>229</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328</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0.01</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x14ac:dyDescent="0.2">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x14ac:dyDescent="0.2">
      <c r="A871" s="1" t="s">
        <v>230</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328</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0.01</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x14ac:dyDescent="0.2">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x14ac:dyDescent="0.2">
      <c r="A873" s="1" t="s">
        <v>246</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328</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0.01</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x14ac:dyDescent="0.2">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x14ac:dyDescent="0.2">
      <c r="A875" s="1" t="s">
        <v>227</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328</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0.01</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x14ac:dyDescent="0.2">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x14ac:dyDescent="0.2">
      <c r="A877" s="1" t="s">
        <v>228</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329</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0.01</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x14ac:dyDescent="0.2">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x14ac:dyDescent="0.2">
      <c r="A879" s="1" t="s">
        <v>229</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329</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0.01</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x14ac:dyDescent="0.2">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x14ac:dyDescent="0.2">
      <c r="A881" s="1" t="s">
        <v>230</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329</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0.01</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x14ac:dyDescent="0.2">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x14ac:dyDescent="0.2">
      <c r="A883" s="1" t="s">
        <v>246</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329</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0.01</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x14ac:dyDescent="0.2">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x14ac:dyDescent="0.2">
      <c r="A885" s="1" t="s">
        <v>227</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329</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0.01</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x14ac:dyDescent="0.2">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x14ac:dyDescent="0.2">
      <c r="A887" s="1" t="s">
        <v>228</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330</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0.01</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x14ac:dyDescent="0.2">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x14ac:dyDescent="0.2">
      <c r="A889" s="1" t="s">
        <v>229</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330</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0.01</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x14ac:dyDescent="0.2">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x14ac:dyDescent="0.2">
      <c r="A891" s="1" t="s">
        <v>230</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330</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0.01</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x14ac:dyDescent="0.2">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x14ac:dyDescent="0.2">
      <c r="A893" s="1" t="s">
        <v>246</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330</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0.01</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x14ac:dyDescent="0.2">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x14ac:dyDescent="0.2">
      <c r="A895" s="1" t="s">
        <v>227</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330</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0.01</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x14ac:dyDescent="0.2">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
      <c r="B897" s="103">
        <v>-1</v>
      </c>
      <c r="C897" s="9"/>
      <c r="D897" s="8"/>
      <c r="G897" s="17"/>
      <c r="H897" s="19"/>
      <c r="I897" s="19"/>
      <c r="J897" s="8"/>
      <c r="K897" s="17"/>
      <c r="L897" s="17"/>
      <c r="M897" s="8"/>
      <c r="N897" s="8"/>
      <c r="O897" s="8"/>
      <c r="P897" s="8"/>
      <c r="Q897" s="8"/>
      <c r="R897" s="8"/>
      <c r="S897" s="17"/>
      <c r="T897" s="17"/>
      <c r="U897" s="17"/>
      <c r="V897" s="27">
        <f>+T8</f>
        <v>0</v>
      </c>
      <c r="W897" s="6" t="s">
        <v>237</v>
      </c>
      <c r="X897" s="17"/>
      <c r="Y897" s="17"/>
      <c r="Z897" s="17"/>
      <c r="AA897" s="17"/>
      <c r="AB897" s="19">
        <f>+AB$909-V$909+V897</f>
        <v>1.1820999999999998E-2</v>
      </c>
    </row>
    <row r="898" spans="1:28" x14ac:dyDescent="0.2">
      <c r="B898" s="103">
        <v>-1</v>
      </c>
      <c r="C898" s="9"/>
      <c r="D898" s="8"/>
      <c r="L898" t="s">
        <v>283</v>
      </c>
      <c r="M898" t="s">
        <v>283</v>
      </c>
      <c r="S898" s="6"/>
      <c r="T898" s="6"/>
      <c r="U898" s="6"/>
      <c r="V898" s="27">
        <f>+$T$12</f>
        <v>0</v>
      </c>
      <c r="W898" s="6" t="s">
        <v>243</v>
      </c>
      <c r="X898" s="6"/>
      <c r="Y898" s="6"/>
      <c r="Z898" s="6"/>
      <c r="AA898" s="6"/>
      <c r="AB898" s="19" t="e">
        <f>+AB$909-V$909+#REF!</f>
        <v>#REF!</v>
      </c>
    </row>
    <row r="899" spans="1:28" x14ac:dyDescent="0.2">
      <c r="B899" s="103">
        <v>-1</v>
      </c>
      <c r="C899" s="9"/>
      <c r="D899" s="8"/>
      <c r="S899" s="6"/>
      <c r="T899" s="6"/>
      <c r="U899" s="6"/>
      <c r="V899" s="27">
        <f>+$T$14</f>
        <v>0</v>
      </c>
      <c r="W899" s="6" t="s">
        <v>234</v>
      </c>
      <c r="X899" s="6"/>
      <c r="Y899" s="6"/>
      <c r="Z899" s="6"/>
      <c r="AA899" s="6"/>
      <c r="AB899" s="19">
        <f>+AB$909-V$909+V898</f>
        <v>1.1820999999999998E-2</v>
      </c>
    </row>
    <row r="900" spans="1:28" x14ac:dyDescent="0.2">
      <c r="B900" s="103">
        <v>-1</v>
      </c>
      <c r="C900" s="9"/>
      <c r="D900" s="8"/>
      <c r="S900" s="6"/>
      <c r="T900" s="6"/>
      <c r="U900" s="6"/>
      <c r="V900" s="27">
        <f>$T$16</f>
        <v>0</v>
      </c>
      <c r="W900" s="6" t="s">
        <v>235</v>
      </c>
      <c r="X900" s="6"/>
      <c r="Y900" s="6"/>
      <c r="Z900" s="6"/>
      <c r="AA900" s="6"/>
      <c r="AB900" s="19"/>
    </row>
    <row r="901" spans="1:28" x14ac:dyDescent="0.2">
      <c r="B901" s="103">
        <v>-1</v>
      </c>
      <c r="C901" s="9"/>
      <c r="D901" s="8"/>
      <c r="S901" s="6"/>
      <c r="T901" s="6"/>
      <c r="U901" s="6"/>
      <c r="V901" s="27">
        <f>$T$19</f>
        <v>0</v>
      </c>
      <c r="W901" s="6" t="s">
        <v>236</v>
      </c>
      <c r="X901" s="6"/>
      <c r="Y901" s="6"/>
      <c r="Z901" s="6"/>
      <c r="AA901" s="6"/>
      <c r="AB901" s="19"/>
    </row>
    <row r="902" spans="1:28" x14ac:dyDescent="0.2">
      <c r="B902" s="103">
        <v>-1</v>
      </c>
      <c r="C902" s="9"/>
      <c r="D902" s="8"/>
      <c r="S902" s="6"/>
      <c r="T902" s="6"/>
      <c r="U902" s="6"/>
      <c r="V902" s="27">
        <f>$T$21</f>
        <v>0</v>
      </c>
      <c r="W902" s="6" t="s">
        <v>237</v>
      </c>
      <c r="X902" s="6"/>
      <c r="Y902" s="6"/>
      <c r="Z902" s="6"/>
      <c r="AA902" s="6"/>
      <c r="AB902" s="19"/>
    </row>
    <row r="903" spans="1:28" x14ac:dyDescent="0.2">
      <c r="B903" s="103">
        <v>-1</v>
      </c>
      <c r="C903" s="9"/>
      <c r="D903" s="8"/>
      <c r="S903" s="6"/>
      <c r="T903" s="6"/>
      <c r="U903" s="6"/>
      <c r="V903" s="27">
        <f>$T$23</f>
        <v>-4.0299999999999998E-4</v>
      </c>
      <c r="W903" s="6" t="s">
        <v>238</v>
      </c>
      <c r="X903" s="6"/>
      <c r="Y903" s="6"/>
      <c r="Z903" s="6"/>
      <c r="AA903" s="6"/>
      <c r="AB903" s="19"/>
    </row>
    <row r="904" spans="1:28" x14ac:dyDescent="0.2">
      <c r="B904" s="103">
        <v>-1</v>
      </c>
      <c r="C904" s="33" t="s">
        <v>284</v>
      </c>
      <c r="D904" s="8"/>
      <c r="S904" s="6"/>
      <c r="T904" s="6"/>
      <c r="U904" s="6"/>
      <c r="V904" s="27">
        <f>$T$25</f>
        <v>0</v>
      </c>
      <c r="W904" s="6" t="s">
        <v>239</v>
      </c>
      <c r="X904" s="6"/>
      <c r="Y904" s="6"/>
      <c r="Z904" s="6"/>
      <c r="AA904" s="6"/>
      <c r="AB904" s="19"/>
    </row>
    <row r="905" spans="1:28" x14ac:dyDescent="0.2">
      <c r="B905" s="103">
        <v>-1</v>
      </c>
      <c r="C905" s="9">
        <v>2000</v>
      </c>
      <c r="D905" s="8"/>
      <c r="S905" s="6"/>
      <c r="T905" s="6"/>
      <c r="U905" s="6"/>
      <c r="V905" s="19">
        <f>T27</f>
        <v>0</v>
      </c>
      <c r="W905" s="6" t="s">
        <v>240</v>
      </c>
      <c r="X905" s="6"/>
      <c r="Y905" s="6"/>
      <c r="Z905" s="6"/>
      <c r="AA905" s="6"/>
      <c r="AB905" s="19"/>
    </row>
    <row r="906" spans="1:28" x14ac:dyDescent="0.2">
      <c r="B906" s="103">
        <v>-1</v>
      </c>
      <c r="C906" s="9"/>
      <c r="D906" s="8"/>
      <c r="S906" s="6"/>
      <c r="T906" s="6"/>
      <c r="U906" s="6"/>
      <c r="V906" s="19">
        <f>T29</f>
        <v>3.3769999999999998E-3</v>
      </c>
      <c r="W906" s="6" t="s">
        <v>241</v>
      </c>
      <c r="X906" s="6"/>
      <c r="Y906" s="6"/>
      <c r="Z906" s="6"/>
      <c r="AA906" s="6"/>
      <c r="AB906" s="19"/>
    </row>
    <row r="907" spans="1:28" x14ac:dyDescent="0.2">
      <c r="B907" s="103">
        <v>-1</v>
      </c>
      <c r="C907" s="9"/>
      <c r="D907" s="8"/>
      <c r="S907" s="6"/>
      <c r="T907" s="6"/>
      <c r="U907" s="6"/>
      <c r="V907" s="19">
        <f>T31</f>
        <v>7.6290000000000004E-3</v>
      </c>
      <c r="W907" s="6" t="s">
        <v>242</v>
      </c>
      <c r="X907" s="6"/>
      <c r="Y907" s="6"/>
      <c r="Z907" s="6"/>
      <c r="AA907" s="6"/>
      <c r="AB907" s="19"/>
    </row>
    <row r="908" spans="1:28" x14ac:dyDescent="0.2">
      <c r="B908" s="103">
        <v>-1</v>
      </c>
      <c r="C908" s="9"/>
      <c r="D908" s="8"/>
      <c r="S908" s="6"/>
      <c r="T908" s="6"/>
      <c r="U908" s="6"/>
      <c r="V908" s="19">
        <f>T33</f>
        <v>9.0039999999999999E-3</v>
      </c>
      <c r="W908" s="6" t="s">
        <v>243</v>
      </c>
      <c r="X908" s="6"/>
      <c r="Y908" s="6"/>
      <c r="Z908" s="6"/>
      <c r="AA908" s="6"/>
      <c r="AB908" s="19"/>
    </row>
    <row r="909" spans="1:28" x14ac:dyDescent="0.2">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-5.5440000000000003E-3</v>
      </c>
      <c r="U909" s="27">
        <f>+$S$34</f>
        <v>1.6930000000000001E-3</v>
      </c>
      <c r="V909" s="27">
        <f>+V657</f>
        <v>1.5089999999999999E-2</v>
      </c>
      <c r="W909" s="27">
        <f>+W657</f>
        <v>0</v>
      </c>
      <c r="X909" s="27">
        <f>+V34</f>
        <v>7.2249999999999997E-3</v>
      </c>
      <c r="Y909" s="27">
        <f>+W34</f>
        <v>-2.5599999999999999E-4</v>
      </c>
      <c r="Z909" s="27">
        <f>+X34</f>
        <v>3.1589999999999999E-3</v>
      </c>
      <c r="AA909" s="27">
        <f>+Y34</f>
        <v>5.6300000000000002E-4</v>
      </c>
      <c r="AB909" s="19">
        <f>SUM(U909:Z909)</f>
        <v>2.6910999999999997E-2</v>
      </c>
    </row>
    <row r="910" spans="1:28" x14ac:dyDescent="0.2">
      <c r="A910" s="1"/>
      <c r="B910" s="103">
        <v>-1</v>
      </c>
      <c r="C910" s="9"/>
      <c r="D910" s="8"/>
      <c r="F910" s="70"/>
      <c r="G910" s="70"/>
      <c r="H910" s="70"/>
      <c r="I910" s="70"/>
      <c r="J910" s="70"/>
      <c r="K910" s="70"/>
      <c r="L910" s="73">
        <v>4000</v>
      </c>
      <c r="M910" s="70"/>
      <c r="N910" s="70"/>
      <c r="O910" s="70"/>
      <c r="P910" s="70"/>
      <c r="Q910" s="70"/>
    </row>
    <row r="911" spans="1:28" x14ac:dyDescent="0.2">
      <c r="B911" s="103">
        <v>-1</v>
      </c>
      <c r="C911" s="9"/>
      <c r="D911" s="8"/>
      <c r="F911" s="12"/>
      <c r="J911" s="12" t="s">
        <v>217</v>
      </c>
      <c r="K911" s="12" t="s">
        <v>287</v>
      </c>
      <c r="L911" s="258" t="s">
        <v>32</v>
      </c>
      <c r="M911" s="258"/>
      <c r="N911" s="12"/>
      <c r="O911" s="12"/>
      <c r="P911" s="12"/>
      <c r="Q911" s="140" t="s">
        <v>257</v>
      </c>
      <c r="R911" s="12" t="s">
        <v>286</v>
      </c>
      <c r="S911" s="12">
        <v>21</v>
      </c>
      <c r="T911" s="12">
        <v>6</v>
      </c>
      <c r="U911" s="12">
        <v>3</v>
      </c>
      <c r="V911" s="12">
        <v>22</v>
      </c>
      <c r="W911" s="12">
        <v>13</v>
      </c>
      <c r="X911" s="12">
        <v>20</v>
      </c>
      <c r="Y911" s="12">
        <v>24</v>
      </c>
      <c r="Z911" s="12">
        <v>25</v>
      </c>
      <c r="AA911" s="12">
        <v>26</v>
      </c>
    </row>
    <row r="912" spans="1:28" x14ac:dyDescent="0.2">
      <c r="A912" s="13"/>
      <c r="B912" s="103">
        <v>-1</v>
      </c>
      <c r="C912" s="99" t="s">
        <v>302</v>
      </c>
      <c r="D912" s="100" t="s">
        <v>303</v>
      </c>
      <c r="E912" s="130" t="s">
        <v>289</v>
      </c>
      <c r="F912" s="13" t="s">
        <v>221</v>
      </c>
      <c r="G912" s="13" t="s">
        <v>222</v>
      </c>
      <c r="H912" s="13" t="s">
        <v>223</v>
      </c>
      <c r="I912" s="12"/>
      <c r="J912" s="13" t="s">
        <v>224</v>
      </c>
      <c r="K912" s="13" t="s">
        <v>224</v>
      </c>
      <c r="L912" s="13" t="s">
        <v>331</v>
      </c>
      <c r="M912" s="13" t="s">
        <v>332</v>
      </c>
      <c r="N912" s="140" t="s">
        <v>218</v>
      </c>
      <c r="O912" s="13"/>
      <c r="P912" s="13"/>
      <c r="Q912" s="13"/>
      <c r="R912" s="13" t="s">
        <v>291</v>
      </c>
      <c r="S912" s="13" t="s">
        <v>180</v>
      </c>
      <c r="T912" s="13" t="s">
        <v>38</v>
      </c>
      <c r="U912" s="136" t="s">
        <v>40</v>
      </c>
      <c r="V912" s="13" t="s">
        <v>181</v>
      </c>
      <c r="W912" s="13" t="s">
        <v>182</v>
      </c>
      <c r="X912" s="13" t="s">
        <v>183</v>
      </c>
      <c r="Y912" s="136" t="s">
        <v>46</v>
      </c>
      <c r="Z912" s="136" t="s">
        <v>48</v>
      </c>
      <c r="AA912" s="136" t="s">
        <v>50</v>
      </c>
      <c r="AB912" s="66" t="s">
        <v>184</v>
      </c>
    </row>
    <row r="913" spans="1:29" x14ac:dyDescent="0.2">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x14ac:dyDescent="0.2">
      <c r="A914" s="1" t="s">
        <v>228</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90</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0.01</v>
      </c>
      <c r="U914" s="17">
        <f t="shared" si="52"/>
        <v>0</v>
      </c>
      <c r="V914" s="17">
        <f t="shared" si="52"/>
        <v>-0.02</v>
      </c>
      <c r="W914" s="17">
        <f t="shared" si="52"/>
        <v>0</v>
      </c>
      <c r="X914" s="17">
        <f t="shared" si="52"/>
        <v>-0.01</v>
      </c>
      <c r="Y914" s="17">
        <f t="shared" si="52"/>
        <v>0</v>
      </c>
      <c r="Z914" s="17">
        <f t="shared" si="52"/>
        <v>0</v>
      </c>
      <c r="AA914" s="17">
        <f t="shared" si="52"/>
        <v>0</v>
      </c>
      <c r="AB914" s="19">
        <f>SUM(U909:AA909)</f>
        <v>2.7473999999999998E-2</v>
      </c>
      <c r="AC914" s="67" t="str">
        <f>+F914</f>
        <v>HL1</v>
      </c>
    </row>
    <row r="915" spans="1:29" x14ac:dyDescent="0.2">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x14ac:dyDescent="0.2">
      <c r="A916" s="1" t="s">
        <v>229</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90</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0.01</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x14ac:dyDescent="0.2">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x14ac:dyDescent="0.2">
      <c r="A918" s="1" t="s">
        <v>230</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90</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0.01</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x14ac:dyDescent="0.2">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x14ac:dyDescent="0.2">
      <c r="A920" s="1" t="s">
        <v>246</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90</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0.01</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x14ac:dyDescent="0.2">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x14ac:dyDescent="0.2">
      <c r="A922" s="1" t="s">
        <v>227</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90</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0.01</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x14ac:dyDescent="0.2">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x14ac:dyDescent="0.2">
      <c r="A924" s="1" t="s">
        <v>228</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333</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0.01</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1.2383999999999999E-2</v>
      </c>
      <c r="AC924" s="94" t="str">
        <f>+F924</f>
        <v>HL17</v>
      </c>
    </row>
    <row r="925" spans="1:29" x14ac:dyDescent="0.2">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x14ac:dyDescent="0.2">
      <c r="A926" s="1" t="s">
        <v>229</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333</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0.01</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1.2383999999999999E-2</v>
      </c>
      <c r="AC926" s="94" t="str">
        <f>+F926</f>
        <v>HL17</v>
      </c>
    </row>
    <row r="927" spans="1:29" x14ac:dyDescent="0.2">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x14ac:dyDescent="0.2">
      <c r="A928" s="1" t="s">
        <v>230</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333</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0.01</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1.1980999999999999E-2</v>
      </c>
      <c r="AC928" s="94" t="str">
        <f>+F928</f>
        <v>HL17</v>
      </c>
    </row>
    <row r="929" spans="1:238" x14ac:dyDescent="0.2">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x14ac:dyDescent="0.2">
      <c r="A930" s="1" t="s">
        <v>246</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333</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0.01</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2.7473999999999998E-2</v>
      </c>
      <c r="AC930" s="94" t="str">
        <f>+F930</f>
        <v>HL17</v>
      </c>
    </row>
    <row r="931" spans="1:238" x14ac:dyDescent="0.2">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x14ac:dyDescent="0.2">
      <c r="A932" s="1" t="s">
        <v>227</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333</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0.01</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22.012384000000001</v>
      </c>
      <c r="AC932" s="94" t="str">
        <f>+F932</f>
        <v>HL17</v>
      </c>
    </row>
    <row r="933" spans="1:238" x14ac:dyDescent="0.2">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x14ac:dyDescent="0.2">
      <c r="A934" s="1" t="s">
        <v>228</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334</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0.01</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x14ac:dyDescent="0.2">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x14ac:dyDescent="0.2">
      <c r="A936" s="1" t="s">
        <v>229</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334</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0.01</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x14ac:dyDescent="0.2">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x14ac:dyDescent="0.2">
      <c r="A938" s="1" t="s">
        <v>230</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334</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0.01</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x14ac:dyDescent="0.2">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x14ac:dyDescent="0.2">
      <c r="A940" s="1" t="s">
        <v>246</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334</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0.01</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x14ac:dyDescent="0.2">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x14ac:dyDescent="0.2">
      <c r="A942" s="1" t="s">
        <v>227</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334</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0.01</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x14ac:dyDescent="0.2">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25">
      <c r="A944" s="1" t="s">
        <v>228</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335</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0.01</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x14ac:dyDescent="0.2">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x14ac:dyDescent="0.2">
      <c r="A946" s="1" t="s">
        <v>229</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335</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0.01</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x14ac:dyDescent="0.2">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x14ac:dyDescent="0.2">
      <c r="A948" s="1" t="s">
        <v>230</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335</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0.01</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x14ac:dyDescent="0.2">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x14ac:dyDescent="0.2">
      <c r="A950" s="1" t="s">
        <v>246</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335</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0.01</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x14ac:dyDescent="0.2">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x14ac:dyDescent="0.2">
      <c r="A952" s="1" t="s">
        <v>227</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335</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0.01</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x14ac:dyDescent="0.2">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x14ac:dyDescent="0.2">
      <c r="A954" s="1" t="s">
        <v>228</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336</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0.01</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x14ac:dyDescent="0.2">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x14ac:dyDescent="0.2">
      <c r="A956" s="1" t="s">
        <v>229</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336</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0.01</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x14ac:dyDescent="0.2">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x14ac:dyDescent="0.2">
      <c r="A958" s="1" t="s">
        <v>230</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336</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0.01</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x14ac:dyDescent="0.2">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x14ac:dyDescent="0.2">
      <c r="A960" s="1" t="s">
        <v>246</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336</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0.01</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x14ac:dyDescent="0.2">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x14ac:dyDescent="0.2">
      <c r="A962" s="1" t="s">
        <v>227</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336</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0.01</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x14ac:dyDescent="0.2">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x14ac:dyDescent="0.2">
      <c r="A964" s="1" t="s">
        <v>228</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337</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0.01</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x14ac:dyDescent="0.2">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x14ac:dyDescent="0.2">
      <c r="A966" s="1" t="s">
        <v>229</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337</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0.01</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x14ac:dyDescent="0.2">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x14ac:dyDescent="0.2">
      <c r="A968" s="1" t="s">
        <v>230</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337</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0.01</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x14ac:dyDescent="0.2">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x14ac:dyDescent="0.2">
      <c r="A970" s="1" t="s">
        <v>246</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337</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0.01</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x14ac:dyDescent="0.2">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x14ac:dyDescent="0.2">
      <c r="A972" s="1" t="s">
        <v>227</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337</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0.01</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x14ac:dyDescent="0.2">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x14ac:dyDescent="0.2">
      <c r="A974" s="1" t="s">
        <v>228</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338</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0.01</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x14ac:dyDescent="0.2">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x14ac:dyDescent="0.2">
      <c r="A976" s="1" t="s">
        <v>229</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338</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0.01</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x14ac:dyDescent="0.2">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x14ac:dyDescent="0.2">
      <c r="A978" s="1" t="s">
        <v>230</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338</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0.01</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x14ac:dyDescent="0.2">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x14ac:dyDescent="0.2">
      <c r="A980" s="1" t="s">
        <v>246</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338</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0.01</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x14ac:dyDescent="0.2">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x14ac:dyDescent="0.2">
      <c r="A982" s="1" t="s">
        <v>227</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338</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0.01</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x14ac:dyDescent="0.2">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x14ac:dyDescent="0.2">
      <c r="A984" s="1" t="s">
        <v>228</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339</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0.01</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x14ac:dyDescent="0.2">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x14ac:dyDescent="0.2">
      <c r="A986" s="1" t="s">
        <v>229</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339</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0.01</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x14ac:dyDescent="0.2">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x14ac:dyDescent="0.2">
      <c r="A988" s="1" t="s">
        <v>230</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339</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0.01</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x14ac:dyDescent="0.2">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x14ac:dyDescent="0.2">
      <c r="A990" s="1" t="s">
        <v>246</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339</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0.01</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x14ac:dyDescent="0.2">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x14ac:dyDescent="0.2">
      <c r="A992" s="1" t="s">
        <v>227</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339</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0.01</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x14ac:dyDescent="0.2">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x14ac:dyDescent="0.2">
      <c r="A994" s="1" t="s">
        <v>228</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340</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0.01</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x14ac:dyDescent="0.2">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x14ac:dyDescent="0.2">
      <c r="A996" s="1" t="s">
        <v>229</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340</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0.01</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x14ac:dyDescent="0.2">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x14ac:dyDescent="0.2">
      <c r="A998" s="1" t="s">
        <v>230</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340</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0.01</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x14ac:dyDescent="0.2">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x14ac:dyDescent="0.2">
      <c r="A1000" s="1" t="s">
        <v>246</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340</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0.01</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x14ac:dyDescent="0.2">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x14ac:dyDescent="0.2">
      <c r="A1002" s="1" t="s">
        <v>227</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340</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0.01</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x14ac:dyDescent="0.2">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x14ac:dyDescent="0.2">
      <c r="A1004" s="1" t="s">
        <v>228</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341</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0.01</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x14ac:dyDescent="0.2">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x14ac:dyDescent="0.2">
      <c r="A1006" s="1" t="s">
        <v>229</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341</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0.01</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x14ac:dyDescent="0.2">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x14ac:dyDescent="0.2">
      <c r="A1008" s="1" t="s">
        <v>230</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341</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0.01</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x14ac:dyDescent="0.2">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x14ac:dyDescent="0.2">
      <c r="A1010" s="1" t="s">
        <v>246</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341</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0.01</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x14ac:dyDescent="0.2">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x14ac:dyDescent="0.2">
      <c r="A1012" s="1" t="s">
        <v>227</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341</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0.01</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x14ac:dyDescent="0.2">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x14ac:dyDescent="0.2">
      <c r="A1014" s="1" t="s">
        <v>228</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342</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0.01</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x14ac:dyDescent="0.2">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x14ac:dyDescent="0.2">
      <c r="A1016" s="1" t="s">
        <v>229</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342</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0.01</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x14ac:dyDescent="0.2">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x14ac:dyDescent="0.2">
      <c r="A1018" s="1" t="s">
        <v>230</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342</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0.01</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x14ac:dyDescent="0.2">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x14ac:dyDescent="0.2">
      <c r="A1020" s="1" t="s">
        <v>246</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342</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0.01</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x14ac:dyDescent="0.2">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x14ac:dyDescent="0.2">
      <c r="A1022" s="1" t="s">
        <v>227</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342</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0.01</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x14ac:dyDescent="0.2">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
      <c r="B1024" s="103">
        <v>-1</v>
      </c>
      <c r="C1024" s="9"/>
      <c r="D1024" s="8"/>
      <c r="R1024">
        <v>6571.2</v>
      </c>
      <c r="V1024" s="19">
        <f>+T8</f>
        <v>0</v>
      </c>
      <c r="W1024" s="6" t="s">
        <v>237</v>
      </c>
      <c r="AB1024" s="19">
        <f>+AB$1036-V$1036+V1024</f>
        <v>1.1820999999999998E-2</v>
      </c>
    </row>
    <row r="1025" spans="1:28" x14ac:dyDescent="0.2">
      <c r="B1025" s="103">
        <v>-1</v>
      </c>
      <c r="C1025" s="9"/>
      <c r="D1025" s="8"/>
      <c r="L1025" t="s">
        <v>283</v>
      </c>
      <c r="M1025" t="s">
        <v>283</v>
      </c>
      <c r="S1025" s="6"/>
      <c r="T1025" s="6"/>
      <c r="U1025" s="6"/>
      <c r="V1025" s="27">
        <f>+$T$12</f>
        <v>0</v>
      </c>
      <c r="W1025" s="6" t="s">
        <v>243</v>
      </c>
      <c r="X1025" s="6"/>
      <c r="Y1025" s="6"/>
      <c r="Z1025" s="6"/>
      <c r="AA1025" s="6"/>
      <c r="AB1025" s="19" t="e">
        <f>+AB$1036-V$1036+#REF!</f>
        <v>#REF!</v>
      </c>
    </row>
    <row r="1026" spans="1:28" x14ac:dyDescent="0.2">
      <c r="B1026" s="103">
        <v>-1</v>
      </c>
      <c r="C1026" s="9"/>
      <c r="D1026" s="8"/>
      <c r="S1026" s="6"/>
      <c r="T1026" s="6"/>
      <c r="U1026" s="6"/>
      <c r="V1026" s="27">
        <f>+$T$14</f>
        <v>0</v>
      </c>
      <c r="W1026" s="6" t="s">
        <v>234</v>
      </c>
      <c r="X1026" s="6"/>
      <c r="Y1026" s="6"/>
      <c r="Z1026" s="6"/>
      <c r="AA1026" s="6"/>
      <c r="AB1026" s="19">
        <f>+AB$1036-V$1036+V1025</f>
        <v>1.1820999999999998E-2</v>
      </c>
    </row>
    <row r="1027" spans="1:28" x14ac:dyDescent="0.2">
      <c r="B1027" s="103">
        <v>-1</v>
      </c>
      <c r="C1027" s="9"/>
      <c r="D1027" s="8"/>
      <c r="S1027" s="6"/>
      <c r="T1027" s="6"/>
      <c r="U1027" s="6"/>
      <c r="V1027" s="27">
        <f>$T$16</f>
        <v>0</v>
      </c>
      <c r="W1027" s="6" t="s">
        <v>235</v>
      </c>
      <c r="X1027" s="6"/>
      <c r="Y1027" s="6"/>
      <c r="Z1027" s="6"/>
      <c r="AA1027" s="6"/>
      <c r="AB1027" s="19"/>
    </row>
    <row r="1028" spans="1:28" x14ac:dyDescent="0.2">
      <c r="B1028" s="103">
        <v>-1</v>
      </c>
      <c r="C1028" s="9"/>
      <c r="D1028" s="8"/>
      <c r="S1028" s="6"/>
      <c r="T1028" s="6"/>
      <c r="U1028" s="6"/>
      <c r="V1028" s="27">
        <f>$T$19</f>
        <v>0</v>
      </c>
      <c r="W1028" s="6" t="s">
        <v>236</v>
      </c>
      <c r="X1028" s="6"/>
      <c r="Y1028" s="6"/>
      <c r="Z1028" s="6"/>
      <c r="AA1028" s="6"/>
      <c r="AB1028" s="19"/>
    </row>
    <row r="1029" spans="1:28" x14ac:dyDescent="0.2">
      <c r="B1029" s="103">
        <v>-1</v>
      </c>
      <c r="C1029" s="9"/>
      <c r="D1029" s="8"/>
      <c r="S1029" s="6"/>
      <c r="T1029" s="6"/>
      <c r="U1029" s="6"/>
      <c r="V1029" s="27">
        <f>$T$21</f>
        <v>0</v>
      </c>
      <c r="W1029" s="6" t="s">
        <v>237</v>
      </c>
      <c r="X1029" s="6"/>
      <c r="Y1029" s="6"/>
      <c r="Z1029" s="6"/>
      <c r="AA1029" s="6"/>
      <c r="AB1029" s="19"/>
    </row>
    <row r="1030" spans="1:28" x14ac:dyDescent="0.2">
      <c r="B1030" s="103">
        <v>-1</v>
      </c>
      <c r="C1030" s="9"/>
      <c r="D1030" s="8"/>
      <c r="S1030" s="6"/>
      <c r="T1030" s="6"/>
      <c r="U1030" s="6"/>
      <c r="V1030" s="27">
        <f>$T$23</f>
        <v>-4.0299999999999998E-4</v>
      </c>
      <c r="W1030" s="6" t="s">
        <v>238</v>
      </c>
      <c r="X1030" s="6"/>
      <c r="Y1030" s="6"/>
      <c r="Z1030" s="6"/>
      <c r="AA1030" s="6"/>
      <c r="AB1030" s="19"/>
    </row>
    <row r="1031" spans="1:28" x14ac:dyDescent="0.2">
      <c r="B1031" s="103">
        <v>-1</v>
      </c>
      <c r="C1031" s="9"/>
      <c r="D1031" s="8"/>
      <c r="S1031" s="6"/>
      <c r="T1031" s="6"/>
      <c r="U1031" s="6"/>
      <c r="V1031" s="27">
        <f>$T$25</f>
        <v>0</v>
      </c>
      <c r="W1031" s="6" t="s">
        <v>239</v>
      </c>
      <c r="X1031" s="6"/>
      <c r="Y1031" s="6"/>
      <c r="Z1031" s="6"/>
      <c r="AA1031" s="6"/>
      <c r="AB1031" s="19"/>
    </row>
    <row r="1032" spans="1:28" x14ac:dyDescent="0.2">
      <c r="B1032" s="103">
        <v>-1</v>
      </c>
      <c r="C1032" s="9"/>
      <c r="D1032" s="8"/>
      <c r="S1032" s="6"/>
      <c r="T1032" s="6"/>
      <c r="U1032" s="6"/>
      <c r="V1032" s="19">
        <f>T27</f>
        <v>0</v>
      </c>
      <c r="W1032" s="6" t="s">
        <v>240</v>
      </c>
      <c r="X1032" s="6"/>
      <c r="Y1032" s="6"/>
      <c r="Z1032" s="6"/>
      <c r="AA1032" s="6"/>
      <c r="AB1032" s="19"/>
    </row>
    <row r="1033" spans="1:28" x14ac:dyDescent="0.2">
      <c r="B1033" s="103">
        <v>-1</v>
      </c>
      <c r="C1033" s="9"/>
      <c r="D1033" s="8"/>
      <c r="S1033" s="6"/>
      <c r="T1033" s="6"/>
      <c r="U1033" s="6"/>
      <c r="V1033" s="19">
        <f>T29</f>
        <v>3.3769999999999998E-3</v>
      </c>
      <c r="W1033" s="6" t="s">
        <v>241</v>
      </c>
      <c r="X1033" s="6"/>
      <c r="Y1033" s="6"/>
      <c r="Z1033" s="6"/>
      <c r="AA1033" s="6"/>
      <c r="AB1033" s="19"/>
    </row>
    <row r="1034" spans="1:28" x14ac:dyDescent="0.2">
      <c r="B1034" s="103">
        <v>-1</v>
      </c>
      <c r="C1034" s="9"/>
      <c r="D1034" s="8"/>
      <c r="S1034" s="6"/>
      <c r="T1034" s="6"/>
      <c r="U1034" s="6"/>
      <c r="V1034" s="19">
        <f>T31</f>
        <v>7.6290000000000004E-3</v>
      </c>
      <c r="W1034" s="6" t="s">
        <v>242</v>
      </c>
      <c r="X1034" s="6"/>
      <c r="Y1034" s="6"/>
      <c r="Z1034" s="6"/>
      <c r="AA1034" s="6"/>
      <c r="AB1034" s="19"/>
    </row>
    <row r="1035" spans="1:28" x14ac:dyDescent="0.2">
      <c r="B1035" s="103"/>
      <c r="C1035" s="9"/>
      <c r="D1035" s="8"/>
      <c r="S1035" s="6"/>
      <c r="T1035" s="6"/>
      <c r="U1035" s="6"/>
      <c r="V1035" s="19">
        <f>V908</f>
        <v>9.0039999999999999E-3</v>
      </c>
      <c r="W1035" s="6" t="s">
        <v>243</v>
      </c>
      <c r="X1035" s="6"/>
      <c r="Y1035" s="6"/>
      <c r="Z1035" s="6"/>
      <c r="AA1035" s="6"/>
      <c r="AB1035" s="19"/>
    </row>
    <row r="1036" spans="1:28" x14ac:dyDescent="0.2">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-5.5440000000000003E-3</v>
      </c>
      <c r="U1036" s="27">
        <f>+$S$34</f>
        <v>1.6930000000000001E-3</v>
      </c>
      <c r="V1036" s="27">
        <f>+V782</f>
        <v>1.5089999999999999E-2</v>
      </c>
      <c r="W1036" s="27">
        <f>+W782</f>
        <v>0</v>
      </c>
      <c r="X1036" s="27">
        <f>+X909</f>
        <v>7.2249999999999997E-3</v>
      </c>
      <c r="Y1036" s="27">
        <f>+Y909</f>
        <v>-2.5599999999999999E-4</v>
      </c>
      <c r="Z1036" s="27">
        <f>+Z909</f>
        <v>3.1589999999999999E-3</v>
      </c>
      <c r="AA1036" s="27">
        <f>+AA909</f>
        <v>5.6300000000000002E-4</v>
      </c>
      <c r="AB1036" s="19">
        <f>SUM(U1036:Z1036)</f>
        <v>2.6910999999999997E-2</v>
      </c>
    </row>
    <row r="1037" spans="1:28" x14ac:dyDescent="0.2">
      <c r="A1037" s="1"/>
      <c r="B1037" s="103">
        <v>-1</v>
      </c>
      <c r="C1037" s="9"/>
      <c r="D1037" s="8"/>
      <c r="F1037" s="70"/>
      <c r="G1037" s="70"/>
      <c r="H1037" s="70"/>
      <c r="I1037" s="70"/>
      <c r="J1037" s="70"/>
      <c r="K1037" s="70"/>
      <c r="L1037" s="73">
        <v>4000</v>
      </c>
      <c r="M1037" s="70"/>
      <c r="N1037" s="70"/>
      <c r="O1037" s="70"/>
      <c r="P1037" s="70"/>
      <c r="Q1037" s="70"/>
    </row>
    <row r="1038" spans="1:28" x14ac:dyDescent="0.2">
      <c r="B1038" s="103">
        <v>-1</v>
      </c>
      <c r="C1038" s="9"/>
      <c r="D1038" s="8"/>
      <c r="F1038" s="12"/>
      <c r="J1038" s="12" t="s">
        <v>217</v>
      </c>
      <c r="K1038" s="12" t="s">
        <v>287</v>
      </c>
      <c r="L1038" s="258" t="s">
        <v>32</v>
      </c>
      <c r="M1038" s="258"/>
      <c r="N1038" s="12"/>
      <c r="O1038" s="12"/>
      <c r="P1038" s="12"/>
      <c r="Q1038" s="140" t="s">
        <v>257</v>
      </c>
      <c r="R1038" s="12" t="s">
        <v>286</v>
      </c>
      <c r="S1038" s="12">
        <v>21</v>
      </c>
      <c r="T1038" s="12">
        <v>6</v>
      </c>
      <c r="U1038" s="12">
        <v>3</v>
      </c>
      <c r="V1038" s="12">
        <v>22</v>
      </c>
      <c r="W1038" s="12">
        <v>13</v>
      </c>
      <c r="X1038" s="12">
        <v>20</v>
      </c>
      <c r="Y1038" s="12">
        <v>24</v>
      </c>
      <c r="Z1038" s="12">
        <v>25</v>
      </c>
      <c r="AA1038" s="12">
        <v>26</v>
      </c>
    </row>
    <row r="1039" spans="1:28" x14ac:dyDescent="0.2">
      <c r="A1039" s="13"/>
      <c r="B1039" s="103">
        <v>-1</v>
      </c>
      <c r="C1039" s="99" t="s">
        <v>302</v>
      </c>
      <c r="D1039" s="100" t="s">
        <v>303</v>
      </c>
      <c r="E1039" s="130" t="s">
        <v>289</v>
      </c>
      <c r="F1039" s="13" t="s">
        <v>221</v>
      </c>
      <c r="G1039" s="13" t="s">
        <v>222</v>
      </c>
      <c r="H1039" s="13" t="s">
        <v>223</v>
      </c>
      <c r="J1039" s="13" t="s">
        <v>224</v>
      </c>
      <c r="K1039" s="13" t="s">
        <v>224</v>
      </c>
      <c r="L1039" s="13" t="s">
        <v>331</v>
      </c>
      <c r="M1039" s="13" t="s">
        <v>332</v>
      </c>
      <c r="N1039" s="140" t="s">
        <v>218</v>
      </c>
      <c r="O1039" s="13"/>
      <c r="P1039" s="13"/>
      <c r="Q1039" s="13"/>
      <c r="R1039" s="13" t="s">
        <v>291</v>
      </c>
      <c r="S1039" s="13" t="s">
        <v>180</v>
      </c>
      <c r="T1039" s="13" t="s">
        <v>38</v>
      </c>
      <c r="U1039" s="136" t="s">
        <v>40</v>
      </c>
      <c r="V1039" s="13" t="s">
        <v>181</v>
      </c>
      <c r="W1039" s="13" t="s">
        <v>182</v>
      </c>
      <c r="X1039" s="13" t="s">
        <v>183</v>
      </c>
      <c r="Y1039" s="136" t="s">
        <v>46</v>
      </c>
      <c r="Z1039" s="136" t="s">
        <v>48</v>
      </c>
      <c r="AA1039" s="136" t="s">
        <v>50</v>
      </c>
      <c r="AB1039" s="66" t="s">
        <v>184</v>
      </c>
    </row>
    <row r="1040" spans="1:28" x14ac:dyDescent="0.2">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x14ac:dyDescent="0.2">
      <c r="A1041" s="1" t="s">
        <v>228</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94</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0.01</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2.7473999999999998E-2</v>
      </c>
      <c r="AC1041" s="67" t="str">
        <f>+F1041</f>
        <v>HL2</v>
      </c>
    </row>
    <row r="1042" spans="1:29" x14ac:dyDescent="0.2">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x14ac:dyDescent="0.2">
      <c r="A1043" s="1" t="s">
        <v>229</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94</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0.01</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x14ac:dyDescent="0.2">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x14ac:dyDescent="0.2">
      <c r="A1045" s="1" t="s">
        <v>230</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94</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0.01</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x14ac:dyDescent="0.2">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x14ac:dyDescent="0.2">
      <c r="A1047" s="1" t="s">
        <v>246</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94</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0.01</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x14ac:dyDescent="0.2">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x14ac:dyDescent="0.2">
      <c r="A1049" s="1" t="s">
        <v>227</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94</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0.01</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x14ac:dyDescent="0.2">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x14ac:dyDescent="0.2">
      <c r="A1051" s="1" t="s">
        <v>228</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343</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0.01</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1.2383999999999999E-2</v>
      </c>
      <c r="AC1051" s="105" t="str">
        <f t="shared" si="64"/>
        <v>HL27</v>
      </c>
    </row>
    <row r="1052" spans="1:29" x14ac:dyDescent="0.2">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x14ac:dyDescent="0.2">
      <c r="A1053" s="1" t="s">
        <v>229</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343</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0.01</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x14ac:dyDescent="0.2">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x14ac:dyDescent="0.2">
      <c r="A1055" s="1" t="s">
        <v>230</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343</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0.01</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-7.6159999999999978E-3</v>
      </c>
      <c r="AC1055" s="105" t="str">
        <f t="shared" si="64"/>
        <v>HL27</v>
      </c>
    </row>
    <row r="1056" spans="1:29" x14ac:dyDescent="0.2">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x14ac:dyDescent="0.2">
      <c r="A1057" s="1" t="s">
        <v>246</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343</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0.01</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-7.6159999999999978E-3</v>
      </c>
      <c r="AC1057" s="105" t="str">
        <f t="shared" si="64"/>
        <v>HL27</v>
      </c>
    </row>
    <row r="1058" spans="1:252" x14ac:dyDescent="0.2">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x14ac:dyDescent="0.2">
      <c r="A1059" s="1" t="s">
        <v>227</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343</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0.01</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-7.6159999999999978E-3</v>
      </c>
      <c r="AC1059" s="105" t="str">
        <f t="shared" si="64"/>
        <v>HL27</v>
      </c>
    </row>
    <row r="1060" spans="1:252" x14ac:dyDescent="0.2">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x14ac:dyDescent="0.2">
      <c r="A1061" s="1" t="s">
        <v>228</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344</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0.01</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-7.6159999999999978E-3</v>
      </c>
      <c r="AC1061" s="105" t="str">
        <f t="shared" si="64"/>
        <v>HL28</v>
      </c>
    </row>
    <row r="1062" spans="1:252" x14ac:dyDescent="0.2">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x14ac:dyDescent="0.2">
      <c r="A1063" s="1" t="s">
        <v>229</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344</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0.01</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-7.6159999999999978E-3</v>
      </c>
      <c r="AC1063" s="105" t="str">
        <f t="shared" si="64"/>
        <v>HL28</v>
      </c>
    </row>
    <row r="1064" spans="1:252" x14ac:dyDescent="0.2">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x14ac:dyDescent="0.2">
      <c r="A1065" s="1" t="s">
        <v>230</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344</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0.01</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1.2383999999999999E-2</v>
      </c>
      <c r="AC1065" s="105" t="str">
        <f t="shared" si="64"/>
        <v>HL28</v>
      </c>
    </row>
    <row r="1066" spans="1:252" x14ac:dyDescent="0.2">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x14ac:dyDescent="0.2">
      <c r="A1067" s="1" t="s">
        <v>246</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344</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0.01</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1.2383999999999999E-2</v>
      </c>
      <c r="AC1067" s="105" t="str">
        <f t="shared" si="64"/>
        <v>HL28</v>
      </c>
    </row>
    <row r="1068" spans="1:252" x14ac:dyDescent="0.2">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x14ac:dyDescent="0.2">
      <c r="A1069" s="1" t="s">
        <v>227</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344</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0.01</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1.2383999999999999E-2</v>
      </c>
      <c r="AC1069" s="105" t="str">
        <f t="shared" si="64"/>
        <v>HL28</v>
      </c>
    </row>
    <row r="1070" spans="1:252" x14ac:dyDescent="0.2">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25">
      <c r="A1071" s="1" t="s">
        <v>228</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345</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0.01</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1.2383999999999999E-2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x14ac:dyDescent="0.2">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x14ac:dyDescent="0.2">
      <c r="A1073" s="1" t="s">
        <v>229</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345</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0.01</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1.2383999999999999E-2</v>
      </c>
      <c r="AC1073" s="105" t="str">
        <f t="shared" si="64"/>
        <v>HL29</v>
      </c>
    </row>
    <row r="1074" spans="1:29" x14ac:dyDescent="0.2">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x14ac:dyDescent="0.2">
      <c r="A1075" s="1" t="s">
        <v>230</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345</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0.01</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1.2383999999999999E-2</v>
      </c>
      <c r="AC1075" s="105" t="str">
        <f t="shared" si="64"/>
        <v>HL29</v>
      </c>
    </row>
    <row r="1076" spans="1:29" x14ac:dyDescent="0.2">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x14ac:dyDescent="0.2">
      <c r="A1077" s="1" t="s">
        <v>246</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345</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0.01</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1.2383999999999999E-2</v>
      </c>
      <c r="AC1077" s="105" t="str">
        <f t="shared" si="64"/>
        <v>HL29</v>
      </c>
    </row>
    <row r="1078" spans="1:29" x14ac:dyDescent="0.2">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x14ac:dyDescent="0.2">
      <c r="A1079" s="1" t="s">
        <v>227</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345</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0.01</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1.2383999999999999E-2</v>
      </c>
      <c r="AC1079" s="105" t="str">
        <f t="shared" si="64"/>
        <v>HL29</v>
      </c>
    </row>
    <row r="1080" spans="1:29" x14ac:dyDescent="0.2">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x14ac:dyDescent="0.2">
      <c r="A1081" s="1" t="s">
        <v>228</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346</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0.01</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1.2383999999999999E-2</v>
      </c>
      <c r="AC1081" s="105" t="str">
        <f t="shared" si="64"/>
        <v>HL20</v>
      </c>
    </row>
    <row r="1082" spans="1:29" x14ac:dyDescent="0.2">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x14ac:dyDescent="0.2">
      <c r="A1083" s="1" t="s">
        <v>229</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346</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0.01</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1.2383999999999999E-2</v>
      </c>
      <c r="AC1083" s="105" t="str">
        <f t="shared" si="64"/>
        <v>HL20</v>
      </c>
    </row>
    <row r="1084" spans="1:29" x14ac:dyDescent="0.2">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x14ac:dyDescent="0.2">
      <c r="A1085" s="1" t="s">
        <v>230</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346</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0.01</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1.2383999999999999E-2</v>
      </c>
      <c r="AC1085" s="105" t="str">
        <f t="shared" si="64"/>
        <v>HL20</v>
      </c>
    </row>
    <row r="1086" spans="1:29" x14ac:dyDescent="0.2">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x14ac:dyDescent="0.2">
      <c r="A1087" s="1" t="s">
        <v>246</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346</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0.01</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1.2383999999999999E-2</v>
      </c>
      <c r="AC1087" s="105" t="str">
        <f t="shared" si="64"/>
        <v>HL20</v>
      </c>
    </row>
    <row r="1088" spans="1:29" x14ac:dyDescent="0.2">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x14ac:dyDescent="0.2">
      <c r="A1089" s="1" t="s">
        <v>227</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346</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0.01</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1.2383999999999999E-2</v>
      </c>
      <c r="AC1089" s="105" t="str">
        <f t="shared" si="64"/>
        <v>HL20</v>
      </c>
    </row>
    <row r="1090" spans="1:29" x14ac:dyDescent="0.2">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x14ac:dyDescent="0.2">
      <c r="A1091" s="1" t="s">
        <v>228</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347</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0.01</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1.2383999999999999E-2</v>
      </c>
      <c r="AC1091" s="105" t="str">
        <f t="shared" si="64"/>
        <v>HL21</v>
      </c>
    </row>
    <row r="1092" spans="1:29" x14ac:dyDescent="0.2">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x14ac:dyDescent="0.2">
      <c r="A1093" s="1" t="s">
        <v>229</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347</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0.01</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1.2383999999999999E-2</v>
      </c>
      <c r="AC1093" s="105" t="str">
        <f t="shared" si="64"/>
        <v>HL21</v>
      </c>
    </row>
    <row r="1094" spans="1:29" x14ac:dyDescent="0.2">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x14ac:dyDescent="0.2">
      <c r="A1095" s="1" t="s">
        <v>230</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347</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0.01</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1.2383999999999999E-2</v>
      </c>
      <c r="AC1095" s="105" t="str">
        <f t="shared" si="64"/>
        <v>HL21</v>
      </c>
    </row>
    <row r="1096" spans="1:29" x14ac:dyDescent="0.2">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x14ac:dyDescent="0.2">
      <c r="A1097" s="1" t="s">
        <v>246</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347</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0.01</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1.2383999999999999E-2</v>
      </c>
      <c r="AC1097" s="105" t="str">
        <f t="shared" si="64"/>
        <v>HL21</v>
      </c>
    </row>
    <row r="1098" spans="1:29" x14ac:dyDescent="0.2">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x14ac:dyDescent="0.2">
      <c r="A1099" s="1" t="s">
        <v>227</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347</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0.01</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1.2383999999999999E-2</v>
      </c>
      <c r="AC1099" s="105" t="str">
        <f t="shared" si="64"/>
        <v>HL21</v>
      </c>
    </row>
    <row r="1100" spans="1:29" x14ac:dyDescent="0.2">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x14ac:dyDescent="0.2">
      <c r="A1101" s="1" t="s">
        <v>228</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348</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0.01</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1.2383999999999999E-2</v>
      </c>
      <c r="AC1101" s="105" t="str">
        <f t="shared" si="64"/>
        <v>HL22</v>
      </c>
    </row>
    <row r="1102" spans="1:29" x14ac:dyDescent="0.2">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x14ac:dyDescent="0.2">
      <c r="A1103" s="1" t="s">
        <v>229</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348</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0.01</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1.2383999999999999E-2</v>
      </c>
      <c r="AC1103" s="105" t="str">
        <f t="shared" si="64"/>
        <v>HL22</v>
      </c>
    </row>
    <row r="1104" spans="1:29" x14ac:dyDescent="0.2">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x14ac:dyDescent="0.2">
      <c r="A1105" s="1" t="s">
        <v>230</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348</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0.01</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1.2383999999999999E-2</v>
      </c>
      <c r="AC1105" s="105" t="str">
        <f t="shared" si="64"/>
        <v>HL22</v>
      </c>
    </row>
    <row r="1106" spans="1:29" x14ac:dyDescent="0.2">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x14ac:dyDescent="0.2">
      <c r="A1107" s="1" t="s">
        <v>246</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348</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0.01</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1.2383999999999999E-2</v>
      </c>
      <c r="AC1107" s="105" t="str">
        <f t="shared" si="64"/>
        <v>HL22</v>
      </c>
    </row>
    <row r="1108" spans="1:29" x14ac:dyDescent="0.2">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x14ac:dyDescent="0.2">
      <c r="A1109" s="1" t="s">
        <v>227</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348</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0.01</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1.2383999999999999E-2</v>
      </c>
      <c r="AC1109" s="105" t="str">
        <f t="shared" si="64"/>
        <v>HL22</v>
      </c>
    </row>
    <row r="1110" spans="1:29" x14ac:dyDescent="0.2">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x14ac:dyDescent="0.2">
      <c r="A1111" s="1" t="s">
        <v>228</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349</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0.01</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1.2383999999999999E-2</v>
      </c>
      <c r="AC1111" s="105" t="str">
        <f t="shared" si="64"/>
        <v>HL23</v>
      </c>
    </row>
    <row r="1112" spans="1:29" x14ac:dyDescent="0.2">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x14ac:dyDescent="0.2">
      <c r="A1113" s="1" t="s">
        <v>229</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349</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0.01</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1.2383999999999999E-2</v>
      </c>
      <c r="AC1113" s="105" t="str">
        <f t="shared" ref="AC1113:AC1122" si="67">+F1113</f>
        <v>HL23</v>
      </c>
    </row>
    <row r="1114" spans="1:29" x14ac:dyDescent="0.2">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x14ac:dyDescent="0.2">
      <c r="A1115" s="1" t="s">
        <v>230</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349</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0.01</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1.2383999999999999E-2</v>
      </c>
      <c r="AC1115" s="105" t="str">
        <f t="shared" si="67"/>
        <v>HL23</v>
      </c>
    </row>
    <row r="1116" spans="1:29" x14ac:dyDescent="0.2">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x14ac:dyDescent="0.2">
      <c r="A1117" s="1" t="s">
        <v>246</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349</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0.01</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1.2383999999999999E-2</v>
      </c>
      <c r="AC1117" s="105" t="str">
        <f t="shared" si="67"/>
        <v>HL23</v>
      </c>
    </row>
    <row r="1118" spans="1:29" x14ac:dyDescent="0.2">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x14ac:dyDescent="0.2">
      <c r="A1119" s="1" t="s">
        <v>227</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349</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0.01</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1.2383999999999999E-2</v>
      </c>
      <c r="AC1119" s="105" t="str">
        <f t="shared" si="67"/>
        <v>HL23</v>
      </c>
    </row>
    <row r="1120" spans="1:29" x14ac:dyDescent="0.2">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x14ac:dyDescent="0.2">
      <c r="A1121" s="1" t="s">
        <v>228</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350</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0.01</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1.2383999999999999E-2</v>
      </c>
      <c r="AC1121" s="105" t="str">
        <f t="shared" si="67"/>
        <v>HL24</v>
      </c>
    </row>
    <row r="1122" spans="1:29" x14ac:dyDescent="0.2">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x14ac:dyDescent="0.2">
      <c r="A1123" s="1" t="s">
        <v>229</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350</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0.01</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1.2383999999999999E-2</v>
      </c>
      <c r="AC1123" s="105" t="str">
        <f t="shared" ref="AC1123:AC1132" si="69">+F1123</f>
        <v>HL24</v>
      </c>
    </row>
    <row r="1124" spans="1:29" x14ac:dyDescent="0.2">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x14ac:dyDescent="0.2">
      <c r="A1125" s="1" t="s">
        <v>230</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350</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0.01</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1.2383999999999999E-2</v>
      </c>
      <c r="AC1125" s="105" t="str">
        <f t="shared" si="69"/>
        <v>HL24</v>
      </c>
    </row>
    <row r="1126" spans="1:29" x14ac:dyDescent="0.2">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x14ac:dyDescent="0.2">
      <c r="A1127" s="1" t="s">
        <v>246</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350</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0.01</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1.2383999999999999E-2</v>
      </c>
      <c r="AC1127" s="105" t="str">
        <f t="shared" si="69"/>
        <v>HL24</v>
      </c>
    </row>
    <row r="1128" spans="1:29" x14ac:dyDescent="0.2">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x14ac:dyDescent="0.2">
      <c r="A1129" s="1" t="s">
        <v>227</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350</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0.01</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1.2383999999999999E-2</v>
      </c>
      <c r="AC1129" s="105" t="str">
        <f t="shared" si="69"/>
        <v>HL24</v>
      </c>
    </row>
    <row r="1130" spans="1:29" x14ac:dyDescent="0.2">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x14ac:dyDescent="0.2">
      <c r="A1131" s="1" t="s">
        <v>228</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351</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0.01</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1.2383999999999999E-2</v>
      </c>
      <c r="AC1131" s="105" t="str">
        <f t="shared" si="69"/>
        <v>HL25</v>
      </c>
    </row>
    <row r="1132" spans="1:29" x14ac:dyDescent="0.2">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x14ac:dyDescent="0.2">
      <c r="A1133" s="1" t="s">
        <v>229</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351</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0.01</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1.2383999999999999E-2</v>
      </c>
      <c r="AC1133" s="105" t="str">
        <f t="shared" ref="AC1133:AC1142" si="71">+F1133</f>
        <v>HL25</v>
      </c>
    </row>
    <row r="1134" spans="1:29" x14ac:dyDescent="0.2">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x14ac:dyDescent="0.2">
      <c r="A1135" s="1" t="s">
        <v>230</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351</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0.01</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1.2383999999999999E-2</v>
      </c>
      <c r="AC1135" s="105" t="str">
        <f t="shared" si="71"/>
        <v>HL25</v>
      </c>
    </row>
    <row r="1136" spans="1:29" x14ac:dyDescent="0.2">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x14ac:dyDescent="0.2">
      <c r="A1137" s="1" t="s">
        <v>246</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351</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0.01</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1.2383999999999999E-2</v>
      </c>
      <c r="AC1137" s="105" t="str">
        <f t="shared" si="71"/>
        <v>HL25</v>
      </c>
    </row>
    <row r="1138" spans="1:29" x14ac:dyDescent="0.2">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x14ac:dyDescent="0.2">
      <c r="A1139" s="1" t="s">
        <v>227</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351</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0.01</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1.2383999999999999E-2</v>
      </c>
      <c r="AC1139" s="105" t="str">
        <f t="shared" si="71"/>
        <v>HL25</v>
      </c>
    </row>
    <row r="1140" spans="1:29" x14ac:dyDescent="0.2">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x14ac:dyDescent="0.2">
      <c r="A1141" s="1" t="s">
        <v>228</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352</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0.01</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1.2383999999999999E-2</v>
      </c>
      <c r="AC1141" s="105" t="str">
        <f t="shared" si="71"/>
        <v>HL26</v>
      </c>
    </row>
    <row r="1142" spans="1:29" x14ac:dyDescent="0.2">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x14ac:dyDescent="0.2">
      <c r="A1143" s="1" t="s">
        <v>229</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352</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0.01</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1.2383999999999999E-2</v>
      </c>
      <c r="AC1143" s="105" t="str">
        <f t="shared" ref="AC1143:AC1149" si="73">+F1143</f>
        <v>HL26</v>
      </c>
    </row>
    <row r="1144" spans="1:29" x14ac:dyDescent="0.2">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x14ac:dyDescent="0.2">
      <c r="A1145" s="1" t="s">
        <v>230</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352</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0.01</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2.3839999999999972E-3</v>
      </c>
      <c r="AC1145" s="105" t="str">
        <f t="shared" si="73"/>
        <v>HL26</v>
      </c>
    </row>
    <row r="1146" spans="1:29" x14ac:dyDescent="0.2">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x14ac:dyDescent="0.2">
      <c r="A1147" s="1" t="s">
        <v>246</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352</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0.01</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2.3839999999999972E-3</v>
      </c>
      <c r="AC1147" s="105" t="str">
        <f t="shared" si="73"/>
        <v>HL26</v>
      </c>
    </row>
    <row r="1148" spans="1:29" x14ac:dyDescent="0.2">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x14ac:dyDescent="0.2">
      <c r="A1149" s="1" t="s">
        <v>227</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352</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0.01</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2.3839999999999972E-3</v>
      </c>
      <c r="AC1149" s="105" t="str">
        <f t="shared" si="73"/>
        <v>HL26</v>
      </c>
    </row>
    <row r="1150" spans="1:29" x14ac:dyDescent="0.2">
      <c r="B1150" s="103">
        <v>-1</v>
      </c>
      <c r="C1150" s="9"/>
      <c r="D1150" s="8"/>
      <c r="X1150" s="6"/>
      <c r="Y1150" s="6"/>
      <c r="Z1150" s="6"/>
      <c r="AA1150" s="6"/>
      <c r="AB1150" s="19"/>
    </row>
    <row r="1151" spans="1:29" x14ac:dyDescent="0.2">
      <c r="B1151" s="103">
        <v>-1</v>
      </c>
      <c r="C1151" s="9"/>
      <c r="D1151" s="8"/>
      <c r="L1151" t="s">
        <v>283</v>
      </c>
      <c r="M1151" t="s">
        <v>283</v>
      </c>
      <c r="S1151" s="6"/>
      <c r="T1151" s="6"/>
      <c r="U1151" s="6"/>
      <c r="V1151" s="19">
        <f>+T8</f>
        <v>0</v>
      </c>
      <c r="W1151" s="6" t="s">
        <v>237</v>
      </c>
      <c r="AB1151" s="19" t="e">
        <f>+AB$1162-V$1162+#REF!</f>
        <v>#REF!</v>
      </c>
    </row>
    <row r="1152" spans="1:29" x14ac:dyDescent="0.2">
      <c r="B1152" s="103">
        <v>-1</v>
      </c>
      <c r="C1152" s="9"/>
      <c r="D1152" s="8"/>
      <c r="S1152" s="6"/>
      <c r="T1152" s="6"/>
      <c r="U1152" s="6"/>
      <c r="V1152" s="19">
        <f>+T13</f>
        <v>0</v>
      </c>
      <c r="W1152" s="6" t="s">
        <v>234</v>
      </c>
      <c r="AB1152" s="19" t="e">
        <f>+AB$1162-V$1162+#REF!</f>
        <v>#REF!</v>
      </c>
    </row>
    <row r="1153" spans="1:29" x14ac:dyDescent="0.2">
      <c r="B1153" s="103">
        <v>-1</v>
      </c>
      <c r="C1153" s="9"/>
      <c r="D1153" s="8"/>
      <c r="S1153" s="6"/>
      <c r="T1153" s="6"/>
      <c r="U1153" s="6"/>
      <c r="V1153" s="19">
        <f>T16</f>
        <v>0</v>
      </c>
      <c r="W1153" s="6" t="s">
        <v>235</v>
      </c>
      <c r="AB1153" s="19"/>
    </row>
    <row r="1154" spans="1:29" x14ac:dyDescent="0.2">
      <c r="B1154" s="103">
        <v>-1</v>
      </c>
      <c r="C1154" s="9"/>
      <c r="D1154" s="8"/>
      <c r="S1154" s="6"/>
      <c r="T1154" s="6"/>
      <c r="U1154" s="6"/>
      <c r="V1154" s="27">
        <f>$T$19</f>
        <v>0</v>
      </c>
      <c r="W1154" s="6" t="s">
        <v>236</v>
      </c>
      <c r="AB1154" s="19"/>
    </row>
    <row r="1155" spans="1:29" x14ac:dyDescent="0.2">
      <c r="B1155" s="103">
        <v>-1</v>
      </c>
      <c r="C1155" s="9"/>
      <c r="D1155" s="8"/>
      <c r="S1155" s="6"/>
      <c r="T1155" s="6"/>
      <c r="U1155" s="6"/>
      <c r="V1155" s="27">
        <f>$T$21</f>
        <v>0</v>
      </c>
      <c r="W1155" s="6" t="s">
        <v>237</v>
      </c>
      <c r="AB1155" s="19"/>
    </row>
    <row r="1156" spans="1:29" x14ac:dyDescent="0.2">
      <c r="B1156" s="103">
        <v>-1</v>
      </c>
      <c r="C1156" s="9"/>
      <c r="D1156" s="8"/>
      <c r="S1156" s="6"/>
      <c r="T1156" s="6"/>
      <c r="U1156" s="6"/>
      <c r="V1156" s="27">
        <f>$T$23</f>
        <v>-4.0299999999999998E-4</v>
      </c>
      <c r="W1156" s="6" t="s">
        <v>238</v>
      </c>
      <c r="AB1156" s="19"/>
    </row>
    <row r="1157" spans="1:29" x14ac:dyDescent="0.2">
      <c r="B1157" s="103">
        <v>-1</v>
      </c>
      <c r="C1157" s="9"/>
      <c r="D1157" s="8"/>
      <c r="S1157" s="6"/>
      <c r="T1157" s="6"/>
      <c r="U1157" s="6"/>
      <c r="V1157" s="27">
        <f>$T$25</f>
        <v>0</v>
      </c>
      <c r="W1157" s="6" t="s">
        <v>239</v>
      </c>
      <c r="AB1157" s="19"/>
    </row>
    <row r="1158" spans="1:29" x14ac:dyDescent="0.2">
      <c r="B1158" s="103">
        <v>-1</v>
      </c>
      <c r="C1158" s="9"/>
      <c r="D1158" s="8"/>
      <c r="S1158" s="6"/>
      <c r="T1158" s="6"/>
      <c r="U1158" s="6"/>
      <c r="V1158" s="19">
        <f>T27</f>
        <v>0</v>
      </c>
      <c r="W1158" s="6" t="s">
        <v>240</v>
      </c>
      <c r="AB1158" s="19"/>
    </row>
    <row r="1159" spans="1:29" x14ac:dyDescent="0.2">
      <c r="B1159" s="103">
        <v>-1</v>
      </c>
      <c r="C1159" s="9"/>
      <c r="D1159" s="8"/>
      <c r="S1159" s="6"/>
      <c r="T1159" s="6"/>
      <c r="U1159" s="6"/>
      <c r="V1159" s="19">
        <f>T29</f>
        <v>3.3769999999999998E-3</v>
      </c>
      <c r="W1159" s="6" t="s">
        <v>241</v>
      </c>
      <c r="AB1159" s="19"/>
    </row>
    <row r="1160" spans="1:29" x14ac:dyDescent="0.2">
      <c r="B1160" s="103">
        <v>-1</v>
      </c>
      <c r="C1160" s="9"/>
      <c r="D1160" s="8"/>
      <c r="S1160" s="6"/>
      <c r="T1160" s="6"/>
      <c r="U1160" s="6"/>
      <c r="V1160" s="19">
        <f>T31</f>
        <v>7.6290000000000004E-3</v>
      </c>
      <c r="W1160" s="6" t="s">
        <v>242</v>
      </c>
      <c r="AB1160" s="19"/>
    </row>
    <row r="1161" spans="1:29" x14ac:dyDescent="0.2">
      <c r="B1161" s="103"/>
      <c r="C1161" s="9"/>
      <c r="D1161" s="8"/>
      <c r="S1161" s="6"/>
      <c r="T1161" s="6"/>
      <c r="U1161" s="6"/>
      <c r="V1161" s="19">
        <f>V1035</f>
        <v>9.0039999999999999E-3</v>
      </c>
      <c r="W1161" s="6" t="s">
        <v>243</v>
      </c>
      <c r="AB1161" s="19"/>
    </row>
    <row r="1162" spans="1:29" x14ac:dyDescent="0.2">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-5.5440000000000003E-3</v>
      </c>
      <c r="U1162" s="27">
        <f>+$S$34</f>
        <v>1.6930000000000001E-3</v>
      </c>
      <c r="V1162" s="27">
        <f t="shared" ref="V1162:AA1162" si="74">+V909</f>
        <v>1.5089999999999999E-2</v>
      </c>
      <c r="W1162" s="27">
        <f t="shared" si="74"/>
        <v>0</v>
      </c>
      <c r="X1162" s="27">
        <f t="shared" si="74"/>
        <v>7.2249999999999997E-3</v>
      </c>
      <c r="Y1162" s="27">
        <f t="shared" si="74"/>
        <v>-2.5599999999999999E-4</v>
      </c>
      <c r="Z1162" s="27">
        <f t="shared" si="74"/>
        <v>3.1589999999999999E-3</v>
      </c>
      <c r="AA1162" s="27">
        <f t="shared" si="74"/>
        <v>5.6300000000000002E-4</v>
      </c>
      <c r="AB1162" s="19">
        <f>SUM(U1162:Z1162)</f>
        <v>2.6910999999999997E-2</v>
      </c>
    </row>
    <row r="1163" spans="1:29" x14ac:dyDescent="0.2">
      <c r="A1163" s="1"/>
      <c r="B1163" s="103">
        <v>-1</v>
      </c>
      <c r="C1163" s="9"/>
      <c r="D1163" s="8"/>
      <c r="F1163" s="70"/>
      <c r="G1163" s="70"/>
      <c r="H1163" s="70"/>
      <c r="I1163" s="70"/>
      <c r="J1163" s="70"/>
      <c r="K1163" s="70"/>
      <c r="L1163" s="73">
        <v>4000</v>
      </c>
      <c r="M1163" s="70"/>
      <c r="N1163" s="70"/>
      <c r="O1163" s="70"/>
      <c r="P1163" s="70"/>
      <c r="Q1163" s="70"/>
    </row>
    <row r="1164" spans="1:29" x14ac:dyDescent="0.2">
      <c r="B1164" s="103">
        <v>-1</v>
      </c>
      <c r="C1164" s="9"/>
      <c r="D1164" s="8"/>
      <c r="F1164" s="12"/>
      <c r="J1164" s="12" t="s">
        <v>217</v>
      </c>
      <c r="K1164" s="12" t="s">
        <v>287</v>
      </c>
      <c r="L1164" s="258" t="s">
        <v>32</v>
      </c>
      <c r="M1164" s="258"/>
      <c r="N1164" s="12"/>
      <c r="O1164" s="12"/>
      <c r="P1164" s="12"/>
      <c r="Q1164" s="140" t="s">
        <v>257</v>
      </c>
      <c r="R1164" s="12" t="s">
        <v>286</v>
      </c>
      <c r="S1164" s="12">
        <v>21</v>
      </c>
      <c r="T1164" s="12">
        <v>6</v>
      </c>
      <c r="U1164" s="12">
        <v>3</v>
      </c>
      <c r="V1164" s="12">
        <v>22</v>
      </c>
      <c r="W1164" s="12">
        <v>13</v>
      </c>
      <c r="X1164" s="12">
        <v>20</v>
      </c>
      <c r="Y1164" s="12">
        <v>24</v>
      </c>
      <c r="Z1164" s="12">
        <v>25</v>
      </c>
      <c r="AA1164" s="12">
        <v>26</v>
      </c>
    </row>
    <row r="1165" spans="1:29" x14ac:dyDescent="0.2">
      <c r="A1165" s="13"/>
      <c r="B1165" s="103">
        <v>-1</v>
      </c>
      <c r="C1165" s="99" t="s">
        <v>302</v>
      </c>
      <c r="D1165" s="100" t="s">
        <v>303</v>
      </c>
      <c r="E1165" s="130" t="s">
        <v>289</v>
      </c>
      <c r="F1165" s="13" t="s">
        <v>221</v>
      </c>
      <c r="G1165" s="13" t="s">
        <v>222</v>
      </c>
      <c r="H1165" s="13" t="s">
        <v>223</v>
      </c>
      <c r="J1165" s="13" t="s">
        <v>224</v>
      </c>
      <c r="K1165" s="13" t="s">
        <v>224</v>
      </c>
      <c r="L1165" s="13" t="s">
        <v>331</v>
      </c>
      <c r="M1165" s="13" t="s">
        <v>332</v>
      </c>
      <c r="N1165" s="140" t="s">
        <v>218</v>
      </c>
      <c r="O1165" s="13"/>
      <c r="P1165" s="13"/>
      <c r="Q1165" s="13"/>
      <c r="R1165" s="13" t="s">
        <v>291</v>
      </c>
      <c r="S1165" s="13" t="s">
        <v>180</v>
      </c>
      <c r="T1165" s="13" t="s">
        <v>38</v>
      </c>
      <c r="U1165" s="136" t="s">
        <v>40</v>
      </c>
      <c r="V1165" s="13" t="s">
        <v>181</v>
      </c>
      <c r="W1165" s="13" t="s">
        <v>182</v>
      </c>
      <c r="X1165" s="13" t="s">
        <v>183</v>
      </c>
      <c r="Y1165" s="136" t="s">
        <v>46</v>
      </c>
      <c r="Z1165" s="136" t="s">
        <v>48</v>
      </c>
      <c r="AA1165" s="136" t="s">
        <v>50</v>
      </c>
      <c r="AB1165" s="66" t="s">
        <v>184</v>
      </c>
    </row>
    <row r="1166" spans="1:29" x14ac:dyDescent="0.2">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x14ac:dyDescent="0.2">
      <c r="A1167" s="1" t="s">
        <v>228</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97</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0.01</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1.2383999999999999E-2</v>
      </c>
      <c r="AC1167" s="67" t="str">
        <f>+F1167</f>
        <v>HL3</v>
      </c>
    </row>
    <row r="1168" spans="1:29" x14ac:dyDescent="0.2">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x14ac:dyDescent="0.2">
      <c r="A1169" s="1" t="s">
        <v>229</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97</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0.01</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1.2383999999999999E-2</v>
      </c>
      <c r="AC1169" s="67" t="str">
        <f>+F1169</f>
        <v>HL3</v>
      </c>
    </row>
    <row r="1170" spans="1:29" x14ac:dyDescent="0.2">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x14ac:dyDescent="0.2">
      <c r="A1171" s="1" t="s">
        <v>230</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97</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0.01</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x14ac:dyDescent="0.2">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x14ac:dyDescent="0.2">
      <c r="A1173" s="1" t="s">
        <v>246</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97</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0.01</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1.2383999999999999E-2</v>
      </c>
      <c r="AC1173" s="67" t="str">
        <f>+F1173</f>
        <v>HL3</v>
      </c>
    </row>
    <row r="1174" spans="1:29" x14ac:dyDescent="0.2">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x14ac:dyDescent="0.2">
      <c r="A1175" s="1" t="s">
        <v>227</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97</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0.01</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1.2383999999999999E-2</v>
      </c>
      <c r="AC1175" s="67" t="str">
        <f>+F1175</f>
        <v>HL3</v>
      </c>
    </row>
    <row r="1176" spans="1:29" x14ac:dyDescent="0.2">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x14ac:dyDescent="0.2">
      <c r="A1177" s="1" t="s">
        <v>228</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353</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0.01</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1.2383999999999999E-2</v>
      </c>
      <c r="AC1177" s="67" t="str">
        <f>+F1177</f>
        <v>HL37</v>
      </c>
    </row>
    <row r="1178" spans="1:29" x14ac:dyDescent="0.2">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x14ac:dyDescent="0.2">
      <c r="A1179" s="1" t="s">
        <v>229</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353</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0.01</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1.2383999999999999E-2</v>
      </c>
      <c r="AC1179" s="67" t="str">
        <f>+F1179</f>
        <v>HL37</v>
      </c>
    </row>
    <row r="1180" spans="1:29" x14ac:dyDescent="0.2">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x14ac:dyDescent="0.2">
      <c r="A1181" s="1" t="s">
        <v>230</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353</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0.01</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x14ac:dyDescent="0.2">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x14ac:dyDescent="0.2">
      <c r="A1183" s="1" t="s">
        <v>246</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353</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0.01</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-7.6159999999999978E-3</v>
      </c>
      <c r="AC1183" s="67" t="str">
        <f>+F1183</f>
        <v>HL37</v>
      </c>
    </row>
    <row r="1184" spans="1:29" x14ac:dyDescent="0.2">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x14ac:dyDescent="0.2">
      <c r="A1185" s="1" t="s">
        <v>227</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353</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0.01</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-7.6159999999999978E-3</v>
      </c>
      <c r="AC1185" s="67" t="str">
        <f>+F1185</f>
        <v>HL37</v>
      </c>
    </row>
    <row r="1186" spans="1:29" x14ac:dyDescent="0.2">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x14ac:dyDescent="0.2">
      <c r="A1187" s="1" t="s">
        <v>228</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354</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0.01</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-7.6159999999999978E-3</v>
      </c>
      <c r="AC1187" s="67" t="str">
        <f>+F1187</f>
        <v>HL38</v>
      </c>
    </row>
    <row r="1188" spans="1:29" x14ac:dyDescent="0.2">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x14ac:dyDescent="0.2">
      <c r="A1189" s="1" t="s">
        <v>229</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354</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0.01</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-7.6159999999999978E-3</v>
      </c>
      <c r="AC1189" s="67" t="str">
        <f>+F1189</f>
        <v>HL38</v>
      </c>
    </row>
    <row r="1190" spans="1:29" x14ac:dyDescent="0.2">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x14ac:dyDescent="0.2">
      <c r="A1191" s="1" t="s">
        <v>230</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354</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0.01</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-7.6159999999999978E-3</v>
      </c>
      <c r="AC1191" s="67" t="str">
        <f>+F1191</f>
        <v>HL38</v>
      </c>
    </row>
    <row r="1192" spans="1:29" x14ac:dyDescent="0.2">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x14ac:dyDescent="0.2">
      <c r="A1193" s="1" t="s">
        <v>246</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354</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0.01</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1.2383999999999999E-2</v>
      </c>
      <c r="AC1193" s="67" t="str">
        <f>+F1193</f>
        <v>HL38</v>
      </c>
    </row>
    <row r="1194" spans="1:29" x14ac:dyDescent="0.2">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x14ac:dyDescent="0.2">
      <c r="A1195" s="1" t="s">
        <v>227</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354</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0.01</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1.2383999999999999E-2</v>
      </c>
      <c r="AC1195" s="67" t="str">
        <f>+F1195</f>
        <v>HL38</v>
      </c>
    </row>
    <row r="1196" spans="1:29" x14ac:dyDescent="0.2">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x14ac:dyDescent="0.2">
      <c r="A1197" s="1" t="s">
        <v>228</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355</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0.01</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1.2383999999999999E-2</v>
      </c>
      <c r="AC1197" s="67" t="str">
        <f>+F1197</f>
        <v>HL39</v>
      </c>
    </row>
    <row r="1198" spans="1:29" x14ac:dyDescent="0.2">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x14ac:dyDescent="0.2">
      <c r="A1199" s="1" t="s">
        <v>229</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355</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0.01</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1.2383999999999999E-2</v>
      </c>
      <c r="AC1199" s="67" t="str">
        <f>+F1199</f>
        <v>HL39</v>
      </c>
    </row>
    <row r="1200" spans="1:29" x14ac:dyDescent="0.2">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x14ac:dyDescent="0.2">
      <c r="A1201" s="1" t="s">
        <v>230</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355</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0.01</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1.2383999999999999E-2</v>
      </c>
      <c r="AC1201" s="67" t="str">
        <f>+F1201</f>
        <v>HL39</v>
      </c>
    </row>
    <row r="1202" spans="1:29" x14ac:dyDescent="0.2">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x14ac:dyDescent="0.2">
      <c r="A1203" s="1" t="s">
        <v>246</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355</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0.01</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1.2383999999999999E-2</v>
      </c>
      <c r="AC1203" s="67" t="str">
        <f>+F1203</f>
        <v>HL39</v>
      </c>
    </row>
    <row r="1204" spans="1:29" x14ac:dyDescent="0.2">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x14ac:dyDescent="0.2">
      <c r="A1205" s="1" t="s">
        <v>227</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355</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0.01</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1.2383999999999999E-2</v>
      </c>
      <c r="AC1205" s="67" t="str">
        <f>+F1205</f>
        <v>HL39</v>
      </c>
    </row>
    <row r="1206" spans="1:29" x14ac:dyDescent="0.2">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x14ac:dyDescent="0.2">
      <c r="A1207" s="1" t="s">
        <v>228</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356</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0.01</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1.2383999999999999E-2</v>
      </c>
      <c r="AC1207" s="67" t="str">
        <f>+F1207</f>
        <v>HL30</v>
      </c>
    </row>
    <row r="1208" spans="1:29" x14ac:dyDescent="0.2">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x14ac:dyDescent="0.2">
      <c r="A1209" s="1" t="s">
        <v>229</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356</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0.01</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1.2383999999999999E-2</v>
      </c>
      <c r="AC1209" s="67" t="str">
        <f>+F1209</f>
        <v>HL30</v>
      </c>
    </row>
    <row r="1210" spans="1:29" x14ac:dyDescent="0.2">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x14ac:dyDescent="0.2">
      <c r="A1211" s="1" t="s">
        <v>230</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356</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0.01</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1.2383999999999999E-2</v>
      </c>
      <c r="AC1211" s="67" t="str">
        <f>+F1211</f>
        <v>HL30</v>
      </c>
    </row>
    <row r="1212" spans="1:29" x14ac:dyDescent="0.2">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x14ac:dyDescent="0.2">
      <c r="A1213" s="1" t="s">
        <v>246</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356</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0.01</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1.2383999999999999E-2</v>
      </c>
      <c r="AC1213" s="67" t="str">
        <f>+F1213</f>
        <v>HL30</v>
      </c>
    </row>
    <row r="1214" spans="1:29" x14ac:dyDescent="0.2">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x14ac:dyDescent="0.2">
      <c r="A1215" s="1" t="s">
        <v>227</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356</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0.01</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1.2383999999999999E-2</v>
      </c>
      <c r="AC1215" s="67" t="str">
        <f>+F1215</f>
        <v>HL30</v>
      </c>
    </row>
    <row r="1216" spans="1:29" x14ac:dyDescent="0.2">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x14ac:dyDescent="0.2">
      <c r="A1217" s="1" t="s">
        <v>228</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357</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0.01</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1.2383999999999999E-2</v>
      </c>
      <c r="AC1217" s="67" t="str">
        <f>+F1217</f>
        <v>HL31</v>
      </c>
    </row>
    <row r="1218" spans="1:29" x14ac:dyDescent="0.2">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x14ac:dyDescent="0.2">
      <c r="A1219" s="1" t="s">
        <v>229</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357</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0.01</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1.2383999999999999E-2</v>
      </c>
      <c r="AC1219" s="67" t="str">
        <f>+F1219</f>
        <v>HL31</v>
      </c>
    </row>
    <row r="1220" spans="1:29" x14ac:dyDescent="0.2">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x14ac:dyDescent="0.2">
      <c r="A1221" s="1" t="s">
        <v>230</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357</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0.01</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1.2383999999999999E-2</v>
      </c>
      <c r="AC1221" s="67" t="str">
        <f>+F1221</f>
        <v>HL31</v>
      </c>
    </row>
    <row r="1222" spans="1:29" x14ac:dyDescent="0.2">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x14ac:dyDescent="0.2">
      <c r="A1223" s="1" t="s">
        <v>246</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357</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0.01</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1.2383999999999999E-2</v>
      </c>
      <c r="AC1223" s="67" t="str">
        <f>+F1223</f>
        <v>HL31</v>
      </c>
    </row>
    <row r="1224" spans="1:29" x14ac:dyDescent="0.2">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x14ac:dyDescent="0.2">
      <c r="A1225" s="1" t="s">
        <v>227</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357</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0.01</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1.2383999999999999E-2</v>
      </c>
      <c r="AC1225" s="67" t="str">
        <f>+F1225</f>
        <v>HL31</v>
      </c>
    </row>
    <row r="1226" spans="1:29" x14ac:dyDescent="0.2">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x14ac:dyDescent="0.2">
      <c r="A1227" s="1" t="s">
        <v>228</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357</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0.01</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1.2383999999999999E-2</v>
      </c>
      <c r="AC1227" s="67" t="str">
        <f>+F1227</f>
        <v>HL31</v>
      </c>
    </row>
    <row r="1228" spans="1:29" x14ac:dyDescent="0.2">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x14ac:dyDescent="0.2">
      <c r="A1229" s="1" t="s">
        <v>229</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357</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0.01</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1.2383999999999999E-2</v>
      </c>
      <c r="AC1229" s="67" t="str">
        <f>+F1229</f>
        <v>HL31</v>
      </c>
    </row>
    <row r="1230" spans="1:29" x14ac:dyDescent="0.2">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x14ac:dyDescent="0.2">
      <c r="A1231" s="1" t="s">
        <v>230</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357</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0.01</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1.2383999999999999E-2</v>
      </c>
      <c r="AC1231" s="67" t="str">
        <f>+F1231</f>
        <v>HL31</v>
      </c>
    </row>
    <row r="1232" spans="1:29" x14ac:dyDescent="0.2">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x14ac:dyDescent="0.2">
      <c r="A1233" s="1" t="s">
        <v>246</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357</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0.01</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1.2383999999999999E-2</v>
      </c>
      <c r="AC1233" s="67" t="str">
        <f>+F1233</f>
        <v>HL31</v>
      </c>
    </row>
    <row r="1234" spans="1:29" x14ac:dyDescent="0.2">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x14ac:dyDescent="0.2">
      <c r="A1235" s="1" t="s">
        <v>227</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357</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0.01</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1.2383999999999999E-2</v>
      </c>
      <c r="AC1235" s="67" t="str">
        <f>+F1235</f>
        <v>HL31</v>
      </c>
    </row>
    <row r="1236" spans="1:29" x14ac:dyDescent="0.2">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x14ac:dyDescent="0.2">
      <c r="A1237" s="1" t="s">
        <v>228</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358</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0.01</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1.2383999999999999E-2</v>
      </c>
      <c r="AC1237" s="67" t="str">
        <f>+F1237</f>
        <v>HL32</v>
      </c>
    </row>
    <row r="1238" spans="1:29" x14ac:dyDescent="0.2">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x14ac:dyDescent="0.2">
      <c r="A1239" s="1" t="s">
        <v>229</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358</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0.01</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1.2383999999999999E-2</v>
      </c>
      <c r="AC1239" s="67" t="str">
        <f>+F1239</f>
        <v>HL32</v>
      </c>
    </row>
    <row r="1240" spans="1:29" x14ac:dyDescent="0.2">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x14ac:dyDescent="0.2">
      <c r="A1241" s="1" t="s">
        <v>230</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358</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0.01</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1.2383999999999999E-2</v>
      </c>
      <c r="AC1241" s="67" t="str">
        <f>+F1241</f>
        <v>HL32</v>
      </c>
    </row>
    <row r="1242" spans="1:29" x14ac:dyDescent="0.2">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x14ac:dyDescent="0.2">
      <c r="A1243" s="1" t="s">
        <v>246</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358</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0.01</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1.2383999999999999E-2</v>
      </c>
      <c r="AC1243" s="67" t="str">
        <f>+F1243</f>
        <v>HL32</v>
      </c>
    </row>
    <row r="1244" spans="1:29" x14ac:dyDescent="0.2">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x14ac:dyDescent="0.2">
      <c r="A1245" s="1" t="s">
        <v>227</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358</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0.01</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1.2383999999999999E-2</v>
      </c>
      <c r="AC1245" s="67" t="str">
        <f>+F1245</f>
        <v>HL32</v>
      </c>
    </row>
    <row r="1246" spans="1:29" x14ac:dyDescent="0.2">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x14ac:dyDescent="0.2">
      <c r="A1247" s="1" t="s">
        <v>228</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359</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0.01</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1.2383999999999999E-2</v>
      </c>
      <c r="AC1247" s="67" t="str">
        <f>+F1247</f>
        <v>HL33</v>
      </c>
    </row>
    <row r="1248" spans="1:29" x14ac:dyDescent="0.2">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x14ac:dyDescent="0.2">
      <c r="A1249" s="1" t="s">
        <v>229</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359</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0.01</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1.2383999999999999E-2</v>
      </c>
      <c r="AC1249" s="67" t="str">
        <f>+F1249</f>
        <v>HL33</v>
      </c>
    </row>
    <row r="1250" spans="1:29" x14ac:dyDescent="0.2">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x14ac:dyDescent="0.2">
      <c r="A1251" s="1" t="s">
        <v>230</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359</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0.01</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1.2383999999999999E-2</v>
      </c>
      <c r="AC1251" s="67" t="str">
        <f>+F1251</f>
        <v>HL33</v>
      </c>
    </row>
    <row r="1252" spans="1:29" x14ac:dyDescent="0.2">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x14ac:dyDescent="0.2">
      <c r="A1253" s="1" t="s">
        <v>246</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359</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0.01</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1.2383999999999999E-2</v>
      </c>
      <c r="AC1253" s="67" t="str">
        <f>+F1253</f>
        <v>HL33</v>
      </c>
    </row>
    <row r="1254" spans="1:29" x14ac:dyDescent="0.2">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x14ac:dyDescent="0.2">
      <c r="A1255" s="1" t="s">
        <v>227</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359</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0.01</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1.2383999999999999E-2</v>
      </c>
      <c r="AC1255" s="67" t="str">
        <f>+F1255</f>
        <v>HL33</v>
      </c>
    </row>
    <row r="1256" spans="1:29" x14ac:dyDescent="0.2">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x14ac:dyDescent="0.2">
      <c r="A1257" s="1" t="s">
        <v>228</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360</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0.01</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1.2383999999999999E-2</v>
      </c>
      <c r="AC1257" s="67" t="str">
        <f>+F1257</f>
        <v>HL34</v>
      </c>
    </row>
    <row r="1258" spans="1:29" x14ac:dyDescent="0.2">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x14ac:dyDescent="0.2">
      <c r="A1259" s="1" t="s">
        <v>229</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360</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0.01</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1.2383999999999999E-2</v>
      </c>
      <c r="AC1259" s="67" t="str">
        <f>+F1259</f>
        <v>HL34</v>
      </c>
    </row>
    <row r="1260" spans="1:29" x14ac:dyDescent="0.2">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x14ac:dyDescent="0.2">
      <c r="A1261" s="1" t="s">
        <v>230</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360</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0.01</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1.2383999999999999E-2</v>
      </c>
      <c r="AC1261" s="67" t="str">
        <f>+F1261</f>
        <v>HL34</v>
      </c>
    </row>
    <row r="1262" spans="1:29" x14ac:dyDescent="0.2">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x14ac:dyDescent="0.2">
      <c r="A1263" s="1" t="s">
        <v>246</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360</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0.01</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1.2383999999999999E-2</v>
      </c>
      <c r="AC1263" s="67" t="str">
        <f>+F1263</f>
        <v>HL34</v>
      </c>
    </row>
    <row r="1264" spans="1:29" x14ac:dyDescent="0.2">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x14ac:dyDescent="0.2">
      <c r="A1265" s="1" t="s">
        <v>227</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360</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0.01</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1.2383999999999999E-2</v>
      </c>
      <c r="AC1265" s="67" t="str">
        <f>+F1265</f>
        <v>HL34</v>
      </c>
    </row>
    <row r="1266" spans="1:29" x14ac:dyDescent="0.2">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x14ac:dyDescent="0.2">
      <c r="A1267" s="1" t="s">
        <v>228</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361</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0.01</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1.2383999999999999E-2</v>
      </c>
      <c r="AC1267" s="67" t="str">
        <f>+F1267</f>
        <v>HL35</v>
      </c>
    </row>
    <row r="1268" spans="1:29" x14ac:dyDescent="0.2">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x14ac:dyDescent="0.2">
      <c r="A1269" s="1" t="s">
        <v>229</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361</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0.01</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1.2383999999999999E-2</v>
      </c>
      <c r="AC1269" s="67" t="str">
        <f>+F1269</f>
        <v>HL35</v>
      </c>
    </row>
    <row r="1270" spans="1:29" x14ac:dyDescent="0.2">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x14ac:dyDescent="0.2">
      <c r="A1271" s="1" t="s">
        <v>230</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361</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0.01</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1.2383999999999999E-2</v>
      </c>
      <c r="AC1271" s="67" t="str">
        <f>+F1271</f>
        <v>HL35</v>
      </c>
    </row>
    <row r="1272" spans="1:29" x14ac:dyDescent="0.2">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x14ac:dyDescent="0.2">
      <c r="A1273" s="1" t="s">
        <v>246</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361</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0.01</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1.2383999999999999E-2</v>
      </c>
      <c r="AC1273" s="67" t="str">
        <f>+F1273</f>
        <v>HL35</v>
      </c>
    </row>
    <row r="1274" spans="1:29" x14ac:dyDescent="0.2">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x14ac:dyDescent="0.2">
      <c r="A1275" s="1" t="s">
        <v>227</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361</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0.01</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1.2383999999999999E-2</v>
      </c>
      <c r="AC1275" s="67" t="str">
        <f>+F1275</f>
        <v>HL35</v>
      </c>
    </row>
    <row r="1276" spans="1:29" x14ac:dyDescent="0.2">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x14ac:dyDescent="0.2">
      <c r="A1277" s="1" t="s">
        <v>228</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362</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0.01</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1.2383999999999999E-2</v>
      </c>
      <c r="AC1277" s="67" t="str">
        <f>+F1277</f>
        <v>HL36</v>
      </c>
    </row>
    <row r="1278" spans="1:29" x14ac:dyDescent="0.2">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x14ac:dyDescent="0.2">
      <c r="A1279" s="1" t="s">
        <v>229</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362</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0.01</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1.2383999999999999E-2</v>
      </c>
      <c r="AC1279" s="67" t="str">
        <f>+F1279</f>
        <v>HL36</v>
      </c>
    </row>
    <row r="1280" spans="1:29" x14ac:dyDescent="0.2">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x14ac:dyDescent="0.2">
      <c r="A1281" s="1" t="s">
        <v>230</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362</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0.01</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1.2383999999999999E-2</v>
      </c>
      <c r="AC1281" s="67" t="str">
        <f>+F1281</f>
        <v>HL36</v>
      </c>
    </row>
    <row r="1282" spans="1:29" x14ac:dyDescent="0.2">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x14ac:dyDescent="0.2">
      <c r="A1283" s="1" t="s">
        <v>246</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362</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0.01</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2.3839999999999972E-3</v>
      </c>
      <c r="AC1283" s="67" t="str">
        <f>+F1283</f>
        <v>HL36</v>
      </c>
    </row>
    <row r="1284" spans="1:29" x14ac:dyDescent="0.2">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x14ac:dyDescent="0.2">
      <c r="A1285" s="1" t="s">
        <v>227</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362</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0.01</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2.3839999999999972E-3</v>
      </c>
      <c r="AC1285" s="67" t="str">
        <f>+F1285</f>
        <v>HL36</v>
      </c>
    </row>
    <row r="1286" spans="1:29" s="163" customFormat="1" x14ac:dyDescent="0.2">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
      <c r="B1287" s="103">
        <v>-1</v>
      </c>
      <c r="C1287" s="9"/>
      <c r="D1287" s="8"/>
      <c r="S1287" s="6"/>
      <c r="T1287" s="6"/>
      <c r="U1287" s="6"/>
      <c r="V1287" s="27" t="s">
        <v>363</v>
      </c>
      <c r="W1287" s="6"/>
      <c r="AB1287" s="19"/>
    </row>
    <row r="1288" spans="1:29" x14ac:dyDescent="0.2">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-5.5440000000000003E-3</v>
      </c>
      <c r="U1288" s="19">
        <f>$S$34</f>
        <v>1.6930000000000001E-3</v>
      </c>
      <c r="V1288" s="27">
        <f>$T$16</f>
        <v>0</v>
      </c>
      <c r="W1288" s="27">
        <v>0</v>
      </c>
      <c r="X1288" s="27">
        <f>+X1162</f>
        <v>7.2249999999999997E-3</v>
      </c>
      <c r="Y1288" s="27">
        <f>+Y1162</f>
        <v>-2.5599999999999999E-4</v>
      </c>
      <c r="Z1288" s="27">
        <f>+Z1162</f>
        <v>3.1589999999999999E-3</v>
      </c>
      <c r="AA1288" s="27">
        <f>+AA1162</f>
        <v>5.6300000000000002E-4</v>
      </c>
      <c r="AB1288" s="19">
        <f>SUM(V1288:Z1288)</f>
        <v>1.0128E-2</v>
      </c>
    </row>
    <row r="1289" spans="1:29" x14ac:dyDescent="0.2">
      <c r="A1289" s="1"/>
      <c r="B1289" s="103">
        <v>-1</v>
      </c>
      <c r="C1289" s="9"/>
      <c r="D1289" s="8"/>
      <c r="F1289" s="70"/>
      <c r="G1289" s="70"/>
      <c r="H1289" s="70"/>
      <c r="I1289" s="70"/>
      <c r="J1289" s="70"/>
      <c r="K1289" s="70"/>
      <c r="L1289" s="73">
        <v>4000</v>
      </c>
      <c r="M1289" s="70"/>
      <c r="N1289" s="70"/>
      <c r="O1289" s="70"/>
      <c r="P1289" s="70"/>
      <c r="Q1289" s="70"/>
    </row>
    <row r="1290" spans="1:29" x14ac:dyDescent="0.2">
      <c r="B1290" s="103">
        <v>-1</v>
      </c>
      <c r="C1290" s="9"/>
      <c r="D1290" s="8"/>
      <c r="F1290" s="12"/>
      <c r="J1290" s="12" t="s">
        <v>217</v>
      </c>
      <c r="K1290" s="12" t="s">
        <v>287</v>
      </c>
      <c r="L1290" s="258" t="s">
        <v>32</v>
      </c>
      <c r="M1290" s="258"/>
      <c r="N1290" s="12"/>
      <c r="O1290" s="12"/>
      <c r="P1290" s="12"/>
      <c r="Q1290" s="140" t="s">
        <v>257</v>
      </c>
      <c r="R1290" s="12" t="s">
        <v>286</v>
      </c>
      <c r="S1290" s="12">
        <v>21</v>
      </c>
      <c r="T1290" s="12">
        <v>6</v>
      </c>
      <c r="U1290" s="12">
        <v>3</v>
      </c>
      <c r="V1290" s="12">
        <v>22</v>
      </c>
      <c r="W1290" s="12">
        <v>13</v>
      </c>
      <c r="X1290" s="12">
        <v>20</v>
      </c>
      <c r="Y1290" s="12">
        <v>24</v>
      </c>
      <c r="Z1290" s="12">
        <v>25</v>
      </c>
      <c r="AA1290" s="12">
        <v>26</v>
      </c>
    </row>
    <row r="1291" spans="1:29" x14ac:dyDescent="0.2">
      <c r="A1291" s="13"/>
      <c r="B1291" s="103">
        <v>-1</v>
      </c>
      <c r="C1291" s="99" t="s">
        <v>302</v>
      </c>
      <c r="D1291" s="100" t="s">
        <v>303</v>
      </c>
      <c r="E1291" s="130" t="s">
        <v>289</v>
      </c>
      <c r="F1291" s="13" t="s">
        <v>221</v>
      </c>
      <c r="G1291" s="13" t="s">
        <v>222</v>
      </c>
      <c r="H1291" s="13" t="s">
        <v>223</v>
      </c>
      <c r="J1291" s="13" t="s">
        <v>224</v>
      </c>
      <c r="K1291" s="13" t="s">
        <v>224</v>
      </c>
      <c r="L1291" s="13" t="s">
        <v>331</v>
      </c>
      <c r="M1291" s="13" t="s">
        <v>332</v>
      </c>
      <c r="N1291" s="140" t="s">
        <v>218</v>
      </c>
      <c r="O1291" s="13"/>
      <c r="P1291" s="13"/>
      <c r="Q1291" s="13"/>
      <c r="R1291" s="13" t="s">
        <v>291</v>
      </c>
      <c r="S1291" s="13" t="s">
        <v>180</v>
      </c>
      <c r="T1291" s="13" t="s">
        <v>38</v>
      </c>
      <c r="U1291" s="136" t="s">
        <v>40</v>
      </c>
      <c r="V1291" s="13" t="s">
        <v>181</v>
      </c>
      <c r="W1291" s="13" t="s">
        <v>182</v>
      </c>
      <c r="X1291" s="13" t="s">
        <v>183</v>
      </c>
      <c r="Y1291" s="136" t="s">
        <v>46</v>
      </c>
      <c r="Z1291" s="136" t="s">
        <v>48</v>
      </c>
      <c r="AA1291" s="136" t="s">
        <v>50</v>
      </c>
      <c r="AB1291" s="66" t="s">
        <v>184</v>
      </c>
    </row>
    <row r="1292" spans="1:29" x14ac:dyDescent="0.2">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x14ac:dyDescent="0.2">
      <c r="A1293" s="1" t="s">
        <v>228</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100</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0.01</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x14ac:dyDescent="0.2">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x14ac:dyDescent="0.2">
      <c r="A1295" s="1" t="s">
        <v>229</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100</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0.01</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x14ac:dyDescent="0.2">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x14ac:dyDescent="0.2">
      <c r="A1297" s="1" t="s">
        <v>230</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100</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0.01</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x14ac:dyDescent="0.2">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x14ac:dyDescent="0.2">
      <c r="A1299" s="1" t="s">
        <v>246</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100</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0.01</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x14ac:dyDescent="0.2">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x14ac:dyDescent="0.2">
      <c r="A1301" s="1" t="s">
        <v>227</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100</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0.01</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x14ac:dyDescent="0.2">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x14ac:dyDescent="0.2">
      <c r="A1303" s="1" t="s">
        <v>228</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364</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0.01</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x14ac:dyDescent="0.2">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x14ac:dyDescent="0.2">
      <c r="A1305" s="1" t="s">
        <v>229</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364</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0.01</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x14ac:dyDescent="0.2">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x14ac:dyDescent="0.2">
      <c r="A1307" s="1" t="s">
        <v>230</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364</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0.01</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x14ac:dyDescent="0.2">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x14ac:dyDescent="0.2">
      <c r="A1309" s="1" t="s">
        <v>246</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364</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0.01</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x14ac:dyDescent="0.2">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x14ac:dyDescent="0.2">
      <c r="A1311" s="1" t="s">
        <v>227</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364</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0.01</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x14ac:dyDescent="0.2">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x14ac:dyDescent="0.2">
      <c r="A1313" s="1" t="s">
        <v>228</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365</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0.01</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x14ac:dyDescent="0.2">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x14ac:dyDescent="0.2">
      <c r="A1315" s="1" t="s">
        <v>229</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365</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0.01</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x14ac:dyDescent="0.2">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x14ac:dyDescent="0.2">
      <c r="A1317" s="1" t="s">
        <v>230</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365</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0.01</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x14ac:dyDescent="0.2">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x14ac:dyDescent="0.2">
      <c r="A1319" s="1" t="s">
        <v>246</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365</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0.01</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x14ac:dyDescent="0.2">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x14ac:dyDescent="0.2">
      <c r="A1321" s="1" t="s">
        <v>227</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365</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0.01</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x14ac:dyDescent="0.2">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x14ac:dyDescent="0.2">
      <c r="A1323" s="1" t="s">
        <v>228</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366</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0.01</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x14ac:dyDescent="0.2">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x14ac:dyDescent="0.2">
      <c r="A1325" s="1" t="s">
        <v>229</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366</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0.01</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1.0690999999999999E-2</v>
      </c>
      <c r="AC1325" s="67" t="str">
        <f>+F1325</f>
        <v>HL49</v>
      </c>
    </row>
    <row r="1326" spans="1:29" x14ac:dyDescent="0.2">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x14ac:dyDescent="0.2">
      <c r="A1327" s="1" t="s">
        <v>230</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366</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0.01</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x14ac:dyDescent="0.2">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x14ac:dyDescent="0.2">
      <c r="A1329" s="1" t="s">
        <v>246</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366</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0.01</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x14ac:dyDescent="0.2">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x14ac:dyDescent="0.2">
      <c r="A1331" s="1" t="s">
        <v>227</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366</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0.01</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x14ac:dyDescent="0.2">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x14ac:dyDescent="0.2">
      <c r="A1333" s="1" t="s">
        <v>228</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367</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0.01</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x14ac:dyDescent="0.2">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x14ac:dyDescent="0.2">
      <c r="A1335" s="1" t="s">
        <v>229</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367</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0.01</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x14ac:dyDescent="0.2">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x14ac:dyDescent="0.2">
      <c r="A1337" s="1" t="s">
        <v>230</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367</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0.01</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x14ac:dyDescent="0.2">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x14ac:dyDescent="0.2">
      <c r="A1339" s="1" t="s">
        <v>246</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367</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0.01</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x14ac:dyDescent="0.2">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x14ac:dyDescent="0.2">
      <c r="A1341" s="1" t="s">
        <v>227</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367</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0.01</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x14ac:dyDescent="0.2">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x14ac:dyDescent="0.2">
      <c r="A1343" s="1" t="s">
        <v>228</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368</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0.01</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x14ac:dyDescent="0.2">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x14ac:dyDescent="0.2">
      <c r="A1345" s="1" t="s">
        <v>229</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368</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0.01</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x14ac:dyDescent="0.2">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x14ac:dyDescent="0.2">
      <c r="A1347" s="1" t="s">
        <v>230</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368</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0.01</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x14ac:dyDescent="0.2">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x14ac:dyDescent="0.2">
      <c r="A1349" s="1" t="s">
        <v>246</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368</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0.01</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x14ac:dyDescent="0.2">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x14ac:dyDescent="0.2">
      <c r="A1351" s="1" t="s">
        <v>227</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368</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0.01</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2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x14ac:dyDescent="0.2">
      <c r="A1353" s="1" t="s">
        <v>228</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369</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0.01</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x14ac:dyDescent="0.2">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x14ac:dyDescent="0.2">
      <c r="A1355" s="1" t="s">
        <v>229</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369</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0.01</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x14ac:dyDescent="0.2">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x14ac:dyDescent="0.2">
      <c r="A1357" s="1" t="s">
        <v>230</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369</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0.01</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x14ac:dyDescent="0.2">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x14ac:dyDescent="0.2">
      <c r="A1359" s="1" t="s">
        <v>246</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369</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0.01</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x14ac:dyDescent="0.2">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x14ac:dyDescent="0.2">
      <c r="A1361" s="1" t="s">
        <v>227</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369</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0.01</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x14ac:dyDescent="0.2">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x14ac:dyDescent="0.2">
      <c r="A1363" s="1" t="s">
        <v>228</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370</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0.01</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x14ac:dyDescent="0.2">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x14ac:dyDescent="0.2">
      <c r="A1365" s="1" t="s">
        <v>229</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370</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0.01</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x14ac:dyDescent="0.2">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x14ac:dyDescent="0.2">
      <c r="A1367" s="1" t="s">
        <v>230</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370</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0.01</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x14ac:dyDescent="0.2">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x14ac:dyDescent="0.2">
      <c r="A1369" s="1" t="s">
        <v>246</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370</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0.01</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x14ac:dyDescent="0.2">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x14ac:dyDescent="0.2">
      <c r="A1371" s="1" t="s">
        <v>227</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370</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0.01</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2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x14ac:dyDescent="0.2">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x14ac:dyDescent="0.2">
      <c r="A1374" s="1" t="s">
        <v>228</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371</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0.01</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x14ac:dyDescent="0.2">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x14ac:dyDescent="0.2">
      <c r="A1376" s="1" t="s">
        <v>229</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371</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0.01</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x14ac:dyDescent="0.2">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x14ac:dyDescent="0.2">
      <c r="A1378" s="1" t="s">
        <v>230</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371</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0.01</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x14ac:dyDescent="0.2">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x14ac:dyDescent="0.2">
      <c r="A1380" s="1" t="s">
        <v>246</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371</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0.01</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x14ac:dyDescent="0.2">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x14ac:dyDescent="0.2">
      <c r="A1382" s="1" t="s">
        <v>227</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371</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0.01</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x14ac:dyDescent="0.2">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x14ac:dyDescent="0.2">
      <c r="A1384" s="1" t="s">
        <v>228</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372</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0.01</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x14ac:dyDescent="0.2">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x14ac:dyDescent="0.2">
      <c r="A1386" s="1" t="s">
        <v>229</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372</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0.01</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x14ac:dyDescent="0.2">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x14ac:dyDescent="0.2">
      <c r="A1388" s="1" t="s">
        <v>230</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372</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0.01</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x14ac:dyDescent="0.2">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x14ac:dyDescent="0.2">
      <c r="A1390" s="1" t="s">
        <v>246</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372</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0.01</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x14ac:dyDescent="0.2">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x14ac:dyDescent="0.2">
      <c r="A1392" s="1" t="s">
        <v>227</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372</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0.01</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x14ac:dyDescent="0.2">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x14ac:dyDescent="0.2">
      <c r="A1394" s="1" t="s">
        <v>228</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373</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0.01</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x14ac:dyDescent="0.2">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x14ac:dyDescent="0.2">
      <c r="A1396" s="1" t="s">
        <v>229</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373</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0.01</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x14ac:dyDescent="0.2">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x14ac:dyDescent="0.2">
      <c r="A1398" s="1" t="s">
        <v>230</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373</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0.01</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x14ac:dyDescent="0.2">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x14ac:dyDescent="0.2">
      <c r="A1400" s="1" t="s">
        <v>246</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373</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0.01</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x14ac:dyDescent="0.2">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x14ac:dyDescent="0.2">
      <c r="A1402" s="1" t="s">
        <v>227</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373</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0.01</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3.5" thickBot="1" x14ac:dyDescent="0.2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
      <c r="B1404" s="103"/>
    </row>
    <row r="1405" spans="1:29" x14ac:dyDescent="0.2">
      <c r="B1405" s="103"/>
    </row>
    <row r="1406" spans="1:29" x14ac:dyDescent="0.2">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63"/>
      <c r="Y1406" s="263"/>
    </row>
    <row r="1407" spans="1:29" x14ac:dyDescent="0.2">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x14ac:dyDescent="0.2">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64"/>
      <c r="Y1408" s="264"/>
    </row>
    <row r="1409" spans="1:25" x14ac:dyDescent="0.2">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x14ac:dyDescent="0.2">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
      <c r="B1411" s="40"/>
      <c r="C1411" s="40"/>
      <c r="X1411" s="262"/>
      <c r="Y1411" s="262"/>
    </row>
    <row r="1412" spans="1:25" x14ac:dyDescent="0.2">
      <c r="B1412" s="40"/>
      <c r="C1412" s="40"/>
    </row>
  </sheetData>
  <mergeCells count="19">
    <mergeCell ref="X1411:Y1411"/>
    <mergeCell ref="L911:M911"/>
    <mergeCell ref="L1038:M1038"/>
    <mergeCell ref="L1164:M1164"/>
    <mergeCell ref="L1290:M1290"/>
    <mergeCell ref="X1406:Y1406"/>
    <mergeCell ref="X1408:Y1408"/>
    <mergeCell ref="K784:L784"/>
    <mergeCell ref="B2:E2"/>
    <mergeCell ref="K46:L46"/>
    <mergeCell ref="K62:M62"/>
    <mergeCell ref="K76:M76"/>
    <mergeCell ref="K101:L101"/>
    <mergeCell ref="K229:L229"/>
    <mergeCell ref="K356:L356"/>
    <mergeCell ref="K473:L473"/>
    <mergeCell ref="K491:L491"/>
    <mergeCell ref="K507:L507"/>
    <mergeCell ref="L659:M659"/>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33</v>
      </c>
      <c r="B1" s="1" t="s">
        <v>285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65</v>
      </c>
      <c r="O2">
        <v>2008</v>
      </c>
      <c r="P2" t="s">
        <v>74</v>
      </c>
      <c r="R2">
        <v>2008</v>
      </c>
      <c r="S2" t="s">
        <v>374</v>
      </c>
      <c r="U2">
        <v>2008</v>
      </c>
      <c r="V2" t="s">
        <v>375</v>
      </c>
      <c r="X2" s="10">
        <v>2009</v>
      </c>
      <c r="Y2" t="s">
        <v>65</v>
      </c>
      <c r="AA2">
        <f>+X2</f>
        <v>2009</v>
      </c>
      <c r="AB2" t="s">
        <v>74</v>
      </c>
      <c r="AD2">
        <f>+AA2</f>
        <v>2009</v>
      </c>
      <c r="AE2" t="s">
        <v>374</v>
      </c>
      <c r="AG2">
        <f>+AD2</f>
        <v>2009</v>
      </c>
      <c r="AH2" t="s">
        <v>375</v>
      </c>
      <c r="AJ2" s="56"/>
      <c r="AK2" s="154">
        <v>2015</v>
      </c>
      <c r="AL2" s="154" t="s">
        <v>376</v>
      </c>
      <c r="AM2" s="57"/>
      <c r="AN2" s="56"/>
      <c r="AO2" s="154">
        <v>2015</v>
      </c>
      <c r="AP2" s="154" t="s">
        <v>377</v>
      </c>
      <c r="AQ2" s="57"/>
      <c r="AR2" s="56"/>
      <c r="AS2" s="154">
        <v>2015</v>
      </c>
      <c r="AT2" s="154" t="s">
        <v>378</v>
      </c>
      <c r="AU2" s="57"/>
      <c r="AV2" s="56"/>
      <c r="AW2" s="154">
        <v>2015</v>
      </c>
      <c r="AX2" s="154" t="s">
        <v>379</v>
      </c>
      <c r="AY2" s="57"/>
      <c r="AZ2" s="56"/>
      <c r="BA2" s="154">
        <v>2015</v>
      </c>
      <c r="BB2" s="154" t="s">
        <v>380</v>
      </c>
      <c r="BC2" s="57"/>
      <c r="BD2" s="56"/>
      <c r="BE2" s="154">
        <v>2015</v>
      </c>
      <c r="BF2" s="154" t="s">
        <v>381</v>
      </c>
      <c r="BG2" s="57"/>
      <c r="BH2" s="56"/>
      <c r="BI2" s="154">
        <v>2015</v>
      </c>
      <c r="BJ2" s="154" t="s">
        <v>375</v>
      </c>
      <c r="BK2" s="57"/>
      <c r="BL2" s="56"/>
      <c r="BM2" s="154">
        <v>2016</v>
      </c>
      <c r="BN2" s="154" t="s">
        <v>382</v>
      </c>
      <c r="BO2" s="57"/>
      <c r="BP2" s="56"/>
      <c r="BQ2" s="154">
        <v>2016</v>
      </c>
      <c r="BR2" s="154" t="s">
        <v>383</v>
      </c>
      <c r="BS2" s="57"/>
      <c r="BT2" s="56"/>
      <c r="BU2" s="154">
        <v>2016</v>
      </c>
      <c r="BV2" s="154" t="s">
        <v>384</v>
      </c>
      <c r="BW2" s="57"/>
      <c r="BX2" s="56"/>
      <c r="BY2" s="68">
        <v>2016</v>
      </c>
      <c r="BZ2" s="154" t="s">
        <v>385</v>
      </c>
      <c r="CA2" s="57"/>
      <c r="CB2" s="56"/>
      <c r="CC2" s="68">
        <v>2016</v>
      </c>
      <c r="CD2" s="154" t="s">
        <v>71</v>
      </c>
      <c r="CE2" s="57"/>
      <c r="CF2" s="56"/>
      <c r="CG2" s="68">
        <v>2016</v>
      </c>
      <c r="CH2" s="154" t="s">
        <v>376</v>
      </c>
      <c r="CI2" s="57"/>
      <c r="CJ2" s="56"/>
      <c r="CK2" s="68">
        <v>2016</v>
      </c>
      <c r="CL2" s="154" t="s">
        <v>377</v>
      </c>
      <c r="CM2" s="57"/>
      <c r="CN2" s="56"/>
      <c r="CO2" s="68">
        <v>2016</v>
      </c>
      <c r="CP2" s="154" t="s">
        <v>378</v>
      </c>
      <c r="CQ2" s="57"/>
      <c r="CR2" s="56"/>
      <c r="CS2" s="68">
        <v>2016</v>
      </c>
      <c r="CT2" s="154" t="s">
        <v>374</v>
      </c>
      <c r="CU2" s="57"/>
      <c r="CV2" s="56"/>
      <c r="CW2" s="68">
        <v>2016</v>
      </c>
      <c r="CX2" s="154" t="s">
        <v>380</v>
      </c>
      <c r="CY2" s="57"/>
      <c r="CZ2" s="56"/>
      <c r="DA2" s="68">
        <v>2016</v>
      </c>
      <c r="DB2" s="154" t="s">
        <v>381</v>
      </c>
      <c r="DC2" s="57"/>
      <c r="DD2" s="56"/>
      <c r="DE2" s="68">
        <v>2016</v>
      </c>
      <c r="DF2" s="154" t="s">
        <v>375</v>
      </c>
      <c r="DG2" s="57"/>
      <c r="DH2" s="56"/>
      <c r="DI2" s="68">
        <v>2017</v>
      </c>
      <c r="DJ2" s="154" t="s">
        <v>382</v>
      </c>
      <c r="DK2" s="57"/>
      <c r="DL2" s="56"/>
      <c r="DM2" s="68">
        <v>2017</v>
      </c>
      <c r="DN2" s="154" t="s">
        <v>383</v>
      </c>
      <c r="DO2" s="57"/>
      <c r="DP2" s="56"/>
      <c r="DQ2" s="68">
        <v>2017</v>
      </c>
      <c r="DR2" s="154" t="s">
        <v>384</v>
      </c>
      <c r="DS2" s="57"/>
      <c r="DT2" s="56"/>
      <c r="DU2" s="68">
        <v>2019</v>
      </c>
      <c r="DV2" s="154" t="s">
        <v>384</v>
      </c>
      <c r="DW2" s="57"/>
      <c r="DX2" s="56"/>
      <c r="DY2" s="68">
        <v>2019</v>
      </c>
      <c r="DZ2" s="154" t="s">
        <v>385</v>
      </c>
      <c r="EA2" s="57"/>
      <c r="EB2" s="56"/>
      <c r="EC2" s="68">
        <v>2019</v>
      </c>
      <c r="ED2" s="154" t="s">
        <v>71</v>
      </c>
      <c r="EE2" s="57"/>
      <c r="EF2" s="56"/>
      <c r="EG2" s="68">
        <v>2019</v>
      </c>
      <c r="EH2" s="154" t="s">
        <v>376</v>
      </c>
      <c r="EI2" s="57"/>
      <c r="EJ2" s="56"/>
      <c r="EK2" s="68">
        <v>2019</v>
      </c>
      <c r="EL2" s="154" t="s">
        <v>377</v>
      </c>
      <c r="EM2" s="57"/>
      <c r="EN2" s="56"/>
      <c r="EO2" s="68">
        <v>2019</v>
      </c>
      <c r="EP2" s="154" t="s">
        <v>378</v>
      </c>
      <c r="EQ2" s="57"/>
    </row>
    <row r="3" spans="1:147" x14ac:dyDescent="0.2">
      <c r="A3" s="39" t="s">
        <v>386</v>
      </c>
      <c r="B3" s="39"/>
      <c r="C3" s="39" t="s">
        <v>387</v>
      </c>
      <c r="D3" s="39" t="s">
        <v>388</v>
      </c>
      <c r="F3" s="39" t="s">
        <v>387</v>
      </c>
      <c r="G3" s="39" t="s">
        <v>388</v>
      </c>
      <c r="I3" s="39" t="s">
        <v>387</v>
      </c>
      <c r="J3" s="39" t="s">
        <v>388</v>
      </c>
      <c r="L3" s="39" t="s">
        <v>387</v>
      </c>
      <c r="M3" s="39" t="s">
        <v>388</v>
      </c>
      <c r="O3" s="39" t="s">
        <v>387</v>
      </c>
      <c r="P3" s="39" t="s">
        <v>388</v>
      </c>
      <c r="R3" s="39" t="s">
        <v>387</v>
      </c>
      <c r="S3" s="39" t="s">
        <v>388</v>
      </c>
      <c r="U3" s="39" t="s">
        <v>387</v>
      </c>
      <c r="V3" s="39" t="s">
        <v>388</v>
      </c>
      <c r="X3" s="39" t="s">
        <v>387</v>
      </c>
      <c r="Y3" s="39" t="s">
        <v>388</v>
      </c>
      <c r="AA3" s="39" t="s">
        <v>387</v>
      </c>
      <c r="AB3" s="39" t="s">
        <v>388</v>
      </c>
      <c r="AD3" s="39" t="s">
        <v>387</v>
      </c>
      <c r="AE3" s="39" t="s">
        <v>388</v>
      </c>
      <c r="AG3" s="39" t="s">
        <v>387</v>
      </c>
      <c r="AH3" s="39" t="s">
        <v>388</v>
      </c>
      <c r="AJ3" s="58"/>
      <c r="AK3" s="39" t="s">
        <v>387</v>
      </c>
      <c r="AL3" s="39" t="s">
        <v>388</v>
      </c>
      <c r="AM3" s="59"/>
      <c r="AN3" s="58"/>
      <c r="AO3" s="39" t="s">
        <v>387</v>
      </c>
      <c r="AP3" s="39" t="s">
        <v>388</v>
      </c>
      <c r="AQ3" s="59"/>
      <c r="AR3" s="58"/>
      <c r="AS3" s="39" t="s">
        <v>387</v>
      </c>
      <c r="AT3" s="39" t="s">
        <v>388</v>
      </c>
      <c r="AU3" s="59"/>
      <c r="AV3" s="58"/>
      <c r="AW3" s="39" t="s">
        <v>387</v>
      </c>
      <c r="AX3" s="39" t="s">
        <v>388</v>
      </c>
      <c r="AY3" s="59"/>
      <c r="AZ3" s="58"/>
      <c r="BA3" s="39" t="s">
        <v>387</v>
      </c>
      <c r="BB3" s="39" t="s">
        <v>388</v>
      </c>
      <c r="BC3" s="59"/>
      <c r="BD3" s="58"/>
      <c r="BE3" s="39" t="s">
        <v>387</v>
      </c>
      <c r="BF3" s="39" t="s">
        <v>388</v>
      </c>
      <c r="BG3" s="59"/>
      <c r="BH3" s="58"/>
      <c r="BI3" s="39" t="s">
        <v>387</v>
      </c>
      <c r="BJ3" s="39" t="s">
        <v>388</v>
      </c>
      <c r="BK3" s="59"/>
      <c r="BL3" s="58"/>
      <c r="BM3" s="39" t="s">
        <v>387</v>
      </c>
      <c r="BN3" s="39" t="s">
        <v>388</v>
      </c>
      <c r="BO3" s="59"/>
      <c r="BP3" s="58"/>
      <c r="BQ3" s="39" t="s">
        <v>387</v>
      </c>
      <c r="BR3" s="39" t="s">
        <v>388</v>
      </c>
      <c r="BS3" s="59"/>
      <c r="BT3" s="58"/>
      <c r="BU3" s="39" t="s">
        <v>387</v>
      </c>
      <c r="BV3" s="39" t="s">
        <v>388</v>
      </c>
      <c r="BW3" s="59"/>
      <c r="BX3" s="58"/>
      <c r="BY3" s="142" t="s">
        <v>387</v>
      </c>
      <c r="BZ3" s="142" t="s">
        <v>388</v>
      </c>
      <c r="CA3" s="59"/>
      <c r="CB3" s="58"/>
      <c r="CC3" s="142" t="s">
        <v>387</v>
      </c>
      <c r="CD3" s="142" t="s">
        <v>388</v>
      </c>
      <c r="CE3" s="59"/>
      <c r="CF3" s="58"/>
      <c r="CG3" s="142" t="s">
        <v>387</v>
      </c>
      <c r="CH3" s="142" t="s">
        <v>388</v>
      </c>
      <c r="CI3" s="59"/>
      <c r="CJ3" s="58"/>
      <c r="CK3" s="142" t="s">
        <v>387</v>
      </c>
      <c r="CL3" s="142" t="s">
        <v>388</v>
      </c>
      <c r="CM3" s="59"/>
      <c r="CN3" s="58"/>
      <c r="CO3" s="142" t="s">
        <v>387</v>
      </c>
      <c r="CP3" s="142" t="s">
        <v>388</v>
      </c>
      <c r="CQ3" s="59"/>
      <c r="CR3" s="58"/>
      <c r="CS3" s="142" t="s">
        <v>387</v>
      </c>
      <c r="CT3" s="142" t="s">
        <v>388</v>
      </c>
      <c r="CU3" s="59"/>
      <c r="CV3" s="58"/>
      <c r="CW3" s="142" t="s">
        <v>387</v>
      </c>
      <c r="CX3" s="142" t="s">
        <v>388</v>
      </c>
      <c r="CY3" s="59"/>
      <c r="CZ3" s="58"/>
      <c r="DA3" s="142" t="s">
        <v>387</v>
      </c>
      <c r="DB3" s="142" t="s">
        <v>388</v>
      </c>
      <c r="DC3" s="59"/>
      <c r="DD3" s="58"/>
      <c r="DE3" s="142" t="s">
        <v>387</v>
      </c>
      <c r="DF3" s="142" t="s">
        <v>388</v>
      </c>
      <c r="DG3" s="59"/>
      <c r="DH3" s="58"/>
      <c r="DI3" s="142" t="s">
        <v>387</v>
      </c>
      <c r="DJ3" s="142" t="s">
        <v>388</v>
      </c>
      <c r="DK3" s="59"/>
      <c r="DL3" s="58"/>
      <c r="DM3" s="142" t="s">
        <v>387</v>
      </c>
      <c r="DN3" s="142" t="s">
        <v>388</v>
      </c>
      <c r="DO3" s="59"/>
      <c r="DP3" s="58"/>
      <c r="DQ3" s="142" t="s">
        <v>387</v>
      </c>
      <c r="DR3" s="142" t="s">
        <v>388</v>
      </c>
      <c r="DS3" s="59"/>
      <c r="DT3" s="58"/>
      <c r="DU3" s="142" t="s">
        <v>387</v>
      </c>
      <c r="DV3" s="142" t="s">
        <v>388</v>
      </c>
      <c r="DW3" s="59"/>
      <c r="DX3" s="58"/>
      <c r="DY3" s="142" t="s">
        <v>387</v>
      </c>
      <c r="DZ3" s="142" t="s">
        <v>388</v>
      </c>
      <c r="EA3" s="59"/>
      <c r="EB3" s="58"/>
      <c r="EC3" s="142" t="s">
        <v>387</v>
      </c>
      <c r="ED3" s="142" t="s">
        <v>388</v>
      </c>
      <c r="EE3" s="59"/>
      <c r="EF3" s="58"/>
      <c r="EG3" s="142" t="s">
        <v>387</v>
      </c>
      <c r="EH3" s="142" t="s">
        <v>388</v>
      </c>
      <c r="EI3" s="59"/>
      <c r="EJ3" s="58"/>
      <c r="EK3" s="142" t="s">
        <v>387</v>
      </c>
      <c r="EL3" s="142" t="s">
        <v>388</v>
      </c>
      <c r="EM3" s="59"/>
      <c r="EN3" s="58"/>
      <c r="EO3" s="142" t="s">
        <v>387</v>
      </c>
      <c r="EP3" s="142" t="s">
        <v>388</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389</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390</v>
      </c>
      <c r="F7" s="46">
        <v>39325</v>
      </c>
      <c r="G7" s="45">
        <f>WORKDAY(F7,1,$C$33:$C$42)</f>
        <v>39329</v>
      </c>
      <c r="H7" t="s">
        <v>390</v>
      </c>
      <c r="I7" s="46">
        <v>39416</v>
      </c>
      <c r="J7" s="45">
        <f>WORKDAY(I7,1,$C$33:$C$42)</f>
        <v>39419</v>
      </c>
      <c r="K7" t="s">
        <v>390</v>
      </c>
      <c r="L7" s="46">
        <v>39507</v>
      </c>
      <c r="M7" s="45">
        <f>WORKDAY(L7,1,$L$33:$L$42)</f>
        <v>39510</v>
      </c>
      <c r="N7" t="s">
        <v>390</v>
      </c>
      <c r="O7" s="46">
        <v>39601</v>
      </c>
      <c r="P7" s="45">
        <f>WORKDAY(O7,1,$L$33:$L$42)</f>
        <v>39602</v>
      </c>
      <c r="Q7" t="s">
        <v>390</v>
      </c>
      <c r="R7" s="46">
        <v>39693</v>
      </c>
      <c r="S7" s="45">
        <f>WORKDAY(R7,1,$L$33:$L$42)</f>
        <v>39694</v>
      </c>
      <c r="T7" t="s">
        <v>390</v>
      </c>
      <c r="U7" s="46">
        <v>39784</v>
      </c>
      <c r="V7" s="45">
        <f>WORKDAY(U7,1,$L$33:$L$42)</f>
        <v>39785</v>
      </c>
      <c r="W7" t="s">
        <v>390</v>
      </c>
      <c r="X7" s="46">
        <v>39874</v>
      </c>
      <c r="Y7" s="45">
        <f>WORKDAY(X7,1,X$33:X$43)</f>
        <v>39875</v>
      </c>
      <c r="Z7" t="s">
        <v>390</v>
      </c>
      <c r="AA7" s="46">
        <v>39965</v>
      </c>
      <c r="AB7" s="45">
        <f>WORKDAY(AA7,1,$L$33:$L$43)</f>
        <v>39966</v>
      </c>
      <c r="AC7" t="s">
        <v>390</v>
      </c>
      <c r="AD7" s="46">
        <v>40057</v>
      </c>
      <c r="AE7" s="45">
        <f>WORKDAY(AD7,1,X$33:X$43)</f>
        <v>40058</v>
      </c>
      <c r="AF7" t="s">
        <v>390</v>
      </c>
      <c r="AG7" s="46">
        <v>40148</v>
      </c>
      <c r="AH7" s="45">
        <f>WORKDAY(AG7,1,X$33:X$43)</f>
        <v>40149</v>
      </c>
      <c r="AI7" t="s">
        <v>390</v>
      </c>
      <c r="AJ7" s="58"/>
      <c r="AK7" s="46">
        <v>42156</v>
      </c>
      <c r="AL7" s="45">
        <f>WORKDAY(AK7,1,AB$33:AB$43)</f>
        <v>42157</v>
      </c>
      <c r="AM7" s="59" t="s">
        <v>390</v>
      </c>
      <c r="AN7" s="60">
        <f>+AO7-AK7</f>
        <v>30</v>
      </c>
      <c r="AO7" s="46">
        <v>42186</v>
      </c>
      <c r="AP7" s="45">
        <f>WORKDAY(AO7,1,AF$33:AF$43)</f>
        <v>42187</v>
      </c>
      <c r="AQ7" s="59" t="s">
        <v>390</v>
      </c>
      <c r="AR7" s="60">
        <f>+AS7-AO7</f>
        <v>33</v>
      </c>
      <c r="AS7" s="46">
        <v>42219</v>
      </c>
      <c r="AT7" s="45">
        <f>WORKDAY(AS7,1,AJ$33:AJ$43)</f>
        <v>42220</v>
      </c>
      <c r="AU7" s="59" t="s">
        <v>390</v>
      </c>
      <c r="AV7" s="60">
        <f>+AW7-AS7</f>
        <v>29</v>
      </c>
      <c r="AW7" s="46">
        <v>42248</v>
      </c>
      <c r="AX7" s="45">
        <f>WORKDAY(AW7,1,AN$33:AN$43)</f>
        <v>42249</v>
      </c>
      <c r="AY7" s="59" t="s">
        <v>390</v>
      </c>
      <c r="AZ7" s="60">
        <f>+BA7-AW7</f>
        <v>30</v>
      </c>
      <c r="BA7" s="46">
        <v>42278</v>
      </c>
      <c r="BB7" s="45">
        <f>WORKDAY(BA7,1,AR$33:AR$43)</f>
        <v>42279</v>
      </c>
      <c r="BC7" s="59" t="s">
        <v>390</v>
      </c>
      <c r="BD7" s="60">
        <f>+BE7-BA7</f>
        <v>29</v>
      </c>
      <c r="BE7" s="46">
        <v>42307</v>
      </c>
      <c r="BF7" s="45">
        <f>WORKDAY(BE7,1,AV$33:AV$43)</f>
        <v>42310</v>
      </c>
      <c r="BG7" s="59" t="s">
        <v>390</v>
      </c>
      <c r="BH7" s="60">
        <f>+BI7-BE7</f>
        <v>32</v>
      </c>
      <c r="BI7" s="46">
        <v>42339</v>
      </c>
      <c r="BJ7" s="45">
        <f>WORKDAY(BI7,1,AZ$33:AZ$43)</f>
        <v>42340</v>
      </c>
      <c r="BK7" s="59" t="s">
        <v>390</v>
      </c>
      <c r="BL7" s="60">
        <f>+BM7-BI7</f>
        <v>30</v>
      </c>
      <c r="BM7" s="46">
        <v>42369</v>
      </c>
      <c r="BN7" s="64">
        <f>WORKDAY(BM7,2,BD$33:BD$43)</f>
        <v>42373</v>
      </c>
      <c r="BO7" s="59" t="s">
        <v>390</v>
      </c>
      <c r="BP7" s="60">
        <f>+BQ7-BM7</f>
        <v>32</v>
      </c>
      <c r="BQ7" s="46">
        <v>42401</v>
      </c>
      <c r="BR7" s="45">
        <f>WORKDAY(BQ7,1,BH$33:BH$43)</f>
        <v>42402</v>
      </c>
      <c r="BS7" s="59" t="s">
        <v>390</v>
      </c>
      <c r="BT7" s="60">
        <f>+BU7-BQ7</f>
        <v>29</v>
      </c>
      <c r="BU7" s="46">
        <v>42430</v>
      </c>
      <c r="BV7" s="45">
        <f>WORKDAY(BU7,1,BL$33:BL$43)</f>
        <v>42431</v>
      </c>
      <c r="BW7" s="59" t="s">
        <v>390</v>
      </c>
      <c r="BX7" s="60">
        <f>+BY7-BU7</f>
        <v>30</v>
      </c>
      <c r="BY7" s="46">
        <v>42460</v>
      </c>
      <c r="BZ7" s="45">
        <f>WORKDAY(BY7,1)</f>
        <v>42461</v>
      </c>
      <c r="CA7" s="59" t="s">
        <v>390</v>
      </c>
      <c r="CB7" s="60">
        <f>+CC7-BY7</f>
        <v>29</v>
      </c>
      <c r="CC7" s="46">
        <v>42489</v>
      </c>
      <c r="CD7" s="45">
        <f>WORKDAY(CC7,1)</f>
        <v>42492</v>
      </c>
      <c r="CE7" s="59" t="s">
        <v>390</v>
      </c>
      <c r="CF7" s="60">
        <f>+CG7-CC7</f>
        <v>33</v>
      </c>
      <c r="CG7" s="46">
        <v>42522</v>
      </c>
      <c r="CH7" s="45">
        <f>WORKDAY(CG7,1)</f>
        <v>42523</v>
      </c>
      <c r="CI7" s="59" t="s">
        <v>390</v>
      </c>
      <c r="CJ7" s="60">
        <f>+CK7-CG7</f>
        <v>29</v>
      </c>
      <c r="CK7" s="46">
        <v>42551</v>
      </c>
      <c r="CL7" s="45">
        <f>WORKDAY(CK7,1)</f>
        <v>42552</v>
      </c>
      <c r="CM7" s="59" t="s">
        <v>390</v>
      </c>
      <c r="CN7" s="60">
        <f>+CO7-CK7</f>
        <v>32</v>
      </c>
      <c r="CO7" s="46">
        <v>42583</v>
      </c>
      <c r="CP7" s="45">
        <f>WORKDAY(CO7,1)</f>
        <v>42584</v>
      </c>
      <c r="CQ7" s="59" t="s">
        <v>390</v>
      </c>
      <c r="CR7" s="60">
        <f>+CS7-CO7</f>
        <v>30</v>
      </c>
      <c r="CS7" s="46">
        <v>42613</v>
      </c>
      <c r="CT7" s="45">
        <f>WORKDAY(CS7,1)</f>
        <v>42614</v>
      </c>
      <c r="CU7" s="59" t="s">
        <v>390</v>
      </c>
      <c r="CV7" s="60">
        <f>+CW7-CS7</f>
        <v>30</v>
      </c>
      <c r="CW7" s="46">
        <v>42643</v>
      </c>
      <c r="CX7" s="45">
        <f>WORKDAY(CW7,1)</f>
        <v>42646</v>
      </c>
      <c r="CY7" s="59" t="s">
        <v>390</v>
      </c>
      <c r="CZ7" s="60">
        <f>+DA7-CW7</f>
        <v>31</v>
      </c>
      <c r="DA7" s="46">
        <v>42674</v>
      </c>
      <c r="DB7" s="45">
        <f>WORKDAY(DA7,1)</f>
        <v>42675</v>
      </c>
      <c r="DC7" s="59" t="s">
        <v>390</v>
      </c>
      <c r="DD7" s="60">
        <f>+DE7-DA7</f>
        <v>31</v>
      </c>
      <c r="DE7" s="46">
        <v>42705</v>
      </c>
      <c r="DF7" s="45">
        <f>WORKDAY(DE7,1)</f>
        <v>42706</v>
      </c>
      <c r="DG7" s="59" t="s">
        <v>390</v>
      </c>
      <c r="DH7" s="60">
        <f>+DI7-DE7</f>
        <v>33</v>
      </c>
      <c r="DI7" s="46">
        <v>42738</v>
      </c>
      <c r="DJ7" s="45">
        <f>WORKDAY(DI7,1)</f>
        <v>42739</v>
      </c>
      <c r="DK7" s="59" t="s">
        <v>390</v>
      </c>
      <c r="DL7" s="60">
        <f>+DM7-DI7</f>
        <v>29</v>
      </c>
      <c r="DM7" s="46">
        <v>42767</v>
      </c>
      <c r="DN7" s="45">
        <f>WORKDAY(DM7,1)</f>
        <v>42768</v>
      </c>
      <c r="DO7" s="59" t="s">
        <v>390</v>
      </c>
      <c r="DP7" s="60">
        <f>+DQ7-DM7</f>
        <v>28</v>
      </c>
      <c r="DQ7" s="46">
        <v>42795</v>
      </c>
      <c r="DR7" s="45">
        <f>WORKDAY(DQ7,1)</f>
        <v>42796</v>
      </c>
      <c r="DS7" s="59" t="s">
        <v>390</v>
      </c>
      <c r="DT7" s="60">
        <f>+DU7-DQ7</f>
        <v>730</v>
      </c>
      <c r="DU7" s="46">
        <v>43525</v>
      </c>
      <c r="DV7" s="45">
        <f t="shared" si="0"/>
        <v>43528</v>
      </c>
      <c r="DW7" s="59" t="s">
        <v>390</v>
      </c>
      <c r="DX7" s="60">
        <f t="shared" si="1"/>
        <v>31</v>
      </c>
      <c r="DY7" s="46">
        <v>43556</v>
      </c>
      <c r="DZ7" s="45">
        <f t="shared" si="2"/>
        <v>43557</v>
      </c>
      <c r="EA7" s="59" t="s">
        <v>390</v>
      </c>
      <c r="EB7" s="60">
        <f>+EC7-DY7</f>
        <v>30</v>
      </c>
      <c r="EC7" s="46">
        <v>43586</v>
      </c>
      <c r="ED7" s="45">
        <f>WORKDAY(EC7,1)</f>
        <v>43587</v>
      </c>
      <c r="EE7" s="59" t="s">
        <v>390</v>
      </c>
      <c r="EF7" s="60">
        <f>+EG7-EC7</f>
        <v>33</v>
      </c>
      <c r="EG7" s="46">
        <v>43619</v>
      </c>
      <c r="EH7" s="45">
        <f>WORKDAY(EG7,1)</f>
        <v>43620</v>
      </c>
      <c r="EI7" s="59" t="s">
        <v>390</v>
      </c>
      <c r="EJ7" s="60">
        <f>+EK7-EG7</f>
        <v>28</v>
      </c>
      <c r="EK7" s="46">
        <v>43647</v>
      </c>
      <c r="EL7" s="45">
        <f>WORKDAY(EK7,1)</f>
        <v>43648</v>
      </c>
      <c r="EM7" s="59" t="s">
        <v>390</v>
      </c>
      <c r="EN7" s="60">
        <f>+EO7-EK7</f>
        <v>31</v>
      </c>
      <c r="EO7" s="46">
        <v>43678</v>
      </c>
      <c r="EP7" s="45">
        <f>WORKDAY(EO7,1)</f>
        <v>43679</v>
      </c>
      <c r="EQ7" s="59" t="s">
        <v>390</v>
      </c>
    </row>
    <row r="8" spans="1:147" x14ac:dyDescent="0.2">
      <c r="A8">
        <v>43</v>
      </c>
      <c r="C8" s="46">
        <v>39237</v>
      </c>
      <c r="D8" s="45">
        <f>WORKDAY(C8,1,$C$33:$C$42)</f>
        <v>39238</v>
      </c>
      <c r="E8" t="s">
        <v>391</v>
      </c>
      <c r="F8" s="46">
        <v>39329</v>
      </c>
      <c r="G8" s="45">
        <f>WORKDAY(F8,1,$C$33:$C$42)</f>
        <v>39330</v>
      </c>
      <c r="H8" t="s">
        <v>391</v>
      </c>
      <c r="I8" s="46">
        <v>39419</v>
      </c>
      <c r="J8" s="45">
        <f>WORKDAY(I8,1,$C$33:$C$42)</f>
        <v>39420</v>
      </c>
      <c r="K8" t="s">
        <v>391</v>
      </c>
      <c r="L8" s="46">
        <v>39510</v>
      </c>
      <c r="M8" s="45">
        <f>WORKDAY(L8,1,$L$33:$L$42)</f>
        <v>39511</v>
      </c>
      <c r="N8" t="s">
        <v>391</v>
      </c>
      <c r="O8" s="46">
        <v>39602</v>
      </c>
      <c r="P8" s="45">
        <f>WORKDAY(O8,1,$L$33:$L$42)</f>
        <v>39603</v>
      </c>
      <c r="Q8" t="s">
        <v>391</v>
      </c>
      <c r="R8" s="46">
        <v>39694</v>
      </c>
      <c r="S8" s="45">
        <f>WORKDAY(R8,1,$L$33:$L$42)</f>
        <v>39695</v>
      </c>
      <c r="T8" t="s">
        <v>391</v>
      </c>
      <c r="U8" s="46">
        <v>39785</v>
      </c>
      <c r="V8" s="45">
        <f>WORKDAY(U8,1,$L$33:$L$42)</f>
        <v>39786</v>
      </c>
      <c r="W8" t="s">
        <v>391</v>
      </c>
      <c r="X8" s="46">
        <v>39875</v>
      </c>
      <c r="Y8" s="45">
        <f>WORKDAY(X8,1,X$33:X$43)</f>
        <v>39876</v>
      </c>
      <c r="Z8" t="s">
        <v>391</v>
      </c>
      <c r="AA8" s="46">
        <v>39966</v>
      </c>
      <c r="AB8" s="45">
        <f>WORKDAY(AA8,1,$L$33:$L$43)</f>
        <v>39967</v>
      </c>
      <c r="AC8" t="s">
        <v>391</v>
      </c>
      <c r="AD8" s="46">
        <v>40058</v>
      </c>
      <c r="AE8" s="45">
        <f>WORKDAY(AD8,1,X$33:X$43)</f>
        <v>40059</v>
      </c>
      <c r="AF8" t="s">
        <v>391</v>
      </c>
      <c r="AG8" s="46">
        <v>40149</v>
      </c>
      <c r="AH8" s="45">
        <f>WORKDAY(AG8,1,X$33:X$43)</f>
        <v>40150</v>
      </c>
      <c r="AI8" t="s">
        <v>391</v>
      </c>
      <c r="AJ8" s="58"/>
      <c r="AK8" s="46">
        <v>42157</v>
      </c>
      <c r="AL8" s="45">
        <f>WORKDAY(AK8,1,AB$33:AB$43)</f>
        <v>42158</v>
      </c>
      <c r="AM8" s="59" t="s">
        <v>391</v>
      </c>
      <c r="AN8" s="60">
        <f>+AO8-AK8</f>
        <v>30</v>
      </c>
      <c r="AO8" s="46">
        <v>42187</v>
      </c>
      <c r="AP8" s="45">
        <f>WORKDAY(AO8,1,AF$33:AF$43)</f>
        <v>42188</v>
      </c>
      <c r="AQ8" s="59" t="s">
        <v>391</v>
      </c>
      <c r="AR8" s="60">
        <f>+AS8-AO8</f>
        <v>33</v>
      </c>
      <c r="AS8" s="46">
        <v>42220</v>
      </c>
      <c r="AT8" s="45">
        <f>WORKDAY(AS8,1,AJ$33:AJ$43)</f>
        <v>42221</v>
      </c>
      <c r="AU8" s="59" t="s">
        <v>391</v>
      </c>
      <c r="AV8" s="60">
        <f>+AW8-AS8</f>
        <v>29</v>
      </c>
      <c r="AW8" s="46">
        <v>42249</v>
      </c>
      <c r="AX8" s="45">
        <f>WORKDAY(AW8,1,AN$33:AN$43)</f>
        <v>42250</v>
      </c>
      <c r="AY8" s="59" t="s">
        <v>391</v>
      </c>
      <c r="AZ8" s="60">
        <f>+BA8-AW8</f>
        <v>30</v>
      </c>
      <c r="BA8" s="46">
        <v>42279</v>
      </c>
      <c r="BB8" s="45">
        <f>WORKDAY(BA8,1,AR$33:AR$43)</f>
        <v>42282</v>
      </c>
      <c r="BC8" s="59" t="s">
        <v>391</v>
      </c>
      <c r="BD8" s="60">
        <f>+BE8-BA8</f>
        <v>31</v>
      </c>
      <c r="BE8" s="46">
        <v>42310</v>
      </c>
      <c r="BF8" s="45">
        <f>WORKDAY(BE8,1,AV$33:AV$43)</f>
        <v>42311</v>
      </c>
      <c r="BG8" s="59" t="s">
        <v>391</v>
      </c>
      <c r="BH8" s="60">
        <f>+BI8-BE8</f>
        <v>30</v>
      </c>
      <c r="BI8" s="46">
        <v>42340</v>
      </c>
      <c r="BJ8" s="45">
        <f>WORKDAY(BI8,1,AZ$33:AZ$43)</f>
        <v>42341</v>
      </c>
      <c r="BK8" s="59" t="s">
        <v>391</v>
      </c>
      <c r="BL8" s="60">
        <f>+BM8-BI8</f>
        <v>33</v>
      </c>
      <c r="BM8" s="46">
        <v>42373</v>
      </c>
      <c r="BN8" s="45">
        <f>WORKDAY(BM8,1,BD$33:BD$43)</f>
        <v>42374</v>
      </c>
      <c r="BO8" s="59" t="s">
        <v>391</v>
      </c>
      <c r="BP8" s="60">
        <f>+BQ8-BM8</f>
        <v>29</v>
      </c>
      <c r="BQ8" s="46">
        <v>42402</v>
      </c>
      <c r="BR8" s="45">
        <f>WORKDAY(BQ8,1,BH$33:BH$43)</f>
        <v>42403</v>
      </c>
      <c r="BS8" s="59" t="s">
        <v>391</v>
      </c>
      <c r="BT8" s="60">
        <f>+BU8-BQ8</f>
        <v>29</v>
      </c>
      <c r="BU8" s="46">
        <v>42431</v>
      </c>
      <c r="BV8" s="45">
        <f>WORKDAY(BU8,1,BL$33:BL$43)</f>
        <v>42432</v>
      </c>
      <c r="BW8" s="59" t="s">
        <v>391</v>
      </c>
      <c r="BX8" s="60">
        <f>+BY8-BU8</f>
        <v>30</v>
      </c>
      <c r="BY8" s="46">
        <v>42461</v>
      </c>
      <c r="BZ8" s="45">
        <f>WORKDAY(BY8,1)</f>
        <v>42464</v>
      </c>
      <c r="CA8" s="59" t="s">
        <v>391</v>
      </c>
      <c r="CB8" s="60">
        <f>+CC8-BY8</f>
        <v>31</v>
      </c>
      <c r="CC8" s="46">
        <v>42492</v>
      </c>
      <c r="CD8" s="45">
        <f>WORKDAY(CC8,1)</f>
        <v>42493</v>
      </c>
      <c r="CE8" s="59" t="s">
        <v>391</v>
      </c>
      <c r="CF8" s="60">
        <f>+CG8-CC8</f>
        <v>31</v>
      </c>
      <c r="CG8" s="46">
        <v>42523</v>
      </c>
      <c r="CH8" s="45">
        <f>WORKDAY(CG8,1)</f>
        <v>42524</v>
      </c>
      <c r="CI8" s="59" t="s">
        <v>391</v>
      </c>
      <c r="CJ8" s="60">
        <f>+CK8-CG8</f>
        <v>29</v>
      </c>
      <c r="CK8" s="46">
        <v>42552</v>
      </c>
      <c r="CL8" s="45">
        <f>WORKDAY(CK8,1)</f>
        <v>42555</v>
      </c>
      <c r="CM8" s="59" t="s">
        <v>391</v>
      </c>
      <c r="CN8" s="60">
        <f>+CO8-CK8</f>
        <v>32</v>
      </c>
      <c r="CO8" s="46">
        <v>42584</v>
      </c>
      <c r="CP8" s="45">
        <f>WORKDAY(CO8,1)</f>
        <v>42585</v>
      </c>
      <c r="CQ8" s="59" t="s">
        <v>391</v>
      </c>
      <c r="CR8" s="60">
        <f>+CS8-CO8</f>
        <v>30</v>
      </c>
      <c r="CS8" s="46">
        <v>42614</v>
      </c>
      <c r="CT8" s="45">
        <f>WORKDAY(CS8,1)</f>
        <v>42615</v>
      </c>
      <c r="CU8" s="59" t="s">
        <v>391</v>
      </c>
      <c r="CV8" s="60">
        <f>+CW8-CS8</f>
        <v>32</v>
      </c>
      <c r="CW8" s="46">
        <v>42646</v>
      </c>
      <c r="CX8" s="45">
        <f>WORKDAY(CW8,1)</f>
        <v>42647</v>
      </c>
      <c r="CY8" s="59" t="s">
        <v>391</v>
      </c>
      <c r="CZ8" s="60">
        <f>+DA8-CW8</f>
        <v>29</v>
      </c>
      <c r="DA8" s="46">
        <v>42675</v>
      </c>
      <c r="DB8" s="45">
        <f>WORKDAY(DA8,1)</f>
        <v>42676</v>
      </c>
      <c r="DC8" s="59" t="s">
        <v>391</v>
      </c>
      <c r="DD8" s="60">
        <f>+DE8-DA8</f>
        <v>31</v>
      </c>
      <c r="DE8" s="46">
        <v>42706</v>
      </c>
      <c r="DF8" s="45">
        <f>WORKDAY(DE8,1)</f>
        <v>42709</v>
      </c>
      <c r="DG8" s="59" t="s">
        <v>391</v>
      </c>
      <c r="DH8" s="60">
        <f>+DI8-DE8</f>
        <v>33</v>
      </c>
      <c r="DI8" s="46">
        <v>42739</v>
      </c>
      <c r="DJ8" s="45">
        <f>WORKDAY(DI8,1)</f>
        <v>42740</v>
      </c>
      <c r="DK8" s="59" t="s">
        <v>391</v>
      </c>
      <c r="DL8" s="60">
        <f>+DM8-DI8</f>
        <v>29</v>
      </c>
      <c r="DM8" s="46">
        <v>42768</v>
      </c>
      <c r="DN8" s="45">
        <f>WORKDAY(DM8,1)</f>
        <v>42769</v>
      </c>
      <c r="DO8" s="59" t="s">
        <v>391</v>
      </c>
      <c r="DP8" s="60">
        <f>+DQ8-DM8</f>
        <v>28</v>
      </c>
      <c r="DQ8" s="46">
        <v>42796</v>
      </c>
      <c r="DR8" s="45">
        <f>WORKDAY(DQ8,1)</f>
        <v>42797</v>
      </c>
      <c r="DS8" s="59" t="s">
        <v>391</v>
      </c>
      <c r="DT8" s="60">
        <f>+DU8-DQ8</f>
        <v>732</v>
      </c>
      <c r="DU8" s="46">
        <v>43528</v>
      </c>
      <c r="DV8" s="45">
        <f t="shared" si="0"/>
        <v>43529</v>
      </c>
      <c r="DW8" s="59" t="s">
        <v>391</v>
      </c>
      <c r="DX8" s="60">
        <f t="shared" si="1"/>
        <v>29</v>
      </c>
      <c r="DY8" s="46">
        <v>43557</v>
      </c>
      <c r="DZ8" s="45">
        <f t="shared" si="2"/>
        <v>43558</v>
      </c>
      <c r="EA8" s="59" t="s">
        <v>391</v>
      </c>
      <c r="EB8" s="60">
        <f>+EC8-DY8</f>
        <v>30</v>
      </c>
      <c r="EC8" s="46">
        <v>43587</v>
      </c>
      <c r="ED8" s="45">
        <f>WORKDAY(EC8,1)</f>
        <v>43588</v>
      </c>
      <c r="EE8" s="59" t="s">
        <v>391</v>
      </c>
      <c r="EF8" s="60">
        <f>+EG8-EC8</f>
        <v>33</v>
      </c>
      <c r="EG8" s="46">
        <v>43620</v>
      </c>
      <c r="EH8" s="45">
        <f>WORKDAY(EG8,1)</f>
        <v>43621</v>
      </c>
      <c r="EI8" s="59" t="s">
        <v>391</v>
      </c>
      <c r="EJ8" s="60">
        <f>+EK8-EG8</f>
        <v>28</v>
      </c>
      <c r="EK8" s="46">
        <v>43648</v>
      </c>
      <c r="EL8" s="45">
        <f>WORKDAY(EK8,1)</f>
        <v>43649</v>
      </c>
      <c r="EM8" s="59" t="s">
        <v>391</v>
      </c>
      <c r="EN8" s="60">
        <f>+EO8-EK8</f>
        <v>31</v>
      </c>
      <c r="EO8" s="46">
        <v>43679</v>
      </c>
      <c r="EP8" s="45">
        <f>WORKDAY(EO8,1)</f>
        <v>43682</v>
      </c>
      <c r="EQ8" s="59" t="s">
        <v>391</v>
      </c>
    </row>
    <row r="9" spans="1:147" x14ac:dyDescent="0.2">
      <c r="A9">
        <v>44</v>
      </c>
      <c r="C9" s="46">
        <v>39238</v>
      </c>
      <c r="D9" s="45">
        <f>WORKDAY(C9,1,$C$33:$C$42)</f>
        <v>39239</v>
      </c>
      <c r="E9" t="s">
        <v>392</v>
      </c>
      <c r="F9" s="46">
        <v>39330</v>
      </c>
      <c r="G9" s="45">
        <f>WORKDAY(F9,1,$C$33:$C$42)</f>
        <v>39331</v>
      </c>
      <c r="H9" t="s">
        <v>392</v>
      </c>
      <c r="I9" s="46">
        <v>39420</v>
      </c>
      <c r="J9" s="45">
        <f>WORKDAY(I9,1,$C$33:$C$42)</f>
        <v>39421</v>
      </c>
      <c r="K9" t="s">
        <v>392</v>
      </c>
      <c r="L9" s="46">
        <v>39511</v>
      </c>
      <c r="M9" s="45">
        <f>WORKDAY(L9,1,$L$33:$L$42)</f>
        <v>39512</v>
      </c>
      <c r="N9" t="s">
        <v>392</v>
      </c>
      <c r="O9" s="46">
        <v>39603</v>
      </c>
      <c r="P9" s="45">
        <f>WORKDAY(O9,1,$L$33:$L$42)</f>
        <v>39604</v>
      </c>
      <c r="Q9" t="s">
        <v>392</v>
      </c>
      <c r="R9" s="46">
        <v>39695</v>
      </c>
      <c r="S9" s="45">
        <f>WORKDAY(R9,1,$L$33:$L$42)</f>
        <v>39696</v>
      </c>
      <c r="T9" t="s">
        <v>392</v>
      </c>
      <c r="U9" s="46">
        <v>39786</v>
      </c>
      <c r="V9" s="45">
        <f>WORKDAY(U9,1,$L$33:$L$42)</f>
        <v>39787</v>
      </c>
      <c r="W9" t="s">
        <v>392</v>
      </c>
      <c r="X9" s="46">
        <v>39876</v>
      </c>
      <c r="Y9" s="45">
        <f>WORKDAY(X9,1,X$33:X$43)</f>
        <v>39877</v>
      </c>
      <c r="Z9" t="s">
        <v>392</v>
      </c>
      <c r="AA9" s="46">
        <v>39967</v>
      </c>
      <c r="AB9" s="45">
        <f>WORKDAY(AA9,1,$L$33:$L$43)</f>
        <v>39968</v>
      </c>
      <c r="AC9" t="s">
        <v>392</v>
      </c>
      <c r="AD9" s="46">
        <v>40059</v>
      </c>
      <c r="AE9" s="45">
        <f>WORKDAY(AD9,1,X$33:X$43)</f>
        <v>40060</v>
      </c>
      <c r="AF9" t="s">
        <v>392</v>
      </c>
      <c r="AG9" s="46">
        <v>40150</v>
      </c>
      <c r="AH9" s="45">
        <f>WORKDAY(AG9,1,X$33:X$43)</f>
        <v>40151</v>
      </c>
      <c r="AI9" t="s">
        <v>392</v>
      </c>
      <c r="AJ9" s="58"/>
      <c r="AK9" s="46">
        <v>42158</v>
      </c>
      <c r="AL9" s="45">
        <f>WORKDAY(AK9,1,AB$33:AB$43)</f>
        <v>42159</v>
      </c>
      <c r="AM9" s="59" t="s">
        <v>392</v>
      </c>
      <c r="AN9" s="60">
        <f>+AO9-AK9</f>
        <v>33</v>
      </c>
      <c r="AO9" s="46">
        <v>42191</v>
      </c>
      <c r="AP9" s="45">
        <f>WORKDAY(AO9,1,AF$33:AF$43)</f>
        <v>42192</v>
      </c>
      <c r="AQ9" s="59" t="s">
        <v>392</v>
      </c>
      <c r="AR9" s="60">
        <f>+AS9-AO9</f>
        <v>30</v>
      </c>
      <c r="AS9" s="46">
        <v>42221</v>
      </c>
      <c r="AT9" s="45">
        <f>WORKDAY(AS9,1,AJ$33:AJ$43)</f>
        <v>42222</v>
      </c>
      <c r="AU9" s="59" t="s">
        <v>392</v>
      </c>
      <c r="AV9" s="60">
        <f>+AW9-AS9</f>
        <v>29</v>
      </c>
      <c r="AW9" s="46">
        <v>42250</v>
      </c>
      <c r="AX9" s="45">
        <f>WORKDAY(AW9,1,AN$33:AN$43)</f>
        <v>42251</v>
      </c>
      <c r="AY9" s="59" t="s">
        <v>392</v>
      </c>
      <c r="AZ9" s="60">
        <f>+BA9-AW9</f>
        <v>32</v>
      </c>
      <c r="BA9" s="46">
        <v>42282</v>
      </c>
      <c r="BB9" s="45">
        <f>WORKDAY(BA9,1,AR$33:AR$43)</f>
        <v>42283</v>
      </c>
      <c r="BC9" s="59" t="s">
        <v>392</v>
      </c>
      <c r="BD9" s="60">
        <f>+BE9-BA9</f>
        <v>29</v>
      </c>
      <c r="BE9" s="46">
        <v>42311</v>
      </c>
      <c r="BF9" s="45">
        <f>WORKDAY(BE9,1,AV$33:AV$43)</f>
        <v>42312</v>
      </c>
      <c r="BG9" s="59" t="s">
        <v>392</v>
      </c>
      <c r="BH9" s="60">
        <f>+BI9-BE9</f>
        <v>30</v>
      </c>
      <c r="BI9" s="46">
        <v>42341</v>
      </c>
      <c r="BJ9" s="45">
        <f>WORKDAY(BI9,1,AZ$33:AZ$43)</f>
        <v>42342</v>
      </c>
      <c r="BK9" s="59" t="s">
        <v>392</v>
      </c>
      <c r="BL9" s="60">
        <f>+BM9-BI9</f>
        <v>33</v>
      </c>
      <c r="BM9" s="46">
        <v>42374</v>
      </c>
      <c r="BN9" s="45">
        <f>WORKDAY(BM9,1,BD$33:BD$43)</f>
        <v>42375</v>
      </c>
      <c r="BO9" s="59" t="s">
        <v>392</v>
      </c>
      <c r="BP9" s="60">
        <f>+BQ9-BM9</f>
        <v>29</v>
      </c>
      <c r="BQ9" s="46">
        <v>42403</v>
      </c>
      <c r="BR9" s="45">
        <f>WORKDAY(BQ9,1,BH$33:BH$43)</f>
        <v>42404</v>
      </c>
      <c r="BS9" s="59" t="s">
        <v>392</v>
      </c>
      <c r="BT9" s="60">
        <f>+BU9-BQ9</f>
        <v>29</v>
      </c>
      <c r="BU9" s="46">
        <v>42432</v>
      </c>
      <c r="BV9" s="45">
        <f>WORKDAY(BU9,1,BL$33:BL$43)</f>
        <v>42433</v>
      </c>
      <c r="BW9" s="59" t="s">
        <v>392</v>
      </c>
      <c r="BX9" s="60">
        <f>+BY9-BU9</f>
        <v>32</v>
      </c>
      <c r="BY9" s="46">
        <v>42464</v>
      </c>
      <c r="BZ9" s="45">
        <f>WORKDAY(BY9,1)</f>
        <v>42465</v>
      </c>
      <c r="CA9" s="59" t="s">
        <v>392</v>
      </c>
      <c r="CB9" s="60">
        <f>+CC9-BY9</f>
        <v>29</v>
      </c>
      <c r="CC9" s="46">
        <v>42493</v>
      </c>
      <c r="CD9" s="45">
        <f>WORKDAY(CC9,1)</f>
        <v>42494</v>
      </c>
      <c r="CE9" s="59" t="s">
        <v>392</v>
      </c>
      <c r="CF9" s="60">
        <f>+CG9-CC9</f>
        <v>31</v>
      </c>
      <c r="CG9" s="46">
        <v>42524</v>
      </c>
      <c r="CH9" s="45">
        <f>WORKDAY(CG9,1)</f>
        <v>42527</v>
      </c>
      <c r="CI9" s="59" t="s">
        <v>392</v>
      </c>
      <c r="CJ9" s="60">
        <f>+CK9-CG9</f>
        <v>32</v>
      </c>
      <c r="CK9" s="46">
        <v>42556</v>
      </c>
      <c r="CL9" s="45">
        <f>WORKDAY(CK9,1)</f>
        <v>42557</v>
      </c>
      <c r="CM9" s="59" t="s">
        <v>392</v>
      </c>
      <c r="CN9" s="60">
        <f>+CO9-CK9</f>
        <v>29</v>
      </c>
      <c r="CO9" s="46">
        <v>42585</v>
      </c>
      <c r="CP9" s="45">
        <f>WORKDAY(CO9,1)</f>
        <v>42586</v>
      </c>
      <c r="CQ9" s="59" t="s">
        <v>392</v>
      </c>
      <c r="CR9" s="60">
        <f>+CS9-CO9</f>
        <v>30</v>
      </c>
      <c r="CS9" s="46">
        <v>42615</v>
      </c>
      <c r="CT9" s="45">
        <f>WORKDAY(CS9,1)</f>
        <v>42618</v>
      </c>
      <c r="CU9" s="59" t="s">
        <v>392</v>
      </c>
      <c r="CV9" s="60">
        <f>+CW9-CS9</f>
        <v>32</v>
      </c>
      <c r="CW9" s="46">
        <v>42647</v>
      </c>
      <c r="CX9" s="45">
        <f>WORKDAY(CW9,1)</f>
        <v>42648</v>
      </c>
      <c r="CY9" s="59" t="s">
        <v>392</v>
      </c>
      <c r="CZ9" s="60">
        <f>+DA9-CW9</f>
        <v>29</v>
      </c>
      <c r="DA9" s="46">
        <v>42676</v>
      </c>
      <c r="DB9" s="45">
        <f>WORKDAY(DA9,1)</f>
        <v>42677</v>
      </c>
      <c r="DC9" s="59" t="s">
        <v>392</v>
      </c>
      <c r="DD9" s="60">
        <f>+DE9-DA9</f>
        <v>33</v>
      </c>
      <c r="DE9" s="46">
        <v>42709</v>
      </c>
      <c r="DF9" s="45">
        <f>WORKDAY(DE9,1)</f>
        <v>42710</v>
      </c>
      <c r="DG9" s="59" t="s">
        <v>392</v>
      </c>
      <c r="DH9" s="60">
        <f>+DI9-DE9</f>
        <v>31</v>
      </c>
      <c r="DI9" s="46">
        <v>42740</v>
      </c>
      <c r="DJ9" s="45">
        <f>WORKDAY(DI9,1)</f>
        <v>42741</v>
      </c>
      <c r="DK9" s="59" t="s">
        <v>392</v>
      </c>
      <c r="DL9" s="60">
        <f>+DM9-DI9</f>
        <v>29</v>
      </c>
      <c r="DM9" s="46">
        <v>42769</v>
      </c>
      <c r="DN9" s="45">
        <f>WORKDAY(DM9,1)</f>
        <v>42772</v>
      </c>
      <c r="DO9" s="59" t="s">
        <v>392</v>
      </c>
      <c r="DP9" s="60">
        <f>+DQ9-DM9</f>
        <v>28</v>
      </c>
      <c r="DQ9" s="46">
        <v>42797</v>
      </c>
      <c r="DR9" s="45">
        <f>WORKDAY(DQ9,1)</f>
        <v>42800</v>
      </c>
      <c r="DS9" s="59" t="s">
        <v>392</v>
      </c>
      <c r="DT9" s="60">
        <f>+DU9-DQ9</f>
        <v>732</v>
      </c>
      <c r="DU9" s="46">
        <v>43529</v>
      </c>
      <c r="DV9" s="45">
        <f t="shared" si="0"/>
        <v>43530</v>
      </c>
      <c r="DW9" s="59" t="s">
        <v>392</v>
      </c>
      <c r="DX9" s="60">
        <f t="shared" si="1"/>
        <v>29</v>
      </c>
      <c r="DY9" s="46">
        <v>43558</v>
      </c>
      <c r="DZ9" s="45">
        <f t="shared" si="2"/>
        <v>43559</v>
      </c>
      <c r="EA9" s="59" t="s">
        <v>392</v>
      </c>
      <c r="EB9" s="60">
        <f>+EC9-DY9</f>
        <v>30</v>
      </c>
      <c r="EC9" s="46">
        <v>43588</v>
      </c>
      <c r="ED9" s="45">
        <f>WORKDAY(EC9,1)</f>
        <v>43591</v>
      </c>
      <c r="EE9" s="59" t="s">
        <v>392</v>
      </c>
      <c r="EF9" s="60">
        <f>+EG9-EC9</f>
        <v>33</v>
      </c>
      <c r="EG9" s="46">
        <v>43621</v>
      </c>
      <c r="EH9" s="45">
        <f>WORKDAY(EG9,1)</f>
        <v>43622</v>
      </c>
      <c r="EI9" s="59" t="s">
        <v>392</v>
      </c>
      <c r="EJ9" s="60">
        <f>+EK9-EG9</f>
        <v>28</v>
      </c>
      <c r="EK9" s="46">
        <v>43649</v>
      </c>
      <c r="EL9" s="45">
        <f>WORKDAY(EK9,1)</f>
        <v>43650</v>
      </c>
      <c r="EM9" s="59" t="s">
        <v>392</v>
      </c>
      <c r="EN9" s="60">
        <f>+EO9-EK9</f>
        <v>33</v>
      </c>
      <c r="EO9" s="46">
        <v>43682</v>
      </c>
      <c r="EP9" s="45">
        <f>WORKDAY(EO9,1)</f>
        <v>43683</v>
      </c>
      <c r="EQ9" s="59" t="s">
        <v>392</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393</v>
      </c>
      <c r="AV11" s="60">
        <f>+AW11-AS11</f>
        <v>30</v>
      </c>
      <c r="AW11" s="46">
        <v>42263</v>
      </c>
      <c r="AX11" s="45">
        <f>WORKDAY(AW11,1,AN$33:AN$43)</f>
        <v>42264</v>
      </c>
      <c r="AY11" s="155" t="s">
        <v>393</v>
      </c>
      <c r="AZ11" s="60">
        <f>+BA11-AW11</f>
        <v>30</v>
      </c>
      <c r="BA11" s="46">
        <v>42293</v>
      </c>
      <c r="BB11" s="45">
        <f>WORKDAY(BA11,1,AR$33:AR$43)</f>
        <v>42296</v>
      </c>
      <c r="BC11" s="155" t="s">
        <v>393</v>
      </c>
      <c r="BD11" s="60">
        <f>+BE11-BA11</f>
        <v>28</v>
      </c>
      <c r="BE11" s="46">
        <v>42321</v>
      </c>
      <c r="BF11" s="45">
        <f>WORKDAY(BE11,1,AV$33:AV$43)</f>
        <v>42324</v>
      </c>
      <c r="BG11" s="155" t="s">
        <v>393</v>
      </c>
      <c r="BH11" s="60">
        <f>+BI11-BE11</f>
        <v>32</v>
      </c>
      <c r="BI11" s="46">
        <v>42353</v>
      </c>
      <c r="BJ11" s="45">
        <f>WORKDAY(BI11,1,AZ$33:AZ$43)</f>
        <v>42354</v>
      </c>
      <c r="BK11" s="155" t="s">
        <v>393</v>
      </c>
      <c r="BL11" s="60">
        <f>+BM11-BI11</f>
        <v>31</v>
      </c>
      <c r="BM11" s="46">
        <v>42384</v>
      </c>
      <c r="BN11" s="45">
        <f>WORKDAY(BM11,1,BD$33:BD$43)</f>
        <v>42387</v>
      </c>
      <c r="BO11" s="155" t="s">
        <v>393</v>
      </c>
      <c r="BP11" s="60">
        <f>+BQ11-BM11</f>
        <v>31</v>
      </c>
      <c r="BQ11" s="46">
        <v>42415</v>
      </c>
      <c r="BR11" s="45">
        <f>WORKDAY(BQ11,1,BH$33:BH$43)</f>
        <v>42416</v>
      </c>
      <c r="BS11" s="155" t="s">
        <v>393</v>
      </c>
      <c r="BT11" s="60">
        <f>+BU11-BQ11</f>
        <v>30</v>
      </c>
      <c r="BU11" s="46">
        <v>42445</v>
      </c>
      <c r="BV11" s="45">
        <f>WORKDAY(BU11,1,BL$33:BL$43)</f>
        <v>42446</v>
      </c>
      <c r="BW11" s="155" t="s">
        <v>393</v>
      </c>
      <c r="BX11" s="60">
        <f>+BY11-BU11</f>
        <v>29</v>
      </c>
      <c r="BY11" s="46">
        <v>42474</v>
      </c>
      <c r="BZ11" s="45">
        <f>WORKDAY(BY11,1)</f>
        <v>42475</v>
      </c>
      <c r="CA11" s="155" t="s">
        <v>393</v>
      </c>
      <c r="CB11" s="60">
        <f>+CC11-BY11</f>
        <v>32</v>
      </c>
      <c r="CC11" s="46">
        <v>42506</v>
      </c>
      <c r="CD11" s="45">
        <f>WORKDAY(CC11,1)</f>
        <v>42507</v>
      </c>
      <c r="CE11" s="155" t="s">
        <v>393</v>
      </c>
      <c r="CF11" s="60">
        <f>+CG11-CC11</f>
        <v>30</v>
      </c>
      <c r="CG11" s="46">
        <v>42536</v>
      </c>
      <c r="CH11" s="45">
        <f>WORKDAY(CG11,1)</f>
        <v>42537</v>
      </c>
      <c r="CI11" s="155" t="s">
        <v>393</v>
      </c>
      <c r="CJ11" s="60">
        <f>+CK11-CG11</f>
        <v>30</v>
      </c>
      <c r="CK11" s="46">
        <v>42566</v>
      </c>
      <c r="CL11" s="45">
        <f>WORKDAY(CK11,1)</f>
        <v>42569</v>
      </c>
      <c r="CM11" s="155" t="s">
        <v>393</v>
      </c>
      <c r="CN11" s="60">
        <f>+CO11-CK11</f>
        <v>32</v>
      </c>
      <c r="CO11" s="46">
        <v>42598</v>
      </c>
      <c r="CP11" s="45">
        <f>WORKDAY(CO11,1)</f>
        <v>42599</v>
      </c>
      <c r="CQ11" s="155" t="s">
        <v>393</v>
      </c>
      <c r="CR11" s="60">
        <f>+CS11-CO11</f>
        <v>30</v>
      </c>
      <c r="CS11" s="46">
        <v>42628</v>
      </c>
      <c r="CT11" s="45">
        <f>WORKDAY(CS11,1)</f>
        <v>42629</v>
      </c>
      <c r="CU11" s="155" t="s">
        <v>393</v>
      </c>
      <c r="CV11" s="60">
        <f>+CW11-CS11</f>
        <v>29</v>
      </c>
      <c r="CW11" s="46">
        <v>42657</v>
      </c>
      <c r="CX11" s="45">
        <f>WORKDAY(CW11,1)</f>
        <v>42660</v>
      </c>
      <c r="CY11" s="155" t="s">
        <v>393</v>
      </c>
      <c r="CZ11" s="60">
        <f>+DA11-CW11</f>
        <v>32</v>
      </c>
      <c r="DA11" s="46">
        <v>42689</v>
      </c>
      <c r="DB11" s="45">
        <f>WORKDAY(DA11,1)</f>
        <v>42690</v>
      </c>
      <c r="DC11" s="155" t="s">
        <v>393</v>
      </c>
      <c r="DD11" s="60">
        <f>+DE11-DA11</f>
        <v>30</v>
      </c>
      <c r="DE11" s="46">
        <v>42719</v>
      </c>
      <c r="DF11" s="45">
        <f>WORKDAY(DE11,1)</f>
        <v>42720</v>
      </c>
      <c r="DG11" s="155" t="s">
        <v>393</v>
      </c>
      <c r="DH11" s="60">
        <f>+DI11-DE11</f>
        <v>34</v>
      </c>
      <c r="DI11" s="46">
        <v>42753</v>
      </c>
      <c r="DJ11" s="45">
        <f>WORKDAY(DI11,1)</f>
        <v>42754</v>
      </c>
      <c r="DK11" s="155" t="s">
        <v>393</v>
      </c>
      <c r="DL11" s="60">
        <f>+DM11-DI11</f>
        <v>28</v>
      </c>
      <c r="DM11" s="46">
        <v>42781</v>
      </c>
      <c r="DN11" s="45">
        <f>WORKDAY(DM11,1)</f>
        <v>42782</v>
      </c>
      <c r="DO11" s="155" t="s">
        <v>393</v>
      </c>
      <c r="DP11" s="60">
        <f>+DQ11-DM11</f>
        <v>29</v>
      </c>
      <c r="DQ11" s="46">
        <v>42810</v>
      </c>
      <c r="DR11" s="45">
        <f>WORKDAY(DQ11,1)</f>
        <v>42811</v>
      </c>
      <c r="DS11" s="155" t="s">
        <v>393</v>
      </c>
      <c r="DT11" s="60">
        <f>+DU11-DQ11</f>
        <v>728</v>
      </c>
      <c r="DU11" s="46">
        <v>43538</v>
      </c>
      <c r="DV11" s="45">
        <f t="shared" si="0"/>
        <v>43539</v>
      </c>
      <c r="DW11" s="155" t="s">
        <v>393</v>
      </c>
      <c r="DX11" s="60">
        <f t="shared" si="1"/>
        <v>33</v>
      </c>
      <c r="DY11" s="46">
        <v>43571</v>
      </c>
      <c r="DZ11" s="45">
        <f t="shared" si="2"/>
        <v>43572</v>
      </c>
      <c r="EA11" s="155" t="s">
        <v>393</v>
      </c>
      <c r="EB11" s="60">
        <f>+EC11-DY11</f>
        <v>30</v>
      </c>
      <c r="EC11" s="46">
        <v>43601</v>
      </c>
      <c r="ED11" s="45">
        <f>WORKDAY(EC11,1)</f>
        <v>43602</v>
      </c>
      <c r="EE11" s="155" t="s">
        <v>393</v>
      </c>
      <c r="EF11" s="60">
        <f>+EG11-EC11</f>
        <v>32</v>
      </c>
      <c r="EG11" s="46">
        <v>43633</v>
      </c>
      <c r="EH11" s="45">
        <f>WORKDAY(EG11,1)</f>
        <v>43634</v>
      </c>
      <c r="EI11" s="155" t="s">
        <v>393</v>
      </c>
      <c r="EJ11" s="60">
        <f>+EK11-EG11</f>
        <v>30</v>
      </c>
      <c r="EK11" s="46">
        <v>43663</v>
      </c>
      <c r="EL11" s="45">
        <f>WORKDAY(EK11,1)</f>
        <v>43664</v>
      </c>
      <c r="EM11" s="155" t="s">
        <v>393</v>
      </c>
      <c r="EN11" s="60">
        <f>+EO11-EK11</f>
        <v>30</v>
      </c>
      <c r="EO11" s="46">
        <v>43693</v>
      </c>
      <c r="EP11" s="45">
        <f>WORKDAY(EO11,1)</f>
        <v>43696</v>
      </c>
      <c r="EQ11" s="155" t="s">
        <v>393</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394</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395</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396</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397</v>
      </c>
    </row>
    <row r="45" spans="1:34" x14ac:dyDescent="0.2">
      <c r="AH45" t="s">
        <v>398</v>
      </c>
    </row>
    <row r="46" spans="1:34" x14ac:dyDescent="0.2">
      <c r="X46" s="10">
        <f>+X2</f>
        <v>2009</v>
      </c>
      <c r="Y46" t="s">
        <v>63</v>
      </c>
      <c r="AD46" s="10">
        <f>+AD2</f>
        <v>2009</v>
      </c>
      <c r="AE46" t="s">
        <v>80</v>
      </c>
    </row>
    <row r="47" spans="1:34" x14ac:dyDescent="0.2">
      <c r="X47" s="39" t="s">
        <v>387</v>
      </c>
      <c r="Y47" s="39" t="s">
        <v>388</v>
      </c>
      <c r="AD47" s="39" t="s">
        <v>387</v>
      </c>
      <c r="AE47" s="39" t="s">
        <v>388</v>
      </c>
    </row>
    <row r="49" spans="1:31" x14ac:dyDescent="0.2">
      <c r="A49">
        <v>41</v>
      </c>
      <c r="B49" t="s">
        <v>180</v>
      </c>
      <c r="X49" s="46">
        <v>39842</v>
      </c>
      <c r="Y49" s="45">
        <f>WORKDAY(X49,1,X$33:X$43)</f>
        <v>39843</v>
      </c>
      <c r="AD49" s="46">
        <v>40025</v>
      </c>
      <c r="AE49" s="45">
        <f>WORKDAY(AD49,1,AD$33:AD$43)</f>
        <v>40028</v>
      </c>
    </row>
    <row r="50" spans="1:31" x14ac:dyDescent="0.2">
      <c r="A50">
        <v>42</v>
      </c>
      <c r="B50" t="s">
        <v>180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3_ xmlns="ea48e80e-a7e4-48a5-ae32-6405ad954a1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85290B4F5F2F46A8240049C25DD92D" ma:contentTypeVersion="7" ma:contentTypeDescription="Create a new document." ma:contentTypeScope="" ma:versionID="bcc40556faf96619611dcf18cc6f93ca">
  <xsd:schema xmlns:xsd="http://www.w3.org/2001/XMLSchema" xmlns:xs="http://www.w3.org/2001/XMLSchema" xmlns:p="http://schemas.microsoft.com/office/2006/metadata/properties" xmlns:ns2="ea48e80e-a7e4-48a5-ae32-6405ad954a16" xmlns:ns3="acb75f9a-6ddb-4c9e-9a25-a4981f2d93f0" targetNamespace="http://schemas.microsoft.com/office/2006/metadata/properties" ma:root="true" ma:fieldsID="3a75bdc6070efdf582bf5b6258bfad9d" ns2:_="" ns3:_="">
    <xsd:import namespace="ea48e80e-a7e4-48a5-ae32-6405ad954a16"/>
    <xsd:import namespace="acb75f9a-6ddb-4c9e-9a25-a4981f2d93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x003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48e80e-a7e4-48a5-ae32-6405ad954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x0033_" ma:index="14" nillable="true" ma:displayName="Number" ma:format="Dropdown" ma:internalName="_x0033_"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acb75f9a-6ddb-4c9e-9a25-a4981f2d93f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3FF4B2-7E20-47D1-A116-81D72FA28C60}">
  <ds:schemaRefs>
    <ds:schemaRef ds:uri="http://schemas.microsoft.com/office/infopath/2007/PartnerControls"/>
    <ds:schemaRef ds:uri="http://purl.org/dc/dcmitype/"/>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acb75f9a-6ddb-4c9e-9a25-a4981f2d93f0"/>
    <ds:schemaRef ds:uri="ea48e80e-a7e4-48a5-ae32-6405ad954a16"/>
  </ds:schemaRefs>
</ds:datastoreItem>
</file>

<file path=customXml/itemProps2.xml><?xml version="1.0" encoding="utf-8"?>
<ds:datastoreItem xmlns:ds="http://schemas.openxmlformats.org/officeDocument/2006/customXml" ds:itemID="{0CA5A214-181E-4BBB-A7DC-39C5BBCB3647}">
  <ds:schemaRefs>
    <ds:schemaRef ds:uri="http://schemas.microsoft.com/sharepoint/v3/contenttype/forms"/>
  </ds:schemaRefs>
</ds:datastoreItem>
</file>

<file path=customXml/itemProps3.xml><?xml version="1.0" encoding="utf-8"?>
<ds:datastoreItem xmlns:ds="http://schemas.openxmlformats.org/officeDocument/2006/customXml" ds:itemID="{E9BFD1BE-2E3C-497B-91D2-0BE8B8FCF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48e80e-a7e4-48a5-ae32-6405ad954a16"/>
    <ds:schemaRef ds:uri="acb75f9a-6ddb-4c9e-9a25-a4981f2d93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April 2026</vt:lpstr>
      <vt:lpstr>Pwr Factor</vt:lpstr>
      <vt:lpstr>Dates</vt:lpstr>
      <vt:lpstr>'Calc. April 2026'!Print_Area</vt:lpstr>
      <vt:lpstr>'Calc. April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2026-06-09T18:23:24Z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0x010100BE85290B4F5F2F46A8240049C25DD92D</vt:lpwstr>
  </property>
</Properties>
</file>